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85" yWindow="135" windowWidth="16140" windowHeight="9990"/>
  </bookViews>
  <sheets>
    <sheet name="Cout de transport" sheetId="1" r:id="rId1"/>
    <sheet name="Feuil1" sheetId="2" r:id="rId2"/>
    <sheet name="Tableau stat" sheetId="11" r:id="rId3"/>
    <sheet name="Stat TCD" sheetId="13" r:id="rId4"/>
    <sheet name="Carte Prix Moyen" sheetId="12" r:id="rId5"/>
    <sheet name="Carte Poids pourcentage" sheetId="14" r:id="rId6"/>
  </sheets>
  <calcPr calcId="145621"/>
  <pivotCaches>
    <pivotCache cacheId="0" r:id="rId7"/>
  </pivotCaches>
  <fileRecoveryPr autoRecover="0"/>
</workbook>
</file>

<file path=xl/calcChain.xml><?xml version="1.0" encoding="utf-8"?>
<calcChain xmlns="http://schemas.openxmlformats.org/spreadsheetml/2006/main">
  <c r="C97" i="14" l="1"/>
  <c r="C96" i="14"/>
  <c r="C95" i="14"/>
  <c r="C94" i="14"/>
  <c r="C93" i="14"/>
  <c r="C91" i="14"/>
  <c r="C89" i="14"/>
  <c r="C87" i="14"/>
  <c r="C86" i="14"/>
  <c r="C85" i="14"/>
  <c r="C84" i="14"/>
  <c r="C83" i="14"/>
  <c r="C82" i="14"/>
  <c r="C80" i="14"/>
  <c r="C79" i="14"/>
  <c r="C78" i="14"/>
  <c r="C77" i="14"/>
  <c r="C76" i="14"/>
  <c r="C75" i="14"/>
  <c r="C73" i="14"/>
  <c r="C71" i="14"/>
  <c r="C70" i="14"/>
  <c r="C68" i="14"/>
  <c r="C67" i="14"/>
  <c r="C66" i="14"/>
  <c r="C65" i="14"/>
  <c r="C64" i="14"/>
  <c r="C62" i="14"/>
  <c r="C61" i="14"/>
  <c r="C58" i="14"/>
  <c r="C57" i="14"/>
  <c r="C56" i="14"/>
  <c r="C55" i="14"/>
  <c r="C54" i="14"/>
  <c r="C53" i="14"/>
  <c r="C52" i="14"/>
  <c r="C51" i="14"/>
  <c r="C49" i="14"/>
  <c r="C48" i="14"/>
  <c r="C47" i="14"/>
  <c r="C46" i="14"/>
  <c r="C45" i="14"/>
  <c r="C44" i="14"/>
  <c r="C42" i="14"/>
  <c r="C40" i="14"/>
  <c r="C39" i="14"/>
  <c r="C36" i="14"/>
  <c r="C35" i="14"/>
  <c r="C34" i="14"/>
  <c r="C33" i="14"/>
  <c r="C32" i="14"/>
  <c r="C28" i="14"/>
  <c r="C26" i="14"/>
  <c r="C25" i="14"/>
  <c r="C24" i="14"/>
  <c r="C22" i="14"/>
  <c r="C20" i="14"/>
  <c r="C19" i="14"/>
  <c r="C18" i="14"/>
  <c r="C17" i="14"/>
  <c r="C14" i="14"/>
  <c r="C13" i="14"/>
  <c r="C12" i="14"/>
  <c r="C11" i="14"/>
  <c r="C7" i="14"/>
  <c r="C5" i="14"/>
  <c r="C4" i="14"/>
  <c r="C2" i="14"/>
  <c r="E44" i="13"/>
  <c r="H3" i="11" l="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H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H193" i="11"/>
  <c r="H194" i="11"/>
  <c r="H195" i="11"/>
  <c r="H196" i="11"/>
  <c r="H197" i="11"/>
  <c r="H198" i="11"/>
  <c r="H199" i="11"/>
  <c r="H200" i="11"/>
  <c r="H201" i="11"/>
  <c r="H202" i="11"/>
  <c r="H203" i="11"/>
  <c r="H204" i="11"/>
  <c r="H205" i="11"/>
  <c r="H206" i="11"/>
  <c r="H207" i="11"/>
  <c r="H208" i="11"/>
  <c r="H209" i="11"/>
  <c r="H210" i="11"/>
  <c r="H211" i="11"/>
  <c r="H212" i="11"/>
  <c r="H213" i="11"/>
  <c r="H214" i="11"/>
  <c r="H215" i="11"/>
  <c r="H216" i="11"/>
  <c r="H217" i="11"/>
  <c r="H218" i="11"/>
  <c r="H219" i="11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33" i="11"/>
  <c r="H234" i="11"/>
  <c r="H235" i="11"/>
  <c r="H236" i="11"/>
  <c r="H237" i="11"/>
  <c r="H238" i="11"/>
  <c r="H239" i="11"/>
  <c r="H240" i="11"/>
  <c r="H241" i="11"/>
  <c r="H242" i="11"/>
  <c r="H243" i="11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259" i="11"/>
  <c r="H260" i="11"/>
  <c r="H261" i="11"/>
  <c r="H262" i="11"/>
  <c r="H263" i="11"/>
  <c r="H264" i="11"/>
  <c r="H265" i="11"/>
  <c r="H266" i="11"/>
  <c r="H267" i="11"/>
  <c r="H268" i="11"/>
  <c r="H269" i="11"/>
  <c r="H270" i="11"/>
  <c r="H271" i="11"/>
  <c r="H272" i="11"/>
  <c r="H273" i="11"/>
  <c r="H274" i="11"/>
  <c r="H275" i="11"/>
  <c r="H276" i="11"/>
  <c r="H277" i="11"/>
  <c r="H278" i="11"/>
  <c r="H279" i="11"/>
  <c r="H280" i="11"/>
  <c r="H281" i="11"/>
  <c r="H282" i="11"/>
  <c r="H283" i="11"/>
  <c r="H284" i="11"/>
  <c r="H285" i="11"/>
  <c r="H286" i="11"/>
  <c r="H287" i="11"/>
  <c r="H288" i="11"/>
  <c r="H289" i="11"/>
  <c r="H290" i="11"/>
  <c r="H291" i="11"/>
  <c r="H292" i="11"/>
  <c r="H293" i="11"/>
  <c r="H294" i="11"/>
  <c r="H295" i="11"/>
  <c r="H296" i="11"/>
  <c r="H297" i="11"/>
  <c r="H298" i="11"/>
  <c r="H299" i="11"/>
  <c r="H300" i="11"/>
  <c r="H301" i="11"/>
  <c r="H302" i="11"/>
  <c r="H303" i="11"/>
  <c r="H304" i="11"/>
  <c r="H305" i="11"/>
  <c r="H306" i="11"/>
  <c r="H307" i="11"/>
  <c r="H308" i="11"/>
  <c r="H309" i="11"/>
  <c r="H310" i="11"/>
  <c r="H311" i="11"/>
  <c r="H312" i="11"/>
  <c r="H313" i="11"/>
  <c r="H314" i="11"/>
  <c r="H315" i="11"/>
  <c r="H316" i="11"/>
  <c r="H317" i="11"/>
  <c r="H318" i="11"/>
  <c r="H319" i="11"/>
  <c r="H320" i="11"/>
  <c r="H321" i="11"/>
  <c r="H322" i="11"/>
  <c r="H323" i="11"/>
  <c r="H324" i="11"/>
  <c r="H325" i="11"/>
  <c r="H326" i="11"/>
  <c r="H327" i="11"/>
  <c r="H328" i="11"/>
  <c r="H329" i="11"/>
  <c r="H330" i="11"/>
  <c r="H331" i="11"/>
  <c r="H332" i="11"/>
  <c r="H333" i="11"/>
  <c r="H334" i="11"/>
  <c r="H335" i="11"/>
  <c r="H336" i="11"/>
  <c r="H337" i="11"/>
  <c r="H338" i="11"/>
  <c r="H339" i="11"/>
  <c r="H340" i="11"/>
  <c r="H341" i="11"/>
  <c r="H342" i="11"/>
  <c r="H343" i="11"/>
  <c r="H344" i="11"/>
  <c r="H345" i="11"/>
  <c r="H346" i="11"/>
  <c r="H347" i="11"/>
  <c r="H348" i="11"/>
  <c r="H349" i="11"/>
  <c r="H350" i="11"/>
  <c r="H351" i="11"/>
  <c r="H352" i="11"/>
  <c r="H353" i="11"/>
  <c r="H354" i="11"/>
  <c r="H355" i="11"/>
  <c r="H356" i="11"/>
  <c r="H357" i="11"/>
  <c r="H358" i="11"/>
  <c r="H359" i="11"/>
  <c r="H360" i="11"/>
  <c r="H361" i="11"/>
  <c r="H362" i="11"/>
  <c r="H363" i="11"/>
  <c r="H364" i="11"/>
  <c r="H365" i="11"/>
  <c r="H366" i="11"/>
  <c r="H367" i="11"/>
  <c r="H368" i="11"/>
  <c r="H369" i="11"/>
  <c r="H370" i="11"/>
  <c r="H371" i="11"/>
  <c r="H372" i="11"/>
  <c r="H373" i="11"/>
  <c r="H374" i="11"/>
  <c r="H375" i="11"/>
  <c r="H376" i="11"/>
  <c r="H377" i="11"/>
  <c r="H378" i="11"/>
  <c r="H379" i="11"/>
  <c r="H380" i="11"/>
  <c r="H381" i="11"/>
  <c r="H382" i="11"/>
  <c r="H383" i="11"/>
  <c r="H384" i="11"/>
  <c r="H385" i="11"/>
  <c r="H386" i="11"/>
  <c r="H387" i="11"/>
  <c r="H388" i="11"/>
  <c r="H389" i="11"/>
  <c r="H390" i="11"/>
  <c r="H391" i="11"/>
  <c r="H392" i="11"/>
  <c r="H393" i="11"/>
  <c r="H394" i="11"/>
  <c r="H395" i="11"/>
  <c r="H396" i="11"/>
  <c r="H397" i="11"/>
  <c r="H398" i="11"/>
  <c r="H399" i="11"/>
  <c r="H400" i="11"/>
  <c r="H401" i="11"/>
  <c r="H402" i="11"/>
  <c r="H403" i="11"/>
  <c r="H404" i="11"/>
  <c r="H405" i="11"/>
  <c r="H406" i="11"/>
  <c r="H407" i="11"/>
  <c r="H408" i="11"/>
  <c r="H409" i="11"/>
  <c r="H410" i="11"/>
  <c r="H411" i="11"/>
  <c r="H412" i="11"/>
  <c r="H413" i="11"/>
  <c r="H414" i="11"/>
  <c r="H415" i="11"/>
  <c r="H416" i="11"/>
  <c r="H417" i="11"/>
  <c r="H418" i="11"/>
  <c r="H419" i="11"/>
  <c r="H420" i="11"/>
  <c r="H421" i="11"/>
  <c r="H422" i="11"/>
  <c r="H423" i="11"/>
  <c r="H424" i="11"/>
  <c r="H425" i="11"/>
  <c r="H426" i="11"/>
  <c r="H427" i="11"/>
  <c r="H428" i="11"/>
  <c r="H429" i="11"/>
  <c r="H430" i="11"/>
  <c r="H431" i="11"/>
  <c r="H432" i="11"/>
  <c r="H433" i="11"/>
  <c r="H434" i="11"/>
  <c r="H435" i="11"/>
  <c r="H436" i="11"/>
  <c r="H437" i="11"/>
  <c r="H438" i="11"/>
  <c r="H439" i="11"/>
  <c r="H440" i="11"/>
  <c r="H441" i="11"/>
  <c r="H442" i="11"/>
  <c r="H443" i="11"/>
  <c r="H444" i="11"/>
  <c r="H445" i="11"/>
  <c r="H446" i="11"/>
  <c r="H447" i="11"/>
  <c r="H448" i="11"/>
  <c r="H449" i="11"/>
  <c r="H450" i="11"/>
  <c r="H451" i="11"/>
  <c r="H452" i="11"/>
  <c r="H453" i="11"/>
  <c r="H454" i="11"/>
  <c r="H455" i="11"/>
  <c r="H456" i="11"/>
  <c r="H457" i="11"/>
  <c r="H458" i="11"/>
  <c r="H459" i="11"/>
  <c r="H460" i="11"/>
  <c r="H461" i="11"/>
  <c r="H462" i="11"/>
  <c r="H463" i="11"/>
  <c r="H464" i="11"/>
  <c r="H465" i="11"/>
  <c r="H466" i="11"/>
  <c r="H467" i="11"/>
  <c r="H468" i="11"/>
  <c r="H469" i="11"/>
  <c r="H470" i="11"/>
  <c r="H471" i="11"/>
  <c r="H472" i="11"/>
  <c r="H473" i="11"/>
  <c r="H474" i="11"/>
  <c r="H475" i="11"/>
  <c r="H476" i="11"/>
  <c r="H477" i="11"/>
  <c r="H478" i="11"/>
  <c r="H479" i="11"/>
  <c r="H480" i="11"/>
  <c r="H481" i="11"/>
  <c r="H482" i="11"/>
  <c r="H483" i="11"/>
  <c r="H484" i="11"/>
  <c r="H485" i="11"/>
  <c r="H486" i="11"/>
  <c r="H487" i="11"/>
  <c r="H488" i="11"/>
  <c r="H489" i="11"/>
  <c r="H490" i="11"/>
  <c r="H491" i="11"/>
  <c r="H492" i="11"/>
  <c r="H493" i="11"/>
  <c r="H494" i="11"/>
  <c r="H495" i="11"/>
  <c r="H496" i="11"/>
  <c r="H497" i="11"/>
  <c r="H498" i="11"/>
  <c r="H499" i="11"/>
  <c r="H500" i="11"/>
  <c r="H501" i="11"/>
  <c r="H502" i="11"/>
  <c r="H503" i="11"/>
  <c r="H504" i="11"/>
  <c r="H505" i="11"/>
  <c r="H506" i="11"/>
  <c r="H507" i="11"/>
  <c r="H508" i="11"/>
  <c r="H509" i="11"/>
  <c r="H510" i="11"/>
  <c r="H511" i="11"/>
  <c r="H512" i="11"/>
  <c r="H513" i="11"/>
  <c r="H514" i="11"/>
  <c r="H515" i="11"/>
  <c r="H516" i="11"/>
  <c r="H517" i="11"/>
  <c r="H518" i="11"/>
  <c r="H519" i="11"/>
  <c r="H520" i="11"/>
  <c r="H521" i="11"/>
  <c r="H522" i="11"/>
  <c r="H523" i="11"/>
  <c r="H524" i="11"/>
  <c r="H525" i="11"/>
  <c r="H526" i="11"/>
  <c r="H527" i="11"/>
  <c r="H528" i="11"/>
  <c r="H529" i="11"/>
  <c r="H530" i="11"/>
  <c r="H531" i="11"/>
  <c r="H532" i="11"/>
  <c r="H533" i="11"/>
  <c r="H534" i="11"/>
  <c r="H535" i="11"/>
  <c r="H536" i="11"/>
  <c r="H537" i="11"/>
  <c r="H538" i="11"/>
  <c r="H539" i="11"/>
  <c r="H540" i="11"/>
  <c r="H541" i="11"/>
  <c r="H542" i="11"/>
  <c r="H543" i="11"/>
  <c r="H544" i="11"/>
  <c r="H545" i="11"/>
  <c r="H546" i="11"/>
  <c r="H547" i="11"/>
  <c r="H548" i="11"/>
  <c r="H549" i="11"/>
  <c r="H550" i="11"/>
  <c r="H551" i="11"/>
  <c r="H552" i="11"/>
  <c r="H553" i="11"/>
  <c r="H554" i="11"/>
  <c r="H555" i="11"/>
  <c r="H556" i="11"/>
  <c r="H557" i="11"/>
  <c r="H558" i="11"/>
  <c r="H559" i="11"/>
  <c r="H560" i="11"/>
  <c r="H561" i="11"/>
  <c r="H562" i="11"/>
  <c r="H563" i="11"/>
  <c r="H564" i="11"/>
  <c r="H565" i="11"/>
  <c r="H566" i="11"/>
  <c r="H567" i="11"/>
  <c r="H568" i="11"/>
  <c r="H569" i="11"/>
  <c r="H570" i="11"/>
  <c r="H571" i="11"/>
  <c r="H572" i="11"/>
  <c r="H573" i="11"/>
  <c r="H574" i="11"/>
  <c r="H575" i="11"/>
  <c r="H576" i="11"/>
  <c r="H577" i="11"/>
  <c r="H578" i="11"/>
  <c r="H579" i="11"/>
  <c r="H580" i="11"/>
  <c r="H581" i="11"/>
  <c r="H582" i="11"/>
  <c r="H583" i="11"/>
  <c r="H584" i="11"/>
  <c r="H585" i="11"/>
  <c r="H586" i="11"/>
  <c r="H587" i="11"/>
  <c r="H588" i="11"/>
  <c r="H589" i="11"/>
  <c r="H590" i="11"/>
  <c r="H591" i="11"/>
  <c r="H592" i="11"/>
  <c r="H593" i="11"/>
  <c r="H594" i="11"/>
  <c r="H595" i="11"/>
  <c r="H596" i="11"/>
  <c r="H597" i="11"/>
  <c r="H598" i="11"/>
  <c r="H599" i="11"/>
  <c r="H600" i="11"/>
  <c r="H601" i="11"/>
  <c r="H602" i="11"/>
  <c r="H603" i="11"/>
  <c r="H604" i="11"/>
  <c r="H605" i="11"/>
  <c r="H606" i="11"/>
  <c r="H607" i="11"/>
  <c r="H608" i="11"/>
  <c r="H609" i="11"/>
  <c r="H610" i="11"/>
  <c r="H611" i="11"/>
  <c r="H612" i="11"/>
  <c r="H613" i="11"/>
  <c r="H614" i="11"/>
  <c r="H615" i="11"/>
  <c r="H616" i="11"/>
  <c r="H617" i="11"/>
  <c r="H618" i="11"/>
  <c r="H619" i="11"/>
  <c r="H620" i="11"/>
  <c r="H621" i="11"/>
  <c r="H622" i="11"/>
  <c r="H623" i="11"/>
  <c r="H624" i="11"/>
  <c r="H625" i="11"/>
  <c r="H626" i="11"/>
  <c r="H627" i="11"/>
  <c r="H628" i="11"/>
  <c r="H629" i="11"/>
  <c r="H630" i="11"/>
  <c r="H631" i="11"/>
  <c r="H632" i="11"/>
  <c r="H633" i="11"/>
  <c r="H634" i="11"/>
  <c r="H635" i="11"/>
  <c r="H636" i="11"/>
  <c r="H637" i="11"/>
  <c r="H638" i="11"/>
  <c r="H639" i="11"/>
  <c r="H640" i="11"/>
  <c r="H641" i="11"/>
  <c r="H642" i="11"/>
  <c r="H643" i="11"/>
  <c r="H644" i="11"/>
  <c r="H645" i="11"/>
  <c r="H646" i="11"/>
  <c r="H647" i="11"/>
  <c r="H648" i="11"/>
  <c r="H649" i="11"/>
  <c r="H650" i="11"/>
  <c r="H651" i="11"/>
  <c r="H652" i="11"/>
  <c r="H653" i="11"/>
  <c r="H654" i="11"/>
  <c r="H655" i="11"/>
  <c r="H656" i="11"/>
  <c r="H657" i="11"/>
  <c r="H658" i="11"/>
  <c r="H659" i="11"/>
  <c r="H660" i="11"/>
  <c r="H661" i="11"/>
  <c r="H662" i="11"/>
  <c r="H663" i="11"/>
  <c r="H664" i="11"/>
  <c r="H665" i="11"/>
  <c r="H666" i="11"/>
  <c r="H667" i="11"/>
  <c r="H668" i="11"/>
  <c r="H669" i="11"/>
  <c r="H670" i="11"/>
  <c r="H671" i="11"/>
  <c r="H672" i="11"/>
  <c r="H673" i="11"/>
  <c r="H674" i="11"/>
  <c r="H675" i="11"/>
  <c r="H676" i="11"/>
  <c r="H677" i="11"/>
  <c r="H678" i="11"/>
  <c r="H679" i="11"/>
  <c r="H680" i="11"/>
  <c r="H681" i="11"/>
  <c r="H682" i="11"/>
  <c r="H683" i="11"/>
  <c r="H684" i="11"/>
  <c r="H685" i="11"/>
  <c r="H686" i="11"/>
  <c r="H687" i="11"/>
  <c r="H688" i="11"/>
  <c r="H689" i="11"/>
  <c r="H690" i="11"/>
  <c r="H691" i="11"/>
  <c r="H692" i="11"/>
  <c r="H693" i="11"/>
  <c r="H694" i="11"/>
  <c r="H695" i="11"/>
  <c r="H696" i="11"/>
  <c r="H697" i="11"/>
  <c r="H698" i="11"/>
  <c r="H699" i="11"/>
  <c r="H700" i="11"/>
  <c r="H701" i="11"/>
  <c r="H702" i="11"/>
  <c r="H703" i="11"/>
  <c r="H704" i="11"/>
  <c r="H705" i="11"/>
  <c r="H706" i="11"/>
  <c r="H707" i="11"/>
  <c r="H708" i="11"/>
  <c r="H709" i="11"/>
  <c r="H710" i="11"/>
  <c r="H711" i="11"/>
  <c r="H712" i="11"/>
  <c r="H713" i="11"/>
  <c r="H714" i="11"/>
  <c r="H715" i="11"/>
  <c r="H716" i="11"/>
  <c r="H717" i="11"/>
  <c r="H718" i="11"/>
  <c r="H719" i="11"/>
  <c r="H720" i="11"/>
  <c r="H721" i="11"/>
  <c r="H722" i="11"/>
  <c r="H723" i="11"/>
  <c r="H724" i="11"/>
  <c r="H725" i="11"/>
  <c r="H726" i="11"/>
  <c r="H727" i="11"/>
  <c r="H728" i="11"/>
  <c r="H729" i="11"/>
  <c r="H730" i="11"/>
  <c r="H731" i="11"/>
  <c r="H732" i="11"/>
  <c r="H733" i="11"/>
  <c r="H734" i="11"/>
  <c r="H735" i="11"/>
  <c r="H736" i="11"/>
  <c r="H737" i="11"/>
  <c r="H738" i="11"/>
  <c r="H739" i="11"/>
  <c r="H740" i="11"/>
  <c r="H741" i="11"/>
  <c r="H742" i="11"/>
  <c r="H743" i="11"/>
  <c r="H744" i="11"/>
  <c r="H745" i="11"/>
  <c r="H746" i="11"/>
  <c r="H747" i="11"/>
  <c r="H748" i="11"/>
  <c r="H749" i="11"/>
  <c r="H750" i="11"/>
  <c r="H751" i="11"/>
  <c r="H752" i="11"/>
  <c r="H753" i="11"/>
  <c r="H754" i="11"/>
  <c r="H755" i="11"/>
  <c r="H756" i="11"/>
  <c r="H757" i="11"/>
  <c r="H758" i="11"/>
  <c r="H759" i="11"/>
  <c r="H760" i="11"/>
  <c r="H761" i="11"/>
  <c r="H762" i="11"/>
  <c r="H763" i="11"/>
  <c r="H764" i="11"/>
  <c r="H765" i="11"/>
  <c r="H766" i="11"/>
  <c r="H767" i="11"/>
  <c r="H768" i="11"/>
  <c r="H769" i="11"/>
  <c r="H770" i="11"/>
  <c r="H771" i="11"/>
  <c r="H772" i="11"/>
  <c r="H773" i="11"/>
  <c r="H774" i="11"/>
  <c r="H775" i="11"/>
  <c r="H776" i="11"/>
  <c r="H777" i="11"/>
  <c r="H778" i="11"/>
  <c r="H779" i="11"/>
  <c r="H780" i="11"/>
  <c r="H781" i="11"/>
  <c r="H782" i="11"/>
  <c r="H783" i="11"/>
  <c r="H784" i="11"/>
  <c r="H785" i="11"/>
  <c r="H786" i="11"/>
  <c r="H787" i="11"/>
  <c r="H788" i="11"/>
  <c r="H789" i="11"/>
  <c r="H790" i="11"/>
  <c r="H791" i="11"/>
  <c r="H792" i="11"/>
  <c r="H793" i="11"/>
  <c r="H794" i="11"/>
  <c r="H795" i="11"/>
  <c r="H796" i="11"/>
  <c r="H797" i="11"/>
  <c r="H798" i="11"/>
  <c r="H799" i="11"/>
  <c r="H800" i="11"/>
  <c r="H801" i="11"/>
  <c r="H802" i="11"/>
  <c r="H803" i="11"/>
  <c r="H804" i="11"/>
  <c r="H805" i="11"/>
  <c r="H806" i="11"/>
  <c r="H807" i="11"/>
  <c r="H808" i="11"/>
  <c r="H809" i="11"/>
  <c r="H810" i="11"/>
  <c r="H811" i="11"/>
  <c r="H812" i="11"/>
  <c r="H813" i="11"/>
  <c r="H814" i="11"/>
  <c r="H815" i="11"/>
  <c r="H816" i="11"/>
  <c r="H817" i="11"/>
  <c r="H818" i="11"/>
  <c r="H819" i="11"/>
  <c r="H820" i="11"/>
  <c r="H821" i="11"/>
  <c r="H822" i="11"/>
  <c r="H823" i="11"/>
  <c r="H824" i="11"/>
  <c r="H825" i="11"/>
  <c r="H826" i="11"/>
  <c r="H827" i="11"/>
  <c r="H828" i="11"/>
  <c r="H829" i="11"/>
  <c r="H830" i="11"/>
  <c r="H831" i="11"/>
  <c r="H832" i="11"/>
  <c r="H833" i="11"/>
  <c r="H834" i="11"/>
  <c r="H835" i="11"/>
  <c r="H836" i="11"/>
  <c r="H837" i="11"/>
  <c r="H838" i="11"/>
  <c r="H839" i="11"/>
  <c r="H840" i="11"/>
  <c r="H841" i="11"/>
  <c r="H842" i="11"/>
  <c r="H843" i="11"/>
  <c r="H844" i="11"/>
  <c r="H845" i="11"/>
  <c r="H846" i="11"/>
  <c r="H847" i="11"/>
  <c r="H848" i="11"/>
  <c r="H849" i="11"/>
  <c r="H850" i="11"/>
  <c r="H851" i="11"/>
  <c r="H852" i="11"/>
  <c r="H853" i="11"/>
  <c r="H854" i="11"/>
  <c r="H855" i="11"/>
  <c r="H856" i="11"/>
  <c r="H857" i="11"/>
  <c r="H858" i="11"/>
  <c r="H859" i="11"/>
  <c r="H860" i="11"/>
  <c r="H861" i="11"/>
  <c r="H862" i="11"/>
  <c r="H863" i="11"/>
  <c r="H864" i="11"/>
  <c r="H865" i="11"/>
  <c r="H866" i="11"/>
  <c r="H867" i="11"/>
  <c r="H868" i="11"/>
  <c r="H869" i="11"/>
  <c r="H870" i="11"/>
  <c r="H871" i="11"/>
  <c r="H872" i="11"/>
  <c r="H873" i="11"/>
  <c r="H874" i="11"/>
  <c r="H875" i="11"/>
  <c r="H876" i="11"/>
  <c r="H877" i="11"/>
  <c r="H878" i="11"/>
  <c r="H879" i="11"/>
  <c r="H880" i="11"/>
  <c r="H881" i="11"/>
  <c r="H882" i="11"/>
  <c r="H883" i="11"/>
  <c r="H884" i="11"/>
  <c r="H885" i="11"/>
  <c r="H886" i="11"/>
  <c r="H887" i="11"/>
  <c r="H888" i="11"/>
  <c r="H889" i="11"/>
  <c r="H890" i="11"/>
  <c r="H891" i="11"/>
  <c r="H892" i="11"/>
  <c r="H893" i="11"/>
  <c r="H894" i="11"/>
  <c r="H895" i="11"/>
  <c r="H896" i="11"/>
  <c r="H897" i="11"/>
  <c r="H898" i="11"/>
  <c r="H899" i="11"/>
  <c r="H900" i="11"/>
  <c r="H901" i="11"/>
  <c r="H902" i="11"/>
  <c r="H903" i="11"/>
  <c r="H904" i="11"/>
  <c r="H905" i="11"/>
  <c r="H906" i="11"/>
  <c r="H907" i="11"/>
  <c r="H908" i="11"/>
  <c r="H909" i="11"/>
  <c r="H910" i="11"/>
  <c r="H911" i="11"/>
  <c r="H912" i="11"/>
  <c r="H913" i="11"/>
  <c r="H914" i="11"/>
  <c r="H915" i="11"/>
  <c r="H916" i="11"/>
  <c r="H917" i="11"/>
  <c r="H918" i="11"/>
  <c r="H919" i="11"/>
  <c r="H920" i="11"/>
  <c r="H921" i="11"/>
  <c r="H922" i="11"/>
  <c r="H923" i="11"/>
  <c r="H924" i="11"/>
  <c r="H925" i="11"/>
  <c r="H926" i="11"/>
  <c r="H927" i="11"/>
  <c r="H928" i="11"/>
  <c r="H929" i="11"/>
  <c r="H930" i="11"/>
  <c r="H931" i="11"/>
  <c r="H932" i="11"/>
  <c r="H933" i="11"/>
  <c r="H934" i="11"/>
  <c r="H935" i="11"/>
  <c r="H936" i="11"/>
  <c r="H937" i="11"/>
  <c r="H938" i="11"/>
  <c r="H939" i="11"/>
  <c r="H940" i="11"/>
  <c r="H941" i="11"/>
  <c r="H942" i="11"/>
  <c r="H943" i="11"/>
  <c r="H944" i="11"/>
  <c r="H945" i="11"/>
  <c r="H946" i="11"/>
  <c r="H947" i="11"/>
  <c r="H948" i="11"/>
  <c r="H949" i="11"/>
  <c r="H950" i="11"/>
  <c r="H951" i="11"/>
  <c r="H952" i="11"/>
  <c r="H953" i="11"/>
  <c r="H954" i="11"/>
  <c r="H955" i="11"/>
  <c r="H956" i="11"/>
  <c r="H957" i="11"/>
  <c r="H958" i="11"/>
  <c r="H959" i="11"/>
  <c r="H960" i="11"/>
  <c r="H961" i="11"/>
  <c r="H962" i="11"/>
  <c r="H963" i="11"/>
  <c r="H964" i="11"/>
  <c r="H965" i="11"/>
  <c r="H966" i="11"/>
  <c r="H967" i="11"/>
  <c r="H968" i="11"/>
  <c r="H969" i="11"/>
  <c r="H970" i="11"/>
  <c r="H971" i="11"/>
  <c r="H972" i="11"/>
  <c r="H973" i="11"/>
  <c r="H974" i="11"/>
  <c r="H975" i="11"/>
  <c r="H976" i="11"/>
  <c r="H977" i="11"/>
  <c r="H978" i="11"/>
  <c r="H979" i="11"/>
  <c r="H980" i="11"/>
  <c r="H981" i="11"/>
  <c r="H982" i="11"/>
  <c r="H983" i="11"/>
  <c r="H984" i="11"/>
  <c r="H985" i="11"/>
  <c r="H986" i="11"/>
  <c r="H987" i="11"/>
  <c r="H988" i="11"/>
  <c r="H989" i="11"/>
  <c r="H990" i="11"/>
  <c r="H991" i="11"/>
  <c r="H992" i="11"/>
  <c r="H993" i="11"/>
  <c r="H994" i="11"/>
  <c r="H995" i="11"/>
  <c r="H996" i="11"/>
  <c r="H997" i="11"/>
  <c r="H998" i="11"/>
  <c r="H999" i="11"/>
  <c r="H1000" i="11"/>
  <c r="H1001" i="11"/>
  <c r="H1002" i="11"/>
  <c r="H1003" i="11"/>
  <c r="H1004" i="11"/>
  <c r="H1005" i="11"/>
  <c r="H1006" i="11"/>
  <c r="H1007" i="11"/>
  <c r="H1008" i="11"/>
  <c r="H1009" i="11"/>
  <c r="H1010" i="11"/>
  <c r="H1011" i="11"/>
  <c r="H1012" i="11"/>
  <c r="H1013" i="11"/>
  <c r="H1014" i="11"/>
  <c r="H1015" i="11"/>
  <c r="H1016" i="11"/>
  <c r="H1017" i="11"/>
  <c r="H1018" i="11"/>
  <c r="H1019" i="11"/>
  <c r="H1020" i="11"/>
  <c r="H1021" i="11"/>
  <c r="H1022" i="11"/>
  <c r="H1023" i="11"/>
  <c r="H1024" i="11"/>
  <c r="H1025" i="11"/>
  <c r="H1026" i="11"/>
  <c r="H1027" i="11"/>
  <c r="H1028" i="11"/>
  <c r="H1029" i="11"/>
  <c r="H1030" i="11"/>
  <c r="H1031" i="11"/>
  <c r="H1032" i="11"/>
  <c r="H1033" i="11"/>
  <c r="H1034" i="11"/>
  <c r="H1035" i="11"/>
  <c r="H1036" i="11"/>
  <c r="H1037" i="11"/>
  <c r="H1038" i="11"/>
  <c r="H1039" i="11"/>
  <c r="H1040" i="11"/>
  <c r="H1041" i="11"/>
  <c r="H1042" i="11"/>
  <c r="H1043" i="11"/>
  <c r="H1044" i="11"/>
  <c r="H1045" i="11"/>
  <c r="H1046" i="11"/>
  <c r="H1047" i="11"/>
  <c r="H1048" i="11"/>
  <c r="H1049" i="11"/>
  <c r="H1050" i="11"/>
  <c r="H1051" i="11"/>
  <c r="H1052" i="11"/>
  <c r="H1053" i="11"/>
  <c r="H1054" i="11"/>
  <c r="H1055" i="11"/>
  <c r="H1056" i="11"/>
  <c r="H1057" i="11"/>
  <c r="H1058" i="11"/>
  <c r="H1059" i="11"/>
  <c r="H1060" i="11"/>
  <c r="H1061" i="11"/>
  <c r="H1062" i="11"/>
  <c r="H1063" i="11"/>
  <c r="H1064" i="11"/>
  <c r="H1065" i="11"/>
  <c r="H1066" i="11"/>
  <c r="H1067" i="11"/>
  <c r="H1068" i="11"/>
  <c r="H1069" i="11"/>
  <c r="H1070" i="11"/>
  <c r="H1071" i="11"/>
  <c r="H1072" i="11"/>
  <c r="H1073" i="11"/>
  <c r="H1074" i="11"/>
  <c r="H1075" i="11"/>
  <c r="H1076" i="11"/>
  <c r="H1077" i="11"/>
  <c r="H1078" i="11"/>
  <c r="H1079" i="11"/>
  <c r="H1080" i="11"/>
  <c r="H1081" i="11"/>
  <c r="H1082" i="11"/>
  <c r="H1083" i="11"/>
  <c r="H1084" i="11"/>
  <c r="H1085" i="11"/>
  <c r="H1086" i="11"/>
  <c r="H1087" i="11"/>
  <c r="H1088" i="11"/>
  <c r="H1089" i="11"/>
  <c r="H1090" i="11"/>
  <c r="H1091" i="11"/>
  <c r="H1092" i="11"/>
  <c r="H1093" i="11"/>
  <c r="H1094" i="11"/>
  <c r="H1095" i="11"/>
  <c r="H1096" i="11"/>
  <c r="H1097" i="11"/>
  <c r="H1098" i="11"/>
  <c r="H1099" i="11"/>
  <c r="H1100" i="11"/>
  <c r="H1101" i="11"/>
  <c r="H1102" i="11"/>
  <c r="H1103" i="11"/>
  <c r="H1104" i="11"/>
  <c r="H1105" i="11"/>
  <c r="H2" i="11"/>
  <c r="C97" i="12"/>
  <c r="C93" i="12"/>
  <c r="C86" i="12"/>
  <c r="C82" i="12"/>
  <c r="C77" i="12"/>
  <c r="C71" i="12"/>
  <c r="C66" i="12"/>
  <c r="C61" i="12"/>
  <c r="C55" i="12"/>
  <c r="C51" i="12"/>
  <c r="C46" i="12"/>
  <c r="C40" i="12"/>
  <c r="C34" i="12"/>
  <c r="C28" i="12"/>
  <c r="C22" i="12"/>
  <c r="C17" i="12"/>
  <c r="C11" i="12"/>
  <c r="C2" i="12"/>
  <c r="C96" i="12"/>
  <c r="C91" i="12"/>
  <c r="C85" i="12"/>
  <c r="C80" i="12"/>
  <c r="C76" i="12"/>
  <c r="C70" i="12"/>
  <c r="C65" i="12"/>
  <c r="C58" i="12"/>
  <c r="C54" i="12"/>
  <c r="C49" i="12"/>
  <c r="C45" i="12"/>
  <c r="C39" i="12"/>
  <c r="C33" i="12"/>
  <c r="C26" i="12"/>
  <c r="C19" i="12"/>
  <c r="C14" i="12"/>
  <c r="C7" i="12"/>
  <c r="C95" i="12"/>
  <c r="C89" i="12"/>
  <c r="C84" i="12"/>
  <c r="C79" i="12"/>
  <c r="C75" i="12"/>
  <c r="C68" i="12"/>
  <c r="C64" i="12"/>
  <c r="C57" i="12"/>
  <c r="C53" i="12"/>
  <c r="C48" i="12"/>
  <c r="C44" i="12"/>
  <c r="C36" i="12"/>
  <c r="C32" i="12"/>
  <c r="C25" i="12"/>
  <c r="C20" i="12"/>
  <c r="C13" i="12"/>
  <c r="C5" i="12"/>
  <c r="C94" i="12"/>
  <c r="C87" i="12"/>
  <c r="C83" i="12"/>
  <c r="C78" i="12"/>
  <c r="C73" i="12"/>
  <c r="C67" i="12"/>
  <c r="C62" i="12"/>
  <c r="C56" i="12"/>
  <c r="C52" i="12"/>
  <c r="C47" i="12"/>
  <c r="C42" i="12"/>
  <c r="C35" i="12"/>
  <c r="C30" i="12"/>
  <c r="C24" i="12"/>
  <c r="C18" i="12"/>
  <c r="C12" i="12"/>
  <c r="C4" i="12"/>
  <c r="E73" i="13"/>
  <c r="E72" i="13"/>
  <c r="E71" i="13"/>
  <c r="E70" i="13"/>
  <c r="E69" i="13"/>
  <c r="E68" i="13"/>
  <c r="E67" i="13"/>
  <c r="E66" i="13"/>
  <c r="E65" i="13"/>
  <c r="E64" i="13"/>
  <c r="E63" i="13"/>
  <c r="E62" i="13"/>
  <c r="E61" i="13"/>
  <c r="E60" i="13"/>
  <c r="E59" i="13"/>
  <c r="E58" i="13"/>
  <c r="E57" i="13"/>
  <c r="E56" i="13"/>
  <c r="E55" i="13"/>
  <c r="E54" i="13"/>
  <c r="E53" i="13"/>
  <c r="E52" i="13"/>
  <c r="E51" i="13"/>
  <c r="E50" i="13"/>
  <c r="E49" i="13"/>
  <c r="E48" i="13"/>
  <c r="E47" i="13"/>
  <c r="E46" i="13"/>
  <c r="E45" i="13"/>
  <c r="E43" i="13"/>
  <c r="E42" i="13"/>
  <c r="E41" i="13"/>
  <c r="E40" i="13"/>
  <c r="E39" i="13"/>
  <c r="E38" i="13"/>
  <c r="E37" i="13"/>
  <c r="E36" i="13"/>
  <c r="E35" i="13"/>
  <c r="E34" i="13"/>
  <c r="E33" i="13"/>
  <c r="E32" i="13"/>
  <c r="E31" i="13"/>
  <c r="E30" i="13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4" i="13"/>
</calcChain>
</file>

<file path=xl/sharedStrings.xml><?xml version="1.0" encoding="utf-8"?>
<sst xmlns="http://schemas.openxmlformats.org/spreadsheetml/2006/main" count="5311" uniqueCount="845">
  <si>
    <t>3 mois</t>
  </si>
  <si>
    <t>6 mois</t>
  </si>
  <si>
    <t>Pds/Liv</t>
  </si>
  <si>
    <t>Nb Liv</t>
  </si>
  <si>
    <t>€/Kg</t>
  </si>
  <si>
    <t xml:space="preserve">CAD  </t>
  </si>
  <si>
    <t xml:space="preserve">EURL MEUNIER MILLAU 12        </t>
  </si>
  <si>
    <t>GAMEL ET FILS VILLEFRANCHE PAN</t>
  </si>
  <si>
    <t xml:space="preserve">G    </t>
  </si>
  <si>
    <t xml:space="preserve">AMBASSADE D AUVERGNE PARIS    </t>
  </si>
  <si>
    <t xml:space="preserve">AU BEL HORIZON SEBRAZAC       </t>
  </si>
  <si>
    <t>AU PETIT SUISSE PARIS BC ODEON</t>
  </si>
  <si>
    <t xml:space="preserve">AUBERGE DE LAPARROT CORN      </t>
  </si>
  <si>
    <t>AUBERGE DU PERE ROUSSEL LA COU</t>
  </si>
  <si>
    <t xml:space="preserve">BIE DU PRAZ COURCHEVEL        </t>
  </si>
  <si>
    <t xml:space="preserve">BIE GALY PIERRE 12 NAUCELLE   </t>
  </si>
  <si>
    <t xml:space="preserve">BIE HUC PHILIPPE CAMARES      </t>
  </si>
  <si>
    <t xml:space="preserve">BIE NOTRE DAME LESCAR         </t>
  </si>
  <si>
    <t xml:space="preserve">BILDE THIERRY                 </t>
  </si>
  <si>
    <t xml:space="preserve">BOUCHERIE LEBEAU CHAPELLE 44  </t>
  </si>
  <si>
    <t>BRASSERIE AUX MINISTERES PARIS</t>
  </si>
  <si>
    <t xml:space="preserve">CASINO CG815 CLERMONT F EDI   </t>
  </si>
  <si>
    <t>CASINO CS397 ALBI CANTEPAU EDI</t>
  </si>
  <si>
    <t>CASINO CS582 H SERRES TLSE EDI</t>
  </si>
  <si>
    <t xml:space="preserve">CASINO CS588 FLEURANCE EDI    </t>
  </si>
  <si>
    <t xml:space="preserve">CASINO CS591 FUMEL EDI        </t>
  </si>
  <si>
    <t xml:space="preserve">CASINO CS594 VALENCE AGEN EDI </t>
  </si>
  <si>
    <t>CASINO CS714 LATOURBASELNE EDI</t>
  </si>
  <si>
    <t>CASINO CS735 S JEAN D ILAC EDI</t>
  </si>
  <si>
    <t>CASINO CS737 BEAUM LOMA LIVDIR</t>
  </si>
  <si>
    <t xml:space="preserve">CASINO CS737 BEAUMONT LOM EDI </t>
  </si>
  <si>
    <t xml:space="preserve">CASINO CS748  MERIGNAC EDI    </t>
  </si>
  <si>
    <t xml:space="preserve">CASINO CS796 ARCACHON MER EDI </t>
  </si>
  <si>
    <t xml:space="preserve">CASINO CS842 AGEN EDI         </t>
  </si>
  <si>
    <t xml:space="preserve">CASINO CS902 BONNEFOY EDI     </t>
  </si>
  <si>
    <t>CASINO CS904 PAU CH GAULLE EDI</t>
  </si>
  <si>
    <t xml:space="preserve">CASINO CS914 TALENCE EDI      </t>
  </si>
  <si>
    <t xml:space="preserve">CC EAUBONNE SODEXO SFRS       </t>
  </si>
  <si>
    <t xml:space="preserve">CODIFRAIS LONGUEUIL STE MARIE </t>
  </si>
  <si>
    <t xml:space="preserve">CORA BLOIS VILLEBAROU         </t>
  </si>
  <si>
    <t xml:space="preserve">CRECHES MARSEILLE SFRS 100871 </t>
  </si>
  <si>
    <t xml:space="preserve">CS595 MONTUSSAN edi           </t>
  </si>
  <si>
    <t xml:space="preserve">CS755 IZON edi                </t>
  </si>
  <si>
    <t xml:space="preserve">CS876 SALLELES D AUDE EDI     </t>
  </si>
  <si>
    <t xml:space="preserve">CUISINE CENTRALE PESSAC       </t>
  </si>
  <si>
    <t xml:space="preserve">DAVIGEL ROUXMESNIL BOUTEILLE  </t>
  </si>
  <si>
    <t xml:space="preserve">EHPAD MUR DE BARREZ           </t>
  </si>
  <si>
    <t xml:space="preserve">FARBOS GIMONT                 </t>
  </si>
  <si>
    <t>FOYER ESTELLE DES CARMES FIGEA</t>
  </si>
  <si>
    <t xml:space="preserve">G CASINO CG334 ANDRE CUBZ EDI </t>
  </si>
  <si>
    <t xml:space="preserve">G CASINO CG880 VILLENAVE EDI  </t>
  </si>
  <si>
    <t xml:space="preserve">HOTEL REST BERGERIE DU LARZAC </t>
  </si>
  <si>
    <t xml:space="preserve">HOTEL-RESTAURANT DU PONT-NEUF </t>
  </si>
  <si>
    <t xml:space="preserve">L AUBERGE AVEYRONNAISE        </t>
  </si>
  <si>
    <t xml:space="preserve">L AUBERGE DE CASTELNAU        </t>
  </si>
  <si>
    <t xml:space="preserve">LA LOUCHE A BEURRE LOURMARIN  </t>
  </si>
  <si>
    <t>LA MAISON DES LUMIERES BEAUMON</t>
  </si>
  <si>
    <t xml:space="preserve">LA TABLE D EMILE TOULOUSE     </t>
  </si>
  <si>
    <t xml:space="preserve">LA TABLE DE POL LORGUES       </t>
  </si>
  <si>
    <t xml:space="preserve">LE BOUSCAT PROD  ELIOR REST   </t>
  </si>
  <si>
    <t xml:space="preserve">LE JARDIN DU PAVILLON ORLEANS </t>
  </si>
  <si>
    <t>LE MAZET ANDUZE REST LE CABANO</t>
  </si>
  <si>
    <t>LES 3 BRASSEURS 34 MONTPELLIER</t>
  </si>
  <si>
    <t xml:space="preserve">LINARD LANUEJOULS             </t>
  </si>
  <si>
    <t xml:space="preserve">METRO CANNES 27               </t>
  </si>
  <si>
    <t xml:space="preserve">METRO VAUX EN VELIN 30        </t>
  </si>
  <si>
    <t xml:space="preserve">METRO VILLE LA GRAND          </t>
  </si>
  <si>
    <t xml:space="preserve">NIMES PASSION FROID SOD       </t>
  </si>
  <si>
    <t>PASSION FROID RHONE ALPES AUVE</t>
  </si>
  <si>
    <t xml:space="preserve">PICARD SURGELES               </t>
  </si>
  <si>
    <t xml:space="preserve">POMONA DISNEY PLATEFORME      </t>
  </si>
  <si>
    <t xml:space="preserve">PRO A PRO DIST MONTAUBAN      </t>
  </si>
  <si>
    <t>PRO A PRO ILLKIRCH GRAFFENSTAD</t>
  </si>
  <si>
    <t xml:space="preserve">PRO A PRO NORD CHALETTE/LOING </t>
  </si>
  <si>
    <t>PRO A PRO SODEGER CHATEAU GONT</t>
  </si>
  <si>
    <t xml:space="preserve">RELAIS DE FARROU              </t>
  </si>
  <si>
    <t xml:space="preserve">RELAIS LARZAC CAFETARIA       </t>
  </si>
  <si>
    <t xml:space="preserve">REST CAFE DES NEGOCIANTS 34   </t>
  </si>
  <si>
    <t xml:space="preserve">REST LA TERRISSE TOULOUSE     </t>
  </si>
  <si>
    <t>REST LE CHAUDRON CHAVANNES/L E</t>
  </si>
  <si>
    <t xml:space="preserve">REST O FIL ROUGE PARIS        </t>
  </si>
  <si>
    <t xml:space="preserve">REST VALTHOGALOU ST MARTIN DE </t>
  </si>
  <si>
    <t>RESTAURANT AXIS 13006 MARSEILL</t>
  </si>
  <si>
    <t xml:space="preserve">RESTAURANT DE LA PAIX         </t>
  </si>
  <si>
    <t>RESTAURANT L ORACLE 34 MONTPEL</t>
  </si>
  <si>
    <t xml:space="preserve">ROYAL ALBI ALBI               </t>
  </si>
  <si>
    <t xml:space="preserve">SAERENS BUGGENHOUT            </t>
  </si>
  <si>
    <t xml:space="preserve">SARL BALDY                    </t>
  </si>
  <si>
    <t>SAVEURS DU BESSILLON SILLANS L</t>
  </si>
  <si>
    <t xml:space="preserve">SODEXO SFRS C.CENTRALE NANCY  </t>
  </si>
  <si>
    <t xml:space="preserve">SOREST ALR MONTESSON          </t>
  </si>
  <si>
    <t xml:space="preserve">SPAR MONTIGNAC TL761 EDI      </t>
  </si>
  <si>
    <t>SPECIALITES DE SALAISONS BRACH</t>
  </si>
  <si>
    <t xml:space="preserve">STE HOTELIERE DE VALRUGUES ST </t>
  </si>
  <si>
    <t xml:space="preserve">SU (130) VERGEZE PLAT         </t>
  </si>
  <si>
    <t xml:space="preserve">SU (5153) BELBERAUD PLAT      </t>
  </si>
  <si>
    <t>SU(0166)CLERMONT L HERAULT PLA</t>
  </si>
  <si>
    <t xml:space="preserve">TRADEO BURNHAUPT 68           </t>
  </si>
  <si>
    <t xml:space="preserve">URBAN KITCHEN MARSEILLE       </t>
  </si>
  <si>
    <t xml:space="preserve">VENTES AU COMPTANT PE         </t>
  </si>
  <si>
    <t xml:space="preserve">VENTES CLIENTS DIVERS         </t>
  </si>
  <si>
    <t xml:space="preserve">VILLE DE NICE LOT VEAU        </t>
  </si>
  <si>
    <t xml:space="preserve">VILLE NICE SURGELES VEAU BIO  </t>
  </si>
  <si>
    <t xml:space="preserve">GS   </t>
  </si>
  <si>
    <t xml:space="preserve">CASINO CS119 NEMOURS EDI      </t>
  </si>
  <si>
    <t xml:space="preserve">CASINO CS370 PARIS/MONTP EDI  </t>
  </si>
  <si>
    <t xml:space="preserve">CASINO CS530 BRIOUDE EDI      </t>
  </si>
  <si>
    <t xml:space="preserve">CASINO CS921 PARIS ITALIE EDI </t>
  </si>
  <si>
    <t>CASINO CS922 PARIS FLANDRE EDI</t>
  </si>
  <si>
    <t xml:space="preserve">CS132 VILLENEUVE/YONNE edi    </t>
  </si>
  <si>
    <t xml:space="preserve">CS528 CHAVILLE EDI            </t>
  </si>
  <si>
    <t xml:space="preserve">CS726 VULAINES TRAD EDI       </t>
  </si>
  <si>
    <t xml:space="preserve">M    </t>
  </si>
  <si>
    <t xml:space="preserve">BIE COMBAS CHRISTIAN JARNAC   </t>
  </si>
  <si>
    <t xml:space="preserve">CG304 ST BRIEUC liv directe   </t>
  </si>
  <si>
    <t xml:space="preserve">CG809 ST LOUIS liv directe    </t>
  </si>
  <si>
    <t xml:space="preserve">DOUNIA HALLAL BORDEAUX        </t>
  </si>
  <si>
    <t>G CASINO CG880 VILLENAVE LIV D</t>
  </si>
  <si>
    <t xml:space="preserve">VALLANCE NANCY 54             </t>
  </si>
  <si>
    <t xml:space="preserve">VALLANCE ST MAX 54            </t>
  </si>
  <si>
    <t xml:space="preserve">M42  </t>
  </si>
  <si>
    <t xml:space="preserve">CASINO CG206 CHASSE/RHON EDI  </t>
  </si>
  <si>
    <t xml:space="preserve">CASINO CG341 OYONNAX EDI      </t>
  </si>
  <si>
    <t xml:space="preserve">CASINO CG804 CHAUMONT EDI     </t>
  </si>
  <si>
    <t xml:space="preserve">CASINO CG831 MONTCEAU EDI     </t>
  </si>
  <si>
    <t xml:space="preserve">CASINO CG836 TROCY EDI        </t>
  </si>
  <si>
    <t>CASINO CG879 VILLEUF/SAONE EDI</t>
  </si>
  <si>
    <t>CASINO CS551 SALAISE/SANNE EDI</t>
  </si>
  <si>
    <t xml:space="preserve">CASINO CS727 HARDRICOURT EDI  </t>
  </si>
  <si>
    <t xml:space="preserve">CASINO CS759 MERIGNAC Y EDI   </t>
  </si>
  <si>
    <t xml:space="preserve">CS272 PARIS ST DIDIER edi     </t>
  </si>
  <si>
    <t>G CASINO CG311 LA RICAMARI EDI</t>
  </si>
  <si>
    <t xml:space="preserve">G CASINO CG830 MONTHIEU EDI   </t>
  </si>
  <si>
    <t xml:space="preserve">SALAISONS DU SANCY BESSE 63   </t>
  </si>
  <si>
    <t xml:space="preserve">MA   </t>
  </si>
  <si>
    <t xml:space="preserve">ALPAGEL GRENOBLE ECHIROLLES   </t>
  </si>
  <si>
    <t xml:space="preserve">BF VIANDES FONTAINE           </t>
  </si>
  <si>
    <t>BIE CHARC LA MUROISE ST BONNET</t>
  </si>
  <si>
    <t xml:space="preserve">BIGARD LYON CORBAS            </t>
  </si>
  <si>
    <t xml:space="preserve">BIGARD ST EGREVE              </t>
  </si>
  <si>
    <t xml:space="preserve">BOURAOUI ABDELHAK             </t>
  </si>
  <si>
    <t xml:space="preserve">BRON VIANDE BRON              </t>
  </si>
  <si>
    <t xml:space="preserve">COBOLY                        </t>
  </si>
  <si>
    <t xml:space="preserve">DUCCI LYON                    </t>
  </si>
  <si>
    <t xml:space="preserve">GAUTHEY GIVORS                </t>
  </si>
  <si>
    <t xml:space="preserve">GAYET PONTCHARRA              </t>
  </si>
  <si>
    <t xml:space="preserve">GESLER HOTONNES               </t>
  </si>
  <si>
    <t xml:space="preserve">I D FRAIS MONTAGNAT           </t>
  </si>
  <si>
    <t xml:space="preserve">ISERE DISTRIBUTION SA         </t>
  </si>
  <si>
    <t xml:space="preserve">LA BOUCHERIE LIMOUSINE        </t>
  </si>
  <si>
    <t xml:space="preserve">LECLERC CHATTE ISERE LR       </t>
  </si>
  <si>
    <t xml:space="preserve">MAISON TANZILLI MIONS         </t>
  </si>
  <si>
    <t xml:space="preserve">PHILAUD LYON                  </t>
  </si>
  <si>
    <t>REST LES 2 DAUPHINS VILLEURBAN</t>
  </si>
  <si>
    <t xml:space="preserve">ROLLAND ARS SUR FORMANS       </t>
  </si>
  <si>
    <t>ROUDAUT LECLERC ST PAUL ROMANS</t>
  </si>
  <si>
    <t xml:space="preserve">ROUDAUT SAS LECLERC LABEL     </t>
  </si>
  <si>
    <t xml:space="preserve">SAVOIE GEL CHAMBERY           </t>
  </si>
  <si>
    <t xml:space="preserve">SODELY BRIGNAIS               </t>
  </si>
  <si>
    <t xml:space="preserve">SOPACEL ST ROMAIN DE POPEY    </t>
  </si>
  <si>
    <t xml:space="preserve">MD   </t>
  </si>
  <si>
    <t xml:space="preserve">AL BARAKA BRIVE LA GAILLARDE  </t>
  </si>
  <si>
    <t>BIE MGDP INVESTISSEMENT VILLIE</t>
  </si>
  <si>
    <t>CTRE F PLAINEMAISON STEAK HACH</t>
  </si>
  <si>
    <t xml:space="preserve">CTRE FRANCIS PLAINEMAISON     </t>
  </si>
  <si>
    <t xml:space="preserve">DEPLANCHE LAUBEYRE            </t>
  </si>
  <si>
    <t xml:space="preserve">DESTREL GRAMAT 46             </t>
  </si>
  <si>
    <t xml:space="preserve">ERIC PAYROT SAINT-CERE        </t>
  </si>
  <si>
    <t xml:space="preserve">ETS LOURDEL VAUCHELLES 80     </t>
  </si>
  <si>
    <t xml:space="preserve">EURODIS RUNGIS(AGNEAUX)       </t>
  </si>
  <si>
    <t xml:space="preserve">FGDS COPVIAL REICHSTETT       </t>
  </si>
  <si>
    <t xml:space="preserve">METRO PERIGUEUX 24            </t>
  </si>
  <si>
    <t xml:space="preserve">OVIMPEX                       </t>
  </si>
  <si>
    <t xml:space="preserve">QUISQUATER &amp; CO DENDERMONDE   </t>
  </si>
  <si>
    <t xml:space="preserve">ROUILLON SAUVAGE STEACK HACHE </t>
  </si>
  <si>
    <t xml:space="preserve">SA BELOT FRERES               </t>
  </si>
  <si>
    <t xml:space="preserve">SARL EXO PRODUITS 19 BRIVE    </t>
  </si>
  <si>
    <t xml:space="preserve">SAUVAGE VIANDES FEUQUIERES    </t>
  </si>
  <si>
    <t xml:space="preserve">SAUVAGE VIANDES STEACK HACHE  </t>
  </si>
  <si>
    <t xml:space="preserve">SICABA BOURBON                </t>
  </si>
  <si>
    <t xml:space="preserve">SODEXO ANOV FRANCE BRIVE      </t>
  </si>
  <si>
    <t>SOUFFERANT VIANDES MARCIGNY 71</t>
  </si>
  <si>
    <t xml:space="preserve">STE GUY LAGACHE FRIAUCOURT    </t>
  </si>
  <si>
    <t xml:space="preserve">VIANDES DE CORREZE BRIVE      </t>
  </si>
  <si>
    <t xml:space="preserve">MDU  </t>
  </si>
  <si>
    <t>8 A HUIT IGNY MARGUERITE DISTR</t>
  </si>
  <si>
    <t xml:space="preserve">AU BOEUF NIVERNAIS 75 PARIS   </t>
  </si>
  <si>
    <t xml:space="preserve">AU BON BILLOT PAMFOU          </t>
  </si>
  <si>
    <t>BBR BIE LA SABLIERE PARIS14 75</t>
  </si>
  <si>
    <t xml:space="preserve">Be PLACE STALINGRA MEUDON 92  </t>
  </si>
  <si>
    <t xml:space="preserve">BIE BARONE GAYLORD SCEAUX     </t>
  </si>
  <si>
    <t xml:space="preserve">BIE BAY MORANGIS              </t>
  </si>
  <si>
    <t xml:space="preserve">BIE BEAU MARCHE MAGNANVILLE   </t>
  </si>
  <si>
    <t xml:space="preserve">BIE BOULAY VERSAILLES         </t>
  </si>
  <si>
    <t xml:space="preserve">BIE BRETTE BENOIT             </t>
  </si>
  <si>
    <t>BIE CAMBRONNE DEBRAY PARIS 15E</t>
  </si>
  <si>
    <t xml:space="preserve">BIE CHASSINEAU IVRY           </t>
  </si>
  <si>
    <t xml:space="preserve">BIE CHEVRY II GIF SUR YVETTE  </t>
  </si>
  <si>
    <t xml:space="preserve">BIE CSK ROQUETTE PARIS 11?me  </t>
  </si>
  <si>
    <t xml:space="preserve">BIE D AUTREFOIS EZANVILLE 95  </t>
  </si>
  <si>
    <t>BIE DAUMESNIL DEBRAY PARIS 12E</t>
  </si>
  <si>
    <t xml:space="preserve">BIE DE L EGLISE 92 COURBEVOIE </t>
  </si>
  <si>
    <t xml:space="preserve">BIE DE LA GARE SUCY EN BRIE   </t>
  </si>
  <si>
    <t xml:space="preserve">BIE DE LA MONTAGNE PARIS 5    </t>
  </si>
  <si>
    <t xml:space="preserve">BIE DE LA VALLEE SOISY        </t>
  </si>
  <si>
    <t xml:space="preserve">BIE DES ECOLES 75011 PARIS    </t>
  </si>
  <si>
    <t xml:space="preserve">BIE DU BALTARD NOGENT/MARNE   </t>
  </si>
  <si>
    <t>BIE DU CARREFOUR GLACIERE PARI</t>
  </si>
  <si>
    <t xml:space="preserve">BIE DU HAUT PAVE 91 ETAMPES   </t>
  </si>
  <si>
    <t xml:space="preserve">BIE DU MARCHE DES ESCUDIERS   </t>
  </si>
  <si>
    <t xml:space="preserve">BIE DU PARC MONCEAU PARIS 17  </t>
  </si>
  <si>
    <t xml:space="preserve">BIE DULONGCOURTY VINCENNES    </t>
  </si>
  <si>
    <t xml:space="preserve">BIE EGLISE MARCOUSSIS         </t>
  </si>
  <si>
    <t xml:space="preserve">BIE FALGUIERE PARIS           </t>
  </si>
  <si>
    <t xml:space="preserve">BIE GINDRE DENIS PARIS        </t>
  </si>
  <si>
    <t>BIE GINDRE ORDENER DENIS PARIS</t>
  </si>
  <si>
    <t xml:space="preserve">BIE GRANDE RUE L ISLE ADAM    </t>
  </si>
  <si>
    <t>BIE HERRAULT PATRICK CHARENTON</t>
  </si>
  <si>
    <t xml:space="preserve">BIE LA PLUME D OR PARIS 17EME </t>
  </si>
  <si>
    <t xml:space="preserve">BIE LENORMAND                 </t>
  </si>
  <si>
    <t xml:space="preserve">BIE MADELEINE MONTEIRO PARIS  </t>
  </si>
  <si>
    <t>BIE NALLET ARMEL 95 ARGENTEUIL</t>
  </si>
  <si>
    <t xml:space="preserve">BIE NOUVELLE CONVENTION PARIS </t>
  </si>
  <si>
    <t>BIE PARISIENNE DEBRAY PARIS 5E</t>
  </si>
  <si>
    <t xml:space="preserve">BIE PAT ET DAV PARIS II       </t>
  </si>
  <si>
    <t xml:space="preserve">BIE PAT ET DAV VINCENNES      </t>
  </si>
  <si>
    <t xml:space="preserve">BIE PHILIPPE JOSEPH           </t>
  </si>
  <si>
    <t xml:space="preserve">BIE ROQUETTE DEBRAY PARIS 11  </t>
  </si>
  <si>
    <t xml:space="preserve">BIE RUBLON PATRICK FONTENAY   </t>
  </si>
  <si>
    <t xml:space="preserve">BIE TRIPIED RAMBOUILLET       </t>
  </si>
  <si>
    <t>BIES NIVERNAISES RUNGIS THIAIS</t>
  </si>
  <si>
    <t>BIES NIVERNAISES ST HONORE PAR</t>
  </si>
  <si>
    <t xml:space="preserve">BOUCHERIE ANDRE VERSAILLES    </t>
  </si>
  <si>
    <t xml:space="preserve">BOUCHERIE VASSEUR             </t>
  </si>
  <si>
    <t>BOUCHERIE VOLTAIRE 94 VINCENNE</t>
  </si>
  <si>
    <t>BOUCHERIES ILE FRAN. ROMAIVILL</t>
  </si>
  <si>
    <t>BOUGEARD THIERRY VERSAILLES 78</t>
  </si>
  <si>
    <t>CASINO CS272 ST DIDIER LIV DIR</t>
  </si>
  <si>
    <t xml:space="preserve">CHAUVEL PARIS 17EME           </t>
  </si>
  <si>
    <t xml:space="preserve">DOMAFRAIS MORANGIS            </t>
  </si>
  <si>
    <t xml:space="preserve">DU HAMEL COLOMBES             </t>
  </si>
  <si>
    <t xml:space="preserve">DUMONT ANDRESY BIE DU CENTRE  </t>
  </si>
  <si>
    <t xml:space="preserve">ECHANTILLONS RODEZ            </t>
  </si>
  <si>
    <t xml:space="preserve">EMSALEM VIANDES PARIS         </t>
  </si>
  <si>
    <t xml:space="preserve">EURL GAEL - BIE DE L EGLISE   </t>
  </si>
  <si>
    <t>EUROVIA MEATS FONTENAY LE COMT</t>
  </si>
  <si>
    <t xml:space="preserve">FASMAN COLOMBES               </t>
  </si>
  <si>
    <t xml:space="preserve">GBND BIE NOUVELLE PARIS 18    </t>
  </si>
  <si>
    <t xml:space="preserve">GBS SURESNES                  </t>
  </si>
  <si>
    <t xml:space="preserve">GENERALE BOUCHERIE ASNIERES/  </t>
  </si>
  <si>
    <t xml:space="preserve">GEPI HALLES ST OUEN L AUMONE  </t>
  </si>
  <si>
    <t>GRANDE BIE PLAINE MONCEAU PARI</t>
  </si>
  <si>
    <t>GRANDE BOUCHERIE PONCELET PARI</t>
  </si>
  <si>
    <t xml:space="preserve">HALLES DE L AVEYRON HERBLAY   </t>
  </si>
  <si>
    <t xml:space="preserve">LEPELTIER ST GERMAIN EN LAYE  </t>
  </si>
  <si>
    <t>LES DELICES DE RAMBOUILLET RAM</t>
  </si>
  <si>
    <t xml:space="preserve">LESTAS PASCAL VIROFLAY 78     </t>
  </si>
  <si>
    <t xml:space="preserve">MAISON GIAMMATEI 78 AUFFARGIS </t>
  </si>
  <si>
    <t xml:space="preserve">MAMIE BURGER PARIS OPERA      </t>
  </si>
  <si>
    <t xml:space="preserve">MAMIE BURGER PARIS ST FIACRE  </t>
  </si>
  <si>
    <t xml:space="preserve">METZGER RUNGIS                </t>
  </si>
  <si>
    <t>MIRABELLA CHELLES BIE GAMBETTA</t>
  </si>
  <si>
    <t xml:space="preserve">POMONA TERRE AZUR RUNGIS      </t>
  </si>
  <si>
    <t xml:space="preserve">POSSIMATO ST CLOUD BIE FOCH   </t>
  </si>
  <si>
    <t xml:space="preserve">REST L ENTRACTE DES GOBELINS  </t>
  </si>
  <si>
    <t xml:space="preserve">ROB THE GOURMETS BRUXELLES    </t>
  </si>
  <si>
    <t xml:space="preserve">ROYAL VOLAILLE PARIS 19       </t>
  </si>
  <si>
    <t xml:space="preserve">SAFIR BAZAR 45 PITHIVIERS     </t>
  </si>
  <si>
    <t xml:space="preserve">SARL BIE DU ROUILLON 91       </t>
  </si>
  <si>
    <t xml:space="preserve">SARL BOUCHERIE D AUVERS       </t>
  </si>
  <si>
    <t xml:space="preserve">SARL BOUCHERIE DE LA PLACE    </t>
  </si>
  <si>
    <t xml:space="preserve">SARL DU CHATEAU               </t>
  </si>
  <si>
    <t>SICA VIANDES PAYS ST PIERRE 97</t>
  </si>
  <si>
    <t>SLV BIE DU PARC 92 NEUILLY/SEI</t>
  </si>
  <si>
    <t xml:space="preserve">SODEXO CRECHES DE PARIS       </t>
  </si>
  <si>
    <t xml:space="preserve">STE COK VOISINS LE BRETONNEUX </t>
  </si>
  <si>
    <t xml:space="preserve">STE HUGUENIN RUNGIS 94        </t>
  </si>
  <si>
    <t xml:space="preserve">TRIBOLET ALAIN ANDRE PARIS 75 </t>
  </si>
  <si>
    <t xml:space="preserve">TRIBOLET CLAMART              </t>
  </si>
  <si>
    <t xml:space="preserve">VENTES DIVERS ARSAC           </t>
  </si>
  <si>
    <t xml:space="preserve">MGL  </t>
  </si>
  <si>
    <t xml:space="preserve">BIE DES GOURMETS 75017 PARIS  </t>
  </si>
  <si>
    <t xml:space="preserve">BIE VERON JEAN-PAUL LE PIN    </t>
  </si>
  <si>
    <t xml:space="preserve">BOUCHERIE DU CENTRE HOUILLE   </t>
  </si>
  <si>
    <t xml:space="preserve">KACHER MONTREUIL SOUS BOIS    </t>
  </si>
  <si>
    <t xml:space="preserve">SIMPLY MARKET DRAVEIL         </t>
  </si>
  <si>
    <t xml:space="preserve">SMJ JUVISY SUR ORGE           </t>
  </si>
  <si>
    <t xml:space="preserve">MJ   </t>
  </si>
  <si>
    <t>JA GASTRONOMIE ST BARTHELEMY D</t>
  </si>
  <si>
    <t xml:space="preserve">METRO POITIERS 56             </t>
  </si>
  <si>
    <t xml:space="preserve">ML   </t>
  </si>
  <si>
    <t xml:space="preserve">MM   </t>
  </si>
  <si>
    <t xml:space="preserve">BIE DRIFEL CLERMONT FERRAND   </t>
  </si>
  <si>
    <t>BIE VENDEENNE DUGAST 63 CHAMAL</t>
  </si>
  <si>
    <t xml:space="preserve">BOUCHERIE HARTEL 89           </t>
  </si>
  <si>
    <t xml:space="preserve">MR THIERRY CASTAUD CEBAZAT 63 </t>
  </si>
  <si>
    <t xml:space="preserve">VIDAL GILBERT ISSOIRE 63      </t>
  </si>
  <si>
    <t xml:space="preserve">MO   </t>
  </si>
  <si>
    <t xml:space="preserve">MU   </t>
  </si>
  <si>
    <t xml:space="preserve">BSNC BOULOGNE SUR MER         </t>
  </si>
  <si>
    <t xml:space="preserve">CATRICE BENOIT BOUSBECOUE 59  </t>
  </si>
  <si>
    <t xml:space="preserve">LESAGE ET FILS 59 CHEMY       </t>
  </si>
  <si>
    <t xml:space="preserve">PRO A PRO NORD SOMAIN         </t>
  </si>
  <si>
    <t xml:space="preserve">WIOTTE RUE AU LIN AMIENS      </t>
  </si>
  <si>
    <t>WIOTTE RUE METZ AMIENS BEFFROI</t>
  </si>
  <si>
    <t xml:space="preserve">WIOTTE RUE ST FUSCIEN AMIENS  </t>
  </si>
  <si>
    <t xml:space="preserve">P    </t>
  </si>
  <si>
    <t xml:space="preserve">NEREVIA                       </t>
  </si>
  <si>
    <t xml:space="preserve">RA   </t>
  </si>
  <si>
    <t>ABATTOIRS DE PROVENCE MARSEILL</t>
  </si>
  <si>
    <t xml:space="preserve">AGLOTIZI 30900 NIMES          </t>
  </si>
  <si>
    <t xml:space="preserve">AIX TRAITS DE SAVEURS AIX     </t>
  </si>
  <si>
    <t>ALBA ALIMENTATION BIE ARTISANA</t>
  </si>
  <si>
    <t xml:space="preserve">ALIM BEAULIEU HOIWIR TOULON   </t>
  </si>
  <si>
    <t xml:space="preserve">ALPHA VIANDES CARPENTRAS      </t>
  </si>
  <si>
    <t xml:space="preserve">AMALE MARSEILLE 13            </t>
  </si>
  <si>
    <t xml:space="preserve">AMALO BIE L ETOILE VERTE NICE </t>
  </si>
  <si>
    <t xml:space="preserve">AMANSOUR LE PONTET            </t>
  </si>
  <si>
    <t>AMD BOUCHERIE COQUIERES AUBAGN</t>
  </si>
  <si>
    <t xml:space="preserve">ARFOUD TOULON                 </t>
  </si>
  <si>
    <t xml:space="preserve">ASSAADA MARSEILLE SAADA       </t>
  </si>
  <si>
    <t xml:space="preserve">AU POULET GRILLE CHEZ ASFOUR  </t>
  </si>
  <si>
    <t xml:space="preserve">BAB ELMANSOUR MONTPELLIER     </t>
  </si>
  <si>
    <t xml:space="preserve">BEA CARNI Y BOVES             </t>
  </si>
  <si>
    <t xml:space="preserve">BIE 3.6.9. NIMES AISSA        </t>
  </si>
  <si>
    <t xml:space="preserve">BIE ABDERRAHMAN NIMES         </t>
  </si>
  <si>
    <t xml:space="preserve">BIE ADELIN M RODRIGUES 13     </t>
  </si>
  <si>
    <t xml:space="preserve">BIE AZHOUR MOHAMED AJACCIO    </t>
  </si>
  <si>
    <t xml:space="preserve">BIE B M VIANDES TOULON        </t>
  </si>
  <si>
    <t xml:space="preserve">BIE BARRIOL ARLES 13          </t>
  </si>
  <si>
    <t xml:space="preserve">BIE BOUNOUAR SAADA HYERES     </t>
  </si>
  <si>
    <t xml:space="preserve">BIE CHARC ITALIENNE NICE      </t>
  </si>
  <si>
    <t>BIE CHARCUTERIE YADINE MIRAMAS</t>
  </si>
  <si>
    <t>BIE CHEZ NIHAL AIX EN PROVENCE</t>
  </si>
  <si>
    <t xml:space="preserve">BIE DE LA TOUR LE MUY         </t>
  </si>
  <si>
    <t xml:space="preserve">BIE DES JONQUILLES NIMES 30   </t>
  </si>
  <si>
    <t xml:space="preserve">BIE DHIF 13 SALON DE PROVENCE </t>
  </si>
  <si>
    <t xml:space="preserve">BIE DU COMTAT ORANGE          </t>
  </si>
  <si>
    <t xml:space="preserve">BIE DU VENTOUX CARPENTRAS     </t>
  </si>
  <si>
    <t xml:space="preserve">BIE DURANCE CAVAILLON         </t>
  </si>
  <si>
    <t xml:space="preserve">BIE EL HOGGAR TOULON          </t>
  </si>
  <si>
    <t xml:space="preserve">BIE ELNASR 84 AVIGNON         </t>
  </si>
  <si>
    <t xml:space="preserve">BIE ESSALAM SALON DE PROVENCE </t>
  </si>
  <si>
    <t xml:space="preserve">BIE FCCS LA SEYNE SUR MER     </t>
  </si>
  <si>
    <t xml:space="preserve">BIE GOLFE ORIENT TOULON LARAJ </t>
  </si>
  <si>
    <t>BIE HIDA SAVEURS DU HALAL TOUL</t>
  </si>
  <si>
    <t xml:space="preserve">BIE IBTISSMA LE CANNET        </t>
  </si>
  <si>
    <t xml:space="preserve">BIE LE LIMOUSIN MARTIGUES     </t>
  </si>
  <si>
    <t xml:space="preserve">BIE LE ROYAUME TIJANI SETE    </t>
  </si>
  <si>
    <t>BIE LES 2 FRERES 13 SALON DE P</t>
  </si>
  <si>
    <t xml:space="preserve">BIE LES PALMIERS TOULON       </t>
  </si>
  <si>
    <t xml:space="preserve">BIE MAROUX MARSEILLE          </t>
  </si>
  <si>
    <t xml:space="preserve">BIE MARWAN TOULON             </t>
  </si>
  <si>
    <t>BIE MERLIN BERNARD 13 MARSEILL</t>
  </si>
  <si>
    <t xml:space="preserve">BIE NOOR MARSEILLE            </t>
  </si>
  <si>
    <t xml:space="preserve">BIE PROVENCALE DU COQ D OR    </t>
  </si>
  <si>
    <t xml:space="preserve">BIE SOUSS MIRAMAS OURIKA      </t>
  </si>
  <si>
    <t xml:space="preserve">BIE ST CLEMENT 34 MONTPELLIER </t>
  </si>
  <si>
    <t xml:space="preserve">BIE ST JEAN PORT DE BOUC      </t>
  </si>
  <si>
    <t xml:space="preserve">BIE STEPHANE CAGNES/MER       </t>
  </si>
  <si>
    <t xml:space="preserve">BIE TAHA MONTPELLIER          </t>
  </si>
  <si>
    <t xml:space="preserve">BIE YOUSRA NIMES              </t>
  </si>
  <si>
    <t xml:space="preserve">bieO - BIE SAINT ANTOINE      </t>
  </si>
  <si>
    <t xml:space="preserve">BIGARD NICE SA                </t>
  </si>
  <si>
    <t xml:space="preserve">BISMILAH                      </t>
  </si>
  <si>
    <t xml:space="preserve">BONIFACE LOUIS SARL           </t>
  </si>
  <si>
    <t xml:space="preserve">BOUCHERIE ALIM ATLAS          </t>
  </si>
  <si>
    <t>BOUCHERIE JEAN LOUIS CHAUCHARD</t>
  </si>
  <si>
    <t xml:space="preserve">BOUCHERIE LE REGAL COGOLIN    </t>
  </si>
  <si>
    <t xml:space="preserve">BOUCHERIE LE ROYAUME MONTPEL  </t>
  </si>
  <si>
    <t xml:space="preserve">BOUCHERIE MEDITERRANEENNE     </t>
  </si>
  <si>
    <t xml:space="preserve">CARREF MARKET BANDOL          </t>
  </si>
  <si>
    <t xml:space="preserve">CARREFOUR EXPRESS MARTIGUES   </t>
  </si>
  <si>
    <t xml:space="preserve">CARREFOUR SALAMERO SERIGNAN   </t>
  </si>
  <si>
    <t xml:space="preserve">CARREFOUR SOHERDIS BEDARIEUX  </t>
  </si>
  <si>
    <t>CASINO CG222 NIME COSTIERE EDI</t>
  </si>
  <si>
    <t xml:space="preserve">CASINO CG313 VALS PRES EDI    </t>
  </si>
  <si>
    <t xml:space="preserve">CASINO CG316 MONTELIMAR EDI   </t>
  </si>
  <si>
    <t xml:space="preserve">CASINO CG738 MPT ODYSEUM EDI  </t>
  </si>
  <si>
    <t>CASINO CG854 MARSEIL V LIV DIR</t>
  </si>
  <si>
    <t xml:space="preserve">CASINO CS219 GRABELS LIV DIR  </t>
  </si>
  <si>
    <t xml:space="preserve">CASINO CS624 FORCALQUIER EDI  </t>
  </si>
  <si>
    <t xml:space="preserve">CASINO CS923 ANTIBES LIV DIR  </t>
  </si>
  <si>
    <t xml:space="preserve">CG339 ANNEMASSE edi           </t>
  </si>
  <si>
    <t xml:space="preserve">CG810 MONTPEL AUTOedi         </t>
  </si>
  <si>
    <t xml:space="preserve">CHAUCHARD PONT DE SALARS      </t>
  </si>
  <si>
    <t xml:space="preserve">CHEMAL SORGUES 84             </t>
  </si>
  <si>
    <t xml:space="preserve">CHEZ LOUFTI VALBONNE CIRTA    </t>
  </si>
  <si>
    <t xml:space="preserve">CIRTA ALES                    </t>
  </si>
  <si>
    <t xml:space="preserve">CLAUZIER CONNAUX              </t>
  </si>
  <si>
    <t xml:space="preserve">CMVI MARSEILLE                </t>
  </si>
  <si>
    <t>COMPTOIR BIE LES COQUIERES AUB</t>
  </si>
  <si>
    <t xml:space="preserve">CORA ALES                     </t>
  </si>
  <si>
    <t xml:space="preserve">CS 146 LE ROURET NICE LIV DIR </t>
  </si>
  <si>
    <t xml:space="preserve">CS 741 CASINO BERNIS (edi)    </t>
  </si>
  <si>
    <t xml:space="preserve">CS 969 HYERES LIV DIR         </t>
  </si>
  <si>
    <t xml:space="preserve">CS768 CASINO ST DIONIZY EDI   </t>
  </si>
  <si>
    <t xml:space="preserve">DEDE VIANDES                  </t>
  </si>
  <si>
    <t xml:space="preserve">DESTOCK MARKET 34 MONTPELLIER </t>
  </si>
  <si>
    <t>DISTRIBUTION CASH HALAL TOULON</t>
  </si>
  <si>
    <t xml:space="preserve">DOUNIA NIMES                  </t>
  </si>
  <si>
    <t xml:space="preserve">DUFOUR REILLANNE              </t>
  </si>
  <si>
    <t xml:space="preserve">EL BARAKA SETE                </t>
  </si>
  <si>
    <t xml:space="preserve">EL BOUSNANI ET FILS           </t>
  </si>
  <si>
    <t xml:space="preserve">ERRACHIDIA MONTPELLIER 34     </t>
  </si>
  <si>
    <t xml:space="preserve">EURO DISCOUNT FRAIS ALES 30   </t>
  </si>
  <si>
    <t xml:space="preserve">FRANCK BIE SALON DE PROVENCE  </t>
  </si>
  <si>
    <t xml:space="preserve">GOUT ET SAVEURS ST GILLES     </t>
  </si>
  <si>
    <t xml:space="preserve">GUILLOT VIANDES MENTON        </t>
  </si>
  <si>
    <t xml:space="preserve">GUY PIERRE  ALES              </t>
  </si>
  <si>
    <t xml:space="preserve">HLIMI AHMED GONFARON          </t>
  </si>
  <si>
    <t xml:space="preserve">HYPER U ALES                  </t>
  </si>
  <si>
    <t xml:space="preserve">INTERMARCHE LUNEL             </t>
  </si>
  <si>
    <t xml:space="preserve">INTERMARCHE MENTON LR         </t>
  </si>
  <si>
    <t xml:space="preserve">INTERMARCHE MENTON STANDART   </t>
  </si>
  <si>
    <t xml:space="preserve">ISLAM VIANDES AYMAN TOULON    </t>
  </si>
  <si>
    <t xml:space="preserve">ITRAN CANNES                  </t>
  </si>
  <si>
    <t xml:space="preserve">JM TRAITEUR VEDENE            </t>
  </si>
  <si>
    <t xml:space="preserve">L ENCAS 34 LUNEL              </t>
  </si>
  <si>
    <t xml:space="preserve">L ETOILE VERTE NICE 06        </t>
  </si>
  <si>
    <t xml:space="preserve">L HIRONDELLE 84 AVIGNON       </t>
  </si>
  <si>
    <t xml:space="preserve">L OASIS 30 NIMES              </t>
  </si>
  <si>
    <t xml:space="preserve">LA GAZELLE D OR MARSEILLE     </t>
  </si>
  <si>
    <t xml:space="preserve">LABEL-VIE MARKET NIMES        </t>
  </si>
  <si>
    <t xml:space="preserve">LECLERC NICE NIKAIADIS trad   </t>
  </si>
  <si>
    <t xml:space="preserve">LES DELICES D OR MONTPELLIER  </t>
  </si>
  <si>
    <t xml:space="preserve">LIBAC ST MARTIN VESUBIE       </t>
  </si>
  <si>
    <t xml:space="preserve">LK ALIMENTATION MARSEILLE     </t>
  </si>
  <si>
    <t xml:space="preserve">LOHOUM NIMES                  </t>
  </si>
  <si>
    <t xml:space="preserve">MADINA BOUCHERIE              </t>
  </si>
  <si>
    <t>MANSOUR BENSAID AIX EN PROVENC</t>
  </si>
  <si>
    <t xml:space="preserve">MARCHE PROVENCAL TOULON MUSSE </t>
  </si>
  <si>
    <t xml:space="preserve">MARRA RAPHAEL MARSEILLE 13    </t>
  </si>
  <si>
    <t xml:space="preserve">MARSEILLE MEAT COMPAGNY       </t>
  </si>
  <si>
    <t xml:space="preserve">MAXI MARKET SORGUES           </t>
  </si>
  <si>
    <t xml:space="preserve">MAXIME HAL CAVALAIRE          </t>
  </si>
  <si>
    <t xml:space="preserve">METRO CAISSARGUES             </t>
  </si>
  <si>
    <t xml:space="preserve">METRO LES PENNES MIRABEAU 18  </t>
  </si>
  <si>
    <t xml:space="preserve">METRO NICE 32                 </t>
  </si>
  <si>
    <t xml:space="preserve">MOMO CHEZ EL SAID AVIGNON     </t>
  </si>
  <si>
    <t xml:space="preserve">MORONIE VIANDES MARSEILLE     </t>
  </si>
  <si>
    <t>MOUTAOUAKIL LA CROIX VALMER SA</t>
  </si>
  <si>
    <t xml:space="preserve">NOCOR SARL                    </t>
  </si>
  <si>
    <t xml:space="preserve">NOOR MARSEILLE                </t>
  </si>
  <si>
    <t xml:space="preserve">OMAR EL MOUSSAOUI APT         </t>
  </si>
  <si>
    <t xml:space="preserve">OUBDIL MARIGNANE              </t>
  </si>
  <si>
    <t xml:space="preserve">PHOCEENNE DES VIANDES HALLAL  </t>
  </si>
  <si>
    <t xml:space="preserve">REST LE BOUCHER MARSEILLE     </t>
  </si>
  <si>
    <t xml:space="preserve">SAADA BOUCHERIE               </t>
  </si>
  <si>
    <t xml:space="preserve">SAADA SALAMA HYERES           </t>
  </si>
  <si>
    <t xml:space="preserve">SALAMA                        </t>
  </si>
  <si>
    <t xml:space="preserve">SARL DU SUD BEAUCAIRE         </t>
  </si>
  <si>
    <t xml:space="preserve">SARL EL SAID 84 AVIGNON       </t>
  </si>
  <si>
    <t xml:space="preserve">SARL O.T.M                    </t>
  </si>
  <si>
    <t xml:space="preserve">SARL OUJDA 13 MIRAMAS         </t>
  </si>
  <si>
    <t xml:space="preserve">SODIFAL SA BASTIA             </t>
  </si>
  <si>
    <t xml:space="preserve">SODIGAV BASTIA                </t>
  </si>
  <si>
    <t xml:space="preserve">SOUK SAVEUR SARAWI DRAGUIGNAN </t>
  </si>
  <si>
    <t xml:space="preserve">SUPER SOUK FURIANI            </t>
  </si>
  <si>
    <t xml:space="preserve">VARTRADE ST RAPHAEL           </t>
  </si>
  <si>
    <t xml:space="preserve">RC   </t>
  </si>
  <si>
    <t xml:space="preserve">RT   </t>
  </si>
  <si>
    <t xml:space="preserve">BADECHE CHERIF TOULOUSE       </t>
  </si>
  <si>
    <t xml:space="preserve">BIE LE CRYSTAL TOULOUSE       </t>
  </si>
  <si>
    <t xml:space="preserve">BIE OCCITANE CORNEBARRIEU     </t>
  </si>
  <si>
    <t xml:space="preserve">BOUCHERIE DES FONTAINES       </t>
  </si>
  <si>
    <t xml:space="preserve">BOUCHERIE EL RAHMA            </t>
  </si>
  <si>
    <t xml:space="preserve">CARREFOUR CHRISDIS CUGNAUX    </t>
  </si>
  <si>
    <t xml:space="preserve">DISCOUNT HALAL TOULOUSE       </t>
  </si>
  <si>
    <t xml:space="preserve">EL BAHIA RUE DU LOT TLSE 31   </t>
  </si>
  <si>
    <t xml:space="preserve">HAMZA MURET                   </t>
  </si>
  <si>
    <t xml:space="preserve">L ORANAISE TOULOUSE           </t>
  </si>
  <si>
    <t>LA MAISON DE L AGNEAU VICTOR H</t>
  </si>
  <si>
    <t xml:space="preserve">LE PALMIER PELISSIER TOULOUSE </t>
  </si>
  <si>
    <t xml:space="preserve">MARSSA                        </t>
  </si>
  <si>
    <t xml:space="preserve">MARSSA TOULOUSE MINIMES       </t>
  </si>
  <si>
    <t xml:space="preserve">NORBERT TRIPERIE TOULOUSE     </t>
  </si>
  <si>
    <t xml:space="preserve">QUICK BURGER                  </t>
  </si>
  <si>
    <t xml:space="preserve">QUICK D ORIENT TOULOUSE       </t>
  </si>
  <si>
    <t xml:space="preserve">SARL EL BAHIA TOULOUSE        </t>
  </si>
  <si>
    <t xml:space="preserve">SARL EL FETH                  </t>
  </si>
  <si>
    <t xml:space="preserve">SARL IKRAM HALAL              </t>
  </si>
  <si>
    <t xml:space="preserve">SARL LA VEDETTE 31            </t>
  </si>
  <si>
    <t xml:space="preserve">SARL PROXIM HALAL             </t>
  </si>
  <si>
    <t xml:space="preserve">SULTAN TOULOUSE KIKIH         </t>
  </si>
  <si>
    <t xml:space="preserve">TRIPERIE GASCONNE TOULOUSE    </t>
  </si>
  <si>
    <t xml:space="preserve">VILLE YOAN TOULOUSE           </t>
  </si>
  <si>
    <t xml:space="preserve">YAZID TOULOUSE EL MORCHID     </t>
  </si>
  <si>
    <t xml:space="preserve">ZIANE TOULOUSE                </t>
  </si>
  <si>
    <t xml:space="preserve">RTD  </t>
  </si>
  <si>
    <t xml:space="preserve">AGROVIA SARL                  </t>
  </si>
  <si>
    <t xml:space="preserve">AIRBUS CENTRAL ENTITY R06     </t>
  </si>
  <si>
    <t xml:space="preserve">AU MARCHE D ORIENT            </t>
  </si>
  <si>
    <t xml:space="preserve">BAZAR TINERHIR GRAULHET       </t>
  </si>
  <si>
    <t xml:space="preserve">BETEILLE PIERRE REVEL         </t>
  </si>
  <si>
    <t xml:space="preserve">CASINO CG846 ONET LE CHAT EDI </t>
  </si>
  <si>
    <t xml:space="preserve">CASINO CS219 GRABELS EDI      </t>
  </si>
  <si>
    <t xml:space="preserve">CASINO CS368 BOLQUERE EDI     </t>
  </si>
  <si>
    <t>CASINO CS589 VILENEUVE/LOT EDI</t>
  </si>
  <si>
    <t xml:space="preserve">CASINO CS590 MOISSAC EDI      </t>
  </si>
  <si>
    <t xml:space="preserve">CASINO CS592 PASSAGE AGEN EDI </t>
  </si>
  <si>
    <t xml:space="preserve">CASINO CS697  ANDERNOS EDI    </t>
  </si>
  <si>
    <t xml:space="preserve">CASINO CS706 MONTFLANQUIN EDI </t>
  </si>
  <si>
    <t xml:space="preserve">CASINO CS812  MONTPELLIER EDI </t>
  </si>
  <si>
    <t xml:space="preserve">CASINO CS906 LES MINIMES EDI  </t>
  </si>
  <si>
    <t xml:space="preserve">CASINO CS907 DEMOISELLE EDI   </t>
  </si>
  <si>
    <t xml:space="preserve">CASINO CS909 TLSE L UNION EDI </t>
  </si>
  <si>
    <t xml:space="preserve">CASINO CS919 LA CEPIERE EDI   </t>
  </si>
  <si>
    <t xml:space="preserve">CASINO CS933 NARBONNE EDI     </t>
  </si>
  <si>
    <t xml:space="preserve">CASINO CS953 BEZIERS EDI      </t>
  </si>
  <si>
    <t xml:space="preserve">CASINO CS961 MONTPELLIER EDI  </t>
  </si>
  <si>
    <t xml:space="preserve">CHAUMONT JEAN MARIE MONTAUBAN </t>
  </si>
  <si>
    <t xml:space="preserve">COBEVIAL ALBI                 </t>
  </si>
  <si>
    <t xml:space="preserve">CS309 BEZIERS RIQUET edi      </t>
  </si>
  <si>
    <t xml:space="preserve">FONTANILLES MONTFRANC         </t>
  </si>
  <si>
    <t xml:space="preserve">G CASINO CG827 TARBES EDI     </t>
  </si>
  <si>
    <t xml:space="preserve">G CASINO CG845 FENOUILLET EDI </t>
  </si>
  <si>
    <t>G CASINO CG851 DECAZEVILLE EDI</t>
  </si>
  <si>
    <t xml:space="preserve">G CASINO CG857 MONTAUBAN EDI  </t>
  </si>
  <si>
    <t xml:space="preserve">GEANT CASINO CG335 MILLAU EDI </t>
  </si>
  <si>
    <t>GEANT CASINO CG811 BEZIERS EDI</t>
  </si>
  <si>
    <t xml:space="preserve">GEANT CASINO CG818 BOE EDI    </t>
  </si>
  <si>
    <t xml:space="preserve">GEANT CASINO CG826 ALBI EDI   </t>
  </si>
  <si>
    <t xml:space="preserve">GEANT CASINO CG853 LONS EDI   </t>
  </si>
  <si>
    <t xml:space="preserve">GEANT CASINO CG890 ANGLET EDI </t>
  </si>
  <si>
    <t xml:space="preserve">PRADALIE DAVID                </t>
  </si>
  <si>
    <t>SODEXO AIRBUS HEAD BLAGNAC R01</t>
  </si>
  <si>
    <t xml:space="preserve">SODEXO AIRBUS TRAINING R02    </t>
  </si>
  <si>
    <t>SOVIVO BRUGUIERES STEACK HACHE</t>
  </si>
  <si>
    <t xml:space="preserve">TARVI ALBI                    </t>
  </si>
  <si>
    <t xml:space="preserve">TRIPERIE JULIEN CARMAUX       </t>
  </si>
  <si>
    <t xml:space="preserve">VM COURTAGE SAMATAN           </t>
  </si>
  <si>
    <t>ZOO DES 3 VALLEES MONTREDON LA</t>
  </si>
  <si>
    <t xml:space="preserve">RV   </t>
  </si>
  <si>
    <t>AU BONHEUR DES TARTES MONTPELL</t>
  </si>
  <si>
    <t>BRASSERIE LE THEATRE 34 MONTPE</t>
  </si>
  <si>
    <t>BRASSERIE SCHOLLER MONTPELLIER</t>
  </si>
  <si>
    <t xml:space="preserve">BRIAULT MONTPELLIER           </t>
  </si>
  <si>
    <t xml:space="preserve">CC SETE SODEXO SFR 101015     </t>
  </si>
  <si>
    <t xml:space="preserve">COMPTOIR DE L ARC MONTPEL 34  </t>
  </si>
  <si>
    <t xml:space="preserve">DUFFAU FREDERIC MONTPELLIER   </t>
  </si>
  <si>
    <t>HOTEL IMAGE ST REMY DE PROVENC</t>
  </si>
  <si>
    <t xml:space="preserve">HOTEL MERCURE MONTPELLIER     </t>
  </si>
  <si>
    <t xml:space="preserve">L AMARINE ST REMY DE PROVENCE </t>
  </si>
  <si>
    <t xml:space="preserve">LA OLA                        </t>
  </si>
  <si>
    <t xml:space="preserve">LE FONTENOY MONTPELLIER       </t>
  </si>
  <si>
    <t xml:space="preserve">LE PETIT JARDIN MONTPELLIER   </t>
  </si>
  <si>
    <t xml:space="preserve">MAIRIE AGDE 34                </t>
  </si>
  <si>
    <t>REST L ENVIE GRAU D AGDE CLEMS</t>
  </si>
  <si>
    <t xml:space="preserve">REST LE BRASERO LATTES        </t>
  </si>
  <si>
    <t xml:space="preserve">REST LE KALYSTA LE CRES       </t>
  </si>
  <si>
    <t xml:space="preserve">REST LE MARIE-JEAN SETE       </t>
  </si>
  <si>
    <t xml:space="preserve">RESTAURANT LE BISTROT DU PORT </t>
  </si>
  <si>
    <t xml:space="preserve">RESTAURANT O COING            </t>
  </si>
  <si>
    <t xml:space="preserve">T    </t>
  </si>
  <si>
    <t>SALAISON DE PRADELLES PRADELLE</t>
  </si>
  <si>
    <t xml:space="preserve">TA   </t>
  </si>
  <si>
    <t xml:space="preserve">BIE TRAITEUR MAISON ROBERT    </t>
  </si>
  <si>
    <t xml:space="preserve">DAVIGEL LYON                  </t>
  </si>
  <si>
    <t>DOISNEAU PERE ET FILS LE BOURG</t>
  </si>
  <si>
    <t xml:space="preserve">LA FERME DE COLLONGES 01      </t>
  </si>
  <si>
    <t xml:space="preserve">SARL LA MODELE - CONTI DAVID  </t>
  </si>
  <si>
    <t xml:space="preserve">TI   </t>
  </si>
  <si>
    <t xml:space="preserve">2L SRL ARMA DI TAGGIA         </t>
  </si>
  <si>
    <t xml:space="preserve">ALDO QUAGLIOTTI               </t>
  </si>
  <si>
    <t>ALICARNI DI POCO FELICE CALTIG</t>
  </si>
  <si>
    <t xml:space="preserve">BORGO CARNI SRL BUGGIANO      </t>
  </si>
  <si>
    <t xml:space="preserve">BUZZI S.P.A. GIUSSANO ITALIE  </t>
  </si>
  <si>
    <t xml:space="preserve">CARBONE GIACOMO FRANCO ECSAS  </t>
  </si>
  <si>
    <t xml:space="preserve">CARNI BOTALLA MONGRANDO       </t>
  </si>
  <si>
    <t>CARNI SPECIALI CUOR GHIVIZZANO</t>
  </si>
  <si>
    <t xml:space="preserve">CCA FIRENZE Y                 </t>
  </si>
  <si>
    <t xml:space="preserve">CO CAB POZZUOLO MARTESANA     </t>
  </si>
  <si>
    <t xml:space="preserve">ELLECARNI Y SRL               </t>
  </si>
  <si>
    <t xml:space="preserve">GERIBA MONTEMURLO             </t>
  </si>
  <si>
    <t xml:space="preserve">GERIBA SRL MONTEMURLO         </t>
  </si>
  <si>
    <t xml:space="preserve">GESTIGULLIO Y SRL RAPALLO     </t>
  </si>
  <si>
    <t>L ANTICA NORCINERIA Y GHIVIZZA</t>
  </si>
  <si>
    <t xml:space="preserve">MARR RIMINI                   </t>
  </si>
  <si>
    <t xml:space="preserve">MOLTENI CARNI CANNAGO LENTAT  </t>
  </si>
  <si>
    <t xml:space="preserve">MONTRASIO CARNI MERONE 934    </t>
  </si>
  <si>
    <t xml:space="preserve">NUOVA SCHINO DOMODOSSOLA 916  </t>
  </si>
  <si>
    <t xml:space="preserve">SACAR SANT ALBANO STURA       </t>
  </si>
  <si>
    <t>SALUMIFICIO GERINI PONTASSIEVE</t>
  </si>
  <si>
    <t xml:space="preserve">SCHEUCHER-ITALIA SRL BOLOGNA  </t>
  </si>
  <si>
    <t xml:space="preserve">TIMOSSI SAVIGNO               </t>
  </si>
  <si>
    <t xml:space="preserve">UBOLDI CARNI FENEGRO          </t>
  </si>
  <si>
    <t xml:space="preserve">VAL MAUL CAVRIGLIA ITALIE     </t>
  </si>
  <si>
    <t xml:space="preserve">VALDERA CARNI SRL             </t>
  </si>
  <si>
    <t xml:space="preserve">VERCELLI FORMIGLIANA 921      </t>
  </si>
  <si>
    <t xml:space="preserve">VIGNALE GIORGIO SRL           </t>
  </si>
  <si>
    <t xml:space="preserve">TL   </t>
  </si>
  <si>
    <t xml:space="preserve">TM   </t>
  </si>
  <si>
    <t xml:space="preserve">TT   </t>
  </si>
  <si>
    <t xml:space="preserve">ADSO TARBES                   </t>
  </si>
  <si>
    <t xml:space="preserve">BIE DES HALLES TARBES OUBAALI </t>
  </si>
  <si>
    <t>Tournées</t>
  </si>
  <si>
    <t>Clients</t>
  </si>
  <si>
    <t>Durée mois</t>
  </si>
  <si>
    <t>Pds/liv</t>
  </si>
  <si>
    <t>Nb/lib</t>
  </si>
  <si>
    <t>€/kg</t>
  </si>
  <si>
    <t>G</t>
  </si>
  <si>
    <t>M</t>
  </si>
  <si>
    <t>M42</t>
  </si>
  <si>
    <t>MD</t>
  </si>
  <si>
    <t>M43</t>
  </si>
  <si>
    <t>M44</t>
  </si>
  <si>
    <t>M45</t>
  </si>
  <si>
    <t>M46</t>
  </si>
  <si>
    <t>M47</t>
  </si>
  <si>
    <t>M48</t>
  </si>
  <si>
    <t>M49</t>
  </si>
  <si>
    <t>M50</t>
  </si>
  <si>
    <t>M51</t>
  </si>
  <si>
    <t>M52</t>
  </si>
  <si>
    <t>M53</t>
  </si>
  <si>
    <t>M54</t>
  </si>
  <si>
    <t>M55</t>
  </si>
  <si>
    <t>M56</t>
  </si>
  <si>
    <t>M57</t>
  </si>
  <si>
    <t>M58</t>
  </si>
  <si>
    <t>M59</t>
  </si>
  <si>
    <t>M60</t>
  </si>
  <si>
    <t>M61</t>
  </si>
  <si>
    <t>M62</t>
  </si>
  <si>
    <t>M63</t>
  </si>
  <si>
    <t>M64</t>
  </si>
  <si>
    <t>M65</t>
  </si>
  <si>
    <t>M66</t>
  </si>
  <si>
    <t>M67</t>
  </si>
  <si>
    <t>M68</t>
  </si>
  <si>
    <t>M69</t>
  </si>
  <si>
    <t>Pds/Liv 3 mois</t>
  </si>
  <si>
    <t>Nb Liv 3 mois</t>
  </si>
  <si>
    <t>€/Kg 3 mois</t>
  </si>
  <si>
    <t>Pds/Liv 6 mois</t>
  </si>
  <si>
    <t>Nb Liv 6 mois</t>
  </si>
  <si>
    <t>€/Kg 6 mois</t>
  </si>
  <si>
    <t>Total général</t>
  </si>
  <si>
    <t>Somme de Pds/liv</t>
  </si>
  <si>
    <t>ID</t>
  </si>
  <si>
    <t>Nom</t>
  </si>
  <si>
    <t>FR-01</t>
  </si>
  <si>
    <t>Ain</t>
  </si>
  <si>
    <t>FR-02</t>
  </si>
  <si>
    <t>Aisne</t>
  </si>
  <si>
    <t>FR-03</t>
  </si>
  <si>
    <t>Allier</t>
  </si>
  <si>
    <t>FR-04</t>
  </si>
  <si>
    <t>Alpes-de-Haute-Provence</t>
  </si>
  <si>
    <t>FR-05</t>
  </si>
  <si>
    <t>Hautes-Alpes</t>
  </si>
  <si>
    <t>FR-06</t>
  </si>
  <si>
    <t>Alpes-Maritimes</t>
  </si>
  <si>
    <t>FR-07</t>
  </si>
  <si>
    <t>Ardèche</t>
  </si>
  <si>
    <t>FR-08</t>
  </si>
  <si>
    <t>Ardennes</t>
  </si>
  <si>
    <t>FR-09</t>
  </si>
  <si>
    <t>Ariège</t>
  </si>
  <si>
    <t>FR-10</t>
  </si>
  <si>
    <t>Aube</t>
  </si>
  <si>
    <t>FR-11</t>
  </si>
  <si>
    <t>Aude</t>
  </si>
  <si>
    <t>FR-12</t>
  </si>
  <si>
    <t>Aveyron</t>
  </si>
  <si>
    <t>FR-13</t>
  </si>
  <si>
    <t>Bouches-du-Rhône</t>
  </si>
  <si>
    <t>FR-14</t>
  </si>
  <si>
    <t>Calvados</t>
  </si>
  <si>
    <t>FR-15</t>
  </si>
  <si>
    <t>Cantal</t>
  </si>
  <si>
    <t>FR-16</t>
  </si>
  <si>
    <t>Charente</t>
  </si>
  <si>
    <t>FR-17</t>
  </si>
  <si>
    <t>Charente-Maritime</t>
  </si>
  <si>
    <t>FR-18</t>
  </si>
  <si>
    <t>Cher</t>
  </si>
  <si>
    <t>FR-19</t>
  </si>
  <si>
    <t>Corrèze</t>
  </si>
  <si>
    <t>FR-21</t>
  </si>
  <si>
    <t>Côte-d'Or</t>
  </si>
  <si>
    <t>FR-22</t>
  </si>
  <si>
    <t>Côtes-d'Armor</t>
  </si>
  <si>
    <t>FR-23</t>
  </si>
  <si>
    <t>Creuse</t>
  </si>
  <si>
    <t>FR-24</t>
  </si>
  <si>
    <t>Dordogne</t>
  </si>
  <si>
    <t>FR-25</t>
  </si>
  <si>
    <t>Doubs</t>
  </si>
  <si>
    <t>FR-26</t>
  </si>
  <si>
    <t>Drôme</t>
  </si>
  <si>
    <t>FR-27</t>
  </si>
  <si>
    <t>Eure</t>
  </si>
  <si>
    <t>FR-28</t>
  </si>
  <si>
    <t>Eure-et-Loir</t>
  </si>
  <si>
    <t>FR-29</t>
  </si>
  <si>
    <t>Finistère</t>
  </si>
  <si>
    <t>FR-2A</t>
  </si>
  <si>
    <t>Corse-du-Sud</t>
  </si>
  <si>
    <t>FR-2B</t>
  </si>
  <si>
    <t>Haute-Corse</t>
  </si>
  <si>
    <t>FR-30</t>
  </si>
  <si>
    <t>Gard</t>
  </si>
  <si>
    <t>FR-31</t>
  </si>
  <si>
    <t>Haute-Garonne</t>
  </si>
  <si>
    <t>FR-32</t>
  </si>
  <si>
    <t>Gers</t>
  </si>
  <si>
    <t>FR-33</t>
  </si>
  <si>
    <t>Gironde</t>
  </si>
  <si>
    <t>FR-34</t>
  </si>
  <si>
    <t>Hérault</t>
  </si>
  <si>
    <t>FR-35</t>
  </si>
  <si>
    <t>Ille-et-Vilaine</t>
  </si>
  <si>
    <t>FR-36</t>
  </si>
  <si>
    <t>Indre</t>
  </si>
  <si>
    <t>FR-37</t>
  </si>
  <si>
    <t>Indre-et-Loire</t>
  </si>
  <si>
    <t>FR-38</t>
  </si>
  <si>
    <t>Isère</t>
  </si>
  <si>
    <t>FR-39</t>
  </si>
  <si>
    <t>Jura</t>
  </si>
  <si>
    <t>FR-40</t>
  </si>
  <si>
    <t>Landes</t>
  </si>
  <si>
    <t>FR-41</t>
  </si>
  <si>
    <t>Loir-et-Cher</t>
  </si>
  <si>
    <t>FR-42</t>
  </si>
  <si>
    <t>Loire</t>
  </si>
  <si>
    <t>FR-43</t>
  </si>
  <si>
    <t>Haute-Loire</t>
  </si>
  <si>
    <t>FR-44</t>
  </si>
  <si>
    <t>Loire-Atlantique</t>
  </si>
  <si>
    <t>FR-45</t>
  </si>
  <si>
    <t>Loiret</t>
  </si>
  <si>
    <t>FR-46</t>
  </si>
  <si>
    <t>Lot</t>
  </si>
  <si>
    <t>FR-47</t>
  </si>
  <si>
    <t>Lot-et-Garonne</t>
  </si>
  <si>
    <t>FR-48</t>
  </si>
  <si>
    <t>Lozère</t>
  </si>
  <si>
    <t>FR-49</t>
  </si>
  <si>
    <t>Maine-et-Loire</t>
  </si>
  <si>
    <t>FR-50</t>
  </si>
  <si>
    <t>Manche</t>
  </si>
  <si>
    <t>FR-51</t>
  </si>
  <si>
    <t>Marne</t>
  </si>
  <si>
    <t>FR-52</t>
  </si>
  <si>
    <t>Haute-Marne</t>
  </si>
  <si>
    <t>FR-53</t>
  </si>
  <si>
    <t>Mayenne</t>
  </si>
  <si>
    <t>FR-54</t>
  </si>
  <si>
    <t>Meurthe-et-Moselle</t>
  </si>
  <si>
    <t>FR-55</t>
  </si>
  <si>
    <t>Meuse</t>
  </si>
  <si>
    <t>FR-56</t>
  </si>
  <si>
    <t>Morbihan</t>
  </si>
  <si>
    <t>FR-57</t>
  </si>
  <si>
    <t>Moselle</t>
  </si>
  <si>
    <t>FR-58</t>
  </si>
  <si>
    <t>Nièvre</t>
  </si>
  <si>
    <t>FR-59</t>
  </si>
  <si>
    <t>Nord</t>
  </si>
  <si>
    <t>FR-60</t>
  </si>
  <si>
    <t>Oise</t>
  </si>
  <si>
    <t>FR-61</t>
  </si>
  <si>
    <t>Orne</t>
  </si>
  <si>
    <t>FR-62</t>
  </si>
  <si>
    <t>Pas-de-Calais</t>
  </si>
  <si>
    <t>FR-63</t>
  </si>
  <si>
    <t>Puy-de-Dôme</t>
  </si>
  <si>
    <t>FR-64</t>
  </si>
  <si>
    <t>Pyrénées-Atlantiques</t>
  </si>
  <si>
    <t>FR-65</t>
  </si>
  <si>
    <t>Haute-Pyrénées</t>
  </si>
  <si>
    <t>FR-66</t>
  </si>
  <si>
    <t>Pyrénées-Orientales</t>
  </si>
  <si>
    <t>FR-67</t>
  </si>
  <si>
    <t>Bas-Rhin</t>
  </si>
  <si>
    <t>FR-68</t>
  </si>
  <si>
    <t>Haut-Rhin</t>
  </si>
  <si>
    <t>FR-69</t>
  </si>
  <si>
    <t>Rhône</t>
  </si>
  <si>
    <t>FR-70</t>
  </si>
  <si>
    <t>Haute-Saône</t>
  </si>
  <si>
    <t>FR-71</t>
  </si>
  <si>
    <t>Saône-et-Loire</t>
  </si>
  <si>
    <t>FR-72</t>
  </si>
  <si>
    <t>Sarthe</t>
  </si>
  <si>
    <t>FR-73</t>
  </si>
  <si>
    <t>Savoie</t>
  </si>
  <si>
    <t>FR-74</t>
  </si>
  <si>
    <t>Haute-Savoie</t>
  </si>
  <si>
    <t>FR-75</t>
  </si>
  <si>
    <t>Paris</t>
  </si>
  <si>
    <t>FR-76</t>
  </si>
  <si>
    <t>Seine-Maritime</t>
  </si>
  <si>
    <t>FR-77</t>
  </si>
  <si>
    <t>Seine-et-Marne</t>
  </si>
  <si>
    <t>FR-78</t>
  </si>
  <si>
    <t>Yvelines</t>
  </si>
  <si>
    <t>FR-79</t>
  </si>
  <si>
    <t>Deux-Sèvres</t>
  </si>
  <si>
    <t>FR-80</t>
  </si>
  <si>
    <t>Somme</t>
  </si>
  <si>
    <t>FR-81</t>
  </si>
  <si>
    <t>Tarn</t>
  </si>
  <si>
    <t>FR-82</t>
  </si>
  <si>
    <t>Tarn-et-Garonne</t>
  </si>
  <si>
    <t>FR-83</t>
  </si>
  <si>
    <t>Var</t>
  </si>
  <si>
    <t>FR-84</t>
  </si>
  <si>
    <t>Vaucluse</t>
  </si>
  <si>
    <t>FR-85</t>
  </si>
  <si>
    <t>Vendée</t>
  </si>
  <si>
    <t>FR-86</t>
  </si>
  <si>
    <t>Vienne</t>
  </si>
  <si>
    <t>FR-87</t>
  </si>
  <si>
    <t>Haute-Vienne</t>
  </si>
  <si>
    <t>FR-88</t>
  </si>
  <si>
    <t>Vosges</t>
  </si>
  <si>
    <t>FR-89</t>
  </si>
  <si>
    <t>Yonne</t>
  </si>
  <si>
    <t>FR-90</t>
  </si>
  <si>
    <t>Territoire de Belfort</t>
  </si>
  <si>
    <t>FR-91</t>
  </si>
  <si>
    <t>Essonne</t>
  </si>
  <si>
    <t>FR-92</t>
  </si>
  <si>
    <t>Hauts-de-Seine</t>
  </si>
  <si>
    <t>FR-93</t>
  </si>
  <si>
    <t>Seine-Saint-Denis</t>
  </si>
  <si>
    <t>FR-94</t>
  </si>
  <si>
    <t>Val-de-Marne</t>
  </si>
  <si>
    <t>FR-95</t>
  </si>
  <si>
    <t>Val-d'Oise</t>
  </si>
  <si>
    <t>CP</t>
  </si>
  <si>
    <t>Prix moyen</t>
  </si>
  <si>
    <t>(Tous)</t>
  </si>
  <si>
    <t>Nombre de Nb/lib</t>
  </si>
  <si>
    <t>Département</t>
  </si>
  <si>
    <t>Étiquettes de lignes</t>
  </si>
  <si>
    <t>Moyenne de €/kg</t>
  </si>
  <si>
    <t>Pourcentage poids</t>
  </si>
  <si>
    <t>Poids pourcentage</t>
  </si>
  <si>
    <t>Coût de 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</si>
</sst>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[$-1040C]dd/mm/yyyy\ hh:mm:ss"/>
    <numFmt numFmtId="166" formatCode="[$-1040C]#,##0;\(#,##0\)"/>
    <numFmt numFmtId="167" formatCode="[$-1040C]0;\(0\)"/>
    <numFmt numFmtId="168" formatCode="[$-1040C]0.00&quot;€&quot;"/>
    <numFmt numFmtId="169" formatCode="00"/>
  </numFmts>
  <fonts count="11" x14ac:knownFonts="1">
    <font>
      <sz val="10"/>
      <name val="Arial"/>
    </font>
    <font>
      <sz val="10"/>
      <name val="Arial"/>
    </font>
    <font>
      <b/>
      <sz val="20"/>
      <color indexed="9"/>
      <name val="Tahoma"/>
      <charset val="1"/>
    </font>
    <font>
      <sz val="10"/>
      <color indexed="8"/>
      <name val="Arial"/>
      <charset val="1"/>
    </font>
    <font>
      <sz val="10"/>
      <color indexed="8"/>
      <name val="Tahoma"/>
      <charset val="1"/>
    </font>
    <font>
      <b/>
      <sz val="10"/>
      <color indexed="12"/>
      <name val="Tahoma"/>
      <charset val="1"/>
    </font>
    <font>
      <sz val="10"/>
      <name val="Arial"/>
      <family val="2"/>
    </font>
    <font>
      <b/>
      <sz val="14"/>
      <color theme="3"/>
      <name val="Arial"/>
      <family val="2"/>
    </font>
    <font>
      <b/>
      <sz val="10"/>
      <name val="Arial"/>
      <family val="2"/>
    </font>
    <font>
      <sz val="10"/>
      <color indexed="8"/>
      <name val="Tahoma"/>
    </font>
    <font>
      <sz val="10"/>
      <color indexed="8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0"/>
      </patternFill>
    </fill>
    <fill>
      <patternFill patternType="solid">
        <fgColor indexed="11"/>
        <bgColor indexed="0"/>
      </patternFill>
    </fill>
    <fill>
      <patternFill patternType="solid">
        <fgColor indexed="14"/>
        <bgColor indexed="0"/>
      </patternFill>
    </fill>
    <fill>
      <patternFill patternType="solid">
        <fgColor indexed="22"/>
        <bgColor indexed="64"/>
      </patternFill>
    </fill>
  </fills>
  <borders count="18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/>
      <top/>
      <bottom style="thin">
        <color indexed="10"/>
      </bottom>
      <diagonal/>
    </border>
    <border>
      <left/>
      <right style="thin">
        <color indexed="10"/>
      </right>
      <top/>
      <bottom style="thin">
        <color indexed="10"/>
      </bottom>
      <diagonal/>
    </border>
    <border>
      <left style="thin">
        <color indexed="10"/>
      </left>
      <right/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 style="thin">
        <color indexed="10"/>
      </right>
      <top/>
      <bottom style="thin">
        <color indexed="10"/>
      </bottom>
      <diagonal/>
    </border>
    <border>
      <left style="thin">
        <color indexed="10"/>
      </left>
      <right style="thin">
        <color indexed="10"/>
      </right>
      <top/>
      <bottom/>
      <diagonal/>
    </border>
    <border>
      <left style="medium">
        <color indexed="64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thin">
        <color indexed="10"/>
      </right>
      <top style="thin">
        <color indexed="10"/>
      </top>
      <bottom style="medium">
        <color indexed="64"/>
      </bottom>
      <diagonal/>
    </border>
    <border>
      <left style="thin">
        <color indexed="10"/>
      </left>
      <right/>
      <top style="thin">
        <color indexed="10"/>
      </top>
      <bottom style="medium">
        <color indexed="64"/>
      </bottom>
      <diagonal/>
    </border>
    <border>
      <left style="thin">
        <color indexed="10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10"/>
      </bottom>
      <diagonal/>
    </border>
    <border>
      <left/>
      <right/>
      <top/>
      <bottom style="thin">
        <color indexed="10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4" fillId="0" borderId="1" xfId="0" applyFont="1" applyBorder="1" applyAlignment="1" applyProtection="1">
      <alignment vertical="top" wrapText="1" readingOrder="1"/>
      <protection locked="0"/>
    </xf>
    <xf numFmtId="0" fontId="0" fillId="0" borderId="2" xfId="0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 readingOrder="1"/>
      <protection locked="0"/>
    </xf>
    <xf numFmtId="0" fontId="5" fillId="3" borderId="1" xfId="0" applyFont="1" applyFill="1" applyBorder="1" applyAlignment="1" applyProtection="1">
      <alignment vertical="top" wrapText="1" readingOrder="1"/>
      <protection locked="0"/>
    </xf>
    <xf numFmtId="0" fontId="5" fillId="4" borderId="1" xfId="0" applyFont="1" applyFill="1" applyBorder="1" applyAlignment="1" applyProtection="1">
      <alignment vertical="top" wrapText="1" readingOrder="1"/>
      <protection locked="0"/>
    </xf>
    <xf numFmtId="166" fontId="4" fillId="0" borderId="1" xfId="0" applyNumberFormat="1" applyFont="1" applyBorder="1" applyAlignment="1" applyProtection="1">
      <alignment vertical="top" wrapText="1" readingOrder="1"/>
      <protection locked="0"/>
    </xf>
    <xf numFmtId="167" fontId="4" fillId="0" borderId="1" xfId="0" applyNumberFormat="1" applyFont="1" applyBorder="1" applyAlignment="1" applyProtection="1">
      <alignment vertical="top" wrapText="1" readingOrder="1"/>
      <protection locked="0"/>
    </xf>
    <xf numFmtId="168" fontId="4" fillId="0" borderId="1" xfId="0" applyNumberFormat="1" applyFont="1" applyBorder="1" applyAlignment="1" applyProtection="1">
      <alignment vertical="top" wrapText="1" readingOrder="1"/>
      <protection locked="0"/>
    </xf>
    <xf numFmtId="0" fontId="2" fillId="0" borderId="0" xfId="0" applyFont="1" applyAlignment="1" applyProtection="1">
      <alignment vertical="top" wrapText="1" readingOrder="1"/>
      <protection locked="0"/>
    </xf>
    <xf numFmtId="165" fontId="3" fillId="0" borderId="0" xfId="0" applyNumberFormat="1" applyFont="1" applyAlignment="1" applyProtection="1">
      <alignment vertical="top" wrapText="1" readingOrder="1"/>
      <protection locked="0"/>
    </xf>
    <xf numFmtId="0" fontId="6" fillId="0" borderId="0" xfId="0" applyFont="1"/>
    <xf numFmtId="0" fontId="4" fillId="0" borderId="4" xfId="0" applyFont="1" applyBorder="1" applyAlignment="1" applyProtection="1">
      <alignment vertical="top" wrapText="1" readingOrder="1"/>
      <protection locked="0"/>
    </xf>
    <xf numFmtId="0" fontId="5" fillId="3" borderId="5" xfId="0" applyFont="1" applyFill="1" applyBorder="1" applyAlignment="1" applyProtection="1">
      <alignment vertical="top" wrapText="1" readingOrder="1"/>
      <protection locked="0"/>
    </xf>
    <xf numFmtId="167" fontId="4" fillId="0" borderId="4" xfId="0" applyNumberFormat="1" applyFont="1" applyBorder="1" applyAlignment="1" applyProtection="1">
      <alignment vertical="top" wrapText="1" readingOrder="1"/>
      <protection locked="0"/>
    </xf>
    <xf numFmtId="0" fontId="6" fillId="0" borderId="0" xfId="0" applyFont="1" applyFill="1" applyBorder="1"/>
    <xf numFmtId="0" fontId="6" fillId="3" borderId="6" xfId="0" applyFont="1" applyFill="1" applyBorder="1" applyAlignment="1" applyProtection="1">
      <alignment vertical="top" wrapText="1"/>
      <protection locked="0"/>
    </xf>
    <xf numFmtId="0" fontId="6" fillId="3" borderId="7" xfId="0" applyFont="1" applyFill="1" applyBorder="1" applyAlignment="1" applyProtection="1">
      <alignment vertical="top" wrapText="1"/>
      <protection locked="0"/>
    </xf>
    <xf numFmtId="168" fontId="4" fillId="0" borderId="4" xfId="0" applyNumberFormat="1" applyFont="1" applyBorder="1" applyAlignment="1" applyProtection="1">
      <alignment vertical="top" wrapText="1" readingOrder="1"/>
      <protection locked="0"/>
    </xf>
    <xf numFmtId="0" fontId="5" fillId="3" borderId="5" xfId="0" applyFont="1" applyFill="1" applyBorder="1" applyAlignment="1" applyProtection="1">
      <alignment vertical="top" readingOrder="1"/>
      <protection locked="0"/>
    </xf>
    <xf numFmtId="0" fontId="5" fillId="0" borderId="5" xfId="0" applyFont="1" applyFill="1" applyBorder="1" applyAlignment="1" applyProtection="1">
      <alignment vertical="top" wrapText="1" readingOrder="1"/>
      <protection locked="0"/>
    </xf>
    <xf numFmtId="0" fontId="5" fillId="4" borderId="4" xfId="0" applyFont="1" applyFill="1" applyBorder="1" applyAlignment="1" applyProtection="1">
      <alignment vertical="top" wrapText="1" readingOrder="1"/>
      <protection locked="0"/>
    </xf>
    <xf numFmtId="0" fontId="5" fillId="2" borderId="8" xfId="0" applyFont="1" applyFill="1" applyBorder="1" applyAlignment="1" applyProtection="1">
      <alignment horizontal="center" vertical="top" wrapText="1" readingOrder="1"/>
      <protection locked="0"/>
    </xf>
    <xf numFmtId="0" fontId="5" fillId="2" borderId="9" xfId="0" applyFont="1" applyFill="1" applyBorder="1" applyAlignment="1" applyProtection="1">
      <alignment horizontal="center" vertical="top" wrapText="1" readingOrder="1"/>
      <protection locked="0"/>
    </xf>
    <xf numFmtId="166" fontId="4" fillId="0" borderId="8" xfId="0" applyNumberFormat="1" applyFont="1" applyBorder="1" applyAlignment="1" applyProtection="1">
      <alignment vertical="top" wrapText="1" readingOrder="1"/>
      <protection locked="0"/>
    </xf>
    <xf numFmtId="168" fontId="4" fillId="0" borderId="9" xfId="0" applyNumberFormat="1" applyFont="1" applyBorder="1" applyAlignment="1" applyProtection="1">
      <alignment vertical="top" wrapText="1" readingOrder="1"/>
      <protection locked="0"/>
    </xf>
    <xf numFmtId="0" fontId="4" fillId="0" borderId="8" xfId="0" applyFont="1" applyBorder="1" applyAlignment="1" applyProtection="1">
      <alignment vertical="top" wrapText="1" readingOrder="1"/>
      <protection locked="0"/>
    </xf>
    <xf numFmtId="0" fontId="4" fillId="0" borderId="9" xfId="0" applyFont="1" applyBorder="1" applyAlignment="1" applyProtection="1">
      <alignment vertical="top" wrapText="1" readingOrder="1"/>
      <protection locked="0"/>
    </xf>
    <xf numFmtId="166" fontId="4" fillId="0" borderId="10" xfId="0" applyNumberFormat="1" applyFont="1" applyBorder="1" applyAlignment="1" applyProtection="1">
      <alignment vertical="top" wrapText="1" readingOrder="1"/>
      <protection locked="0"/>
    </xf>
    <xf numFmtId="167" fontId="4" fillId="0" borderId="11" xfId="0" applyNumberFormat="1" applyFont="1" applyBorder="1" applyAlignment="1" applyProtection="1">
      <alignment vertical="top" wrapText="1" readingOrder="1"/>
      <protection locked="0"/>
    </xf>
    <xf numFmtId="168" fontId="4" fillId="0" borderId="12" xfId="0" applyNumberFormat="1" applyFont="1" applyBorder="1" applyAlignment="1" applyProtection="1">
      <alignment vertical="top" wrapText="1" readingOrder="1"/>
      <protection locked="0"/>
    </xf>
    <xf numFmtId="167" fontId="4" fillId="0" borderId="13" xfId="0" applyNumberFormat="1" applyFont="1" applyBorder="1" applyAlignment="1" applyProtection="1">
      <alignment vertical="top" wrapText="1" readingOrder="1"/>
      <protection locked="0"/>
    </xf>
    <xf numFmtId="0" fontId="0" fillId="0" borderId="0" xfId="0" applyAlignment="1"/>
    <xf numFmtId="0" fontId="7" fillId="0" borderId="0" xfId="0" applyFont="1" applyAlignment="1"/>
    <xf numFmtId="0" fontId="0" fillId="0" borderId="2" xfId="0" applyBorder="1" applyAlignment="1" applyProtection="1">
      <alignment vertical="top" wrapText="1" readingOrder="1"/>
      <protection locked="0"/>
    </xf>
    <xf numFmtId="0" fontId="0" fillId="0" borderId="14" xfId="0" applyBorder="1" applyAlignment="1" applyProtection="1">
      <alignment vertical="top" wrapText="1" readingOrder="1"/>
      <protection locked="0"/>
    </xf>
    <xf numFmtId="0" fontId="6" fillId="0" borderId="15" xfId="0" applyFont="1" applyBorder="1" applyAlignment="1">
      <alignment vertical="center"/>
    </xf>
    <xf numFmtId="0" fontId="5" fillId="3" borderId="4" xfId="0" applyFont="1" applyFill="1" applyBorder="1" applyAlignment="1" applyProtection="1">
      <alignment vertical="top" wrapText="1" readingOrder="1"/>
      <protection locked="0"/>
    </xf>
    <xf numFmtId="0" fontId="5" fillId="3" borderId="16" xfId="0" applyFont="1" applyFill="1" applyBorder="1" applyAlignment="1" applyProtection="1">
      <alignment vertical="top" wrapText="1" readingOrder="1"/>
      <protection locked="0"/>
    </xf>
    <xf numFmtId="0" fontId="5" fillId="2" borderId="4" xfId="0" applyFont="1" applyFill="1" applyBorder="1" applyAlignment="1" applyProtection="1">
      <alignment vertical="top" wrapText="1" readingOrder="1"/>
      <protection locked="0"/>
    </xf>
    <xf numFmtId="164" fontId="0" fillId="0" borderId="0" xfId="0" applyNumberFormat="1"/>
    <xf numFmtId="0" fontId="8" fillId="5" borderId="17" xfId="0" applyFont="1" applyFill="1" applyBorder="1"/>
    <xf numFmtId="0" fontId="0" fillId="0" borderId="17" xfId="0" applyBorder="1"/>
    <xf numFmtId="0" fontId="9" fillId="0" borderId="0" xfId="0" applyFont="1" applyAlignment="1" applyProtection="1">
      <alignment vertical="top" wrapText="1" readingOrder="1"/>
      <protection locked="0"/>
    </xf>
    <xf numFmtId="0" fontId="0" fillId="0" borderId="0" xfId="0" applyFont="1"/>
    <xf numFmtId="164" fontId="0" fillId="0" borderId="17" xfId="1" applyFont="1" applyBorder="1"/>
    <xf numFmtId="0" fontId="9" fillId="0" borderId="0" xfId="0" applyFont="1" applyBorder="1" applyAlignment="1">
      <alignment vertical="top" wrapText="1" readingOrder="1"/>
    </xf>
    <xf numFmtId="0" fontId="9" fillId="0" borderId="0" xfId="0" applyFont="1" applyBorder="1" applyAlignment="1" applyProtection="1">
      <alignment vertical="top" wrapText="1" readingOrder="1"/>
      <protection locked="0"/>
    </xf>
    <xf numFmtId="0" fontId="0" fillId="0" borderId="0" xfId="0" pivotButton="1"/>
    <xf numFmtId="169" fontId="10" fillId="0" borderId="0" xfId="0" applyNumberFormat="1" applyFont="1" applyAlignment="1" applyProtection="1">
      <alignment vertical="top" wrapText="1" readingOrder="1"/>
      <protection locked="0"/>
    </xf>
    <xf numFmtId="169" fontId="0" fillId="0" borderId="0" xfId="0" applyNumberFormat="1" applyAlignment="1">
      <alignment horizontal="left"/>
    </xf>
    <xf numFmtId="10" fontId="0" fillId="0" borderId="0" xfId="2" applyNumberFormat="1" applyFont="1"/>
    <xf numFmtId="10" fontId="0" fillId="0" borderId="17" xfId="0" applyNumberFormat="1" applyBorder="1"/>
  </cellXfs>
  <cellStyles count="3">
    <cellStyle name="Milliers 2" xfId="1"/>
    <cellStyle name="Normal" xfId="0" builtinId="0"/>
    <cellStyle name="Pourcentage" xfId="2" builtinId="5"/>
  </cellStyles>
  <dxfs count="11">
    <dxf>
      <numFmt numFmtId="164" formatCode="_(* #,##0.00_);_(* \(#,##0.00\);_(* &quot;-&quot;??_);_(@_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numFmt numFmtId="0" formatCode="General"/>
      <alignment horizontal="general" vertical="top" textRotation="0" wrapText="1" relativeIndent="0" justifyLastLine="0" shrinkToFit="0" readingOrder="1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alignment horizontal="general" vertical="top" textRotation="0" wrapText="1" relativeIndent="0" justifyLastLine="0" shrinkToFit="0" readingOrder="1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numFmt numFmtId="168" formatCode="[$-1040C]0.00&quot;€&quot;"/>
      <alignment horizontal="general" vertical="top" textRotation="0" wrapText="1" relativeIndent="0" justifyLastLine="0" shrinkToFit="0" readingOrder="1"/>
      <border diagonalUp="0" diagonalDown="0"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numFmt numFmtId="167" formatCode="[$-1040C]0;\(0\)"/>
      <alignment horizontal="general" vertical="top" textRotation="0" wrapText="1" relativeIndent="0" justifyLastLine="0" shrinkToFit="0" readingOrder="1"/>
      <border diagonalUp="0" diagonalDown="0"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numFmt numFmtId="166" formatCode="[$-1040C]#,##0;\(#,##0\)"/>
      <alignment horizontal="general" vertical="top" textRotation="0" wrapText="1" relativeIndent="0" justifyLastLine="0" shrinkToFit="0" readingOrder="1"/>
      <border diagonalUp="0" diagonalDown="0"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Tahoma"/>
        <scheme val="none"/>
      </font>
      <fill>
        <patternFill patternType="solid">
          <fgColor indexed="0"/>
          <bgColor indexed="14"/>
        </patternFill>
      </fill>
      <alignment horizontal="general" vertical="top" textRotation="0" wrapText="1" relativeIndent="0" justifyLastLine="0" shrinkToFit="0" readingOrder="1"/>
      <border diagonalUp="0" diagonalDown="0"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Tahoma"/>
        <scheme val="none"/>
      </font>
      <fill>
        <patternFill patternType="solid">
          <fgColor indexed="0"/>
          <bgColor indexed="11"/>
        </patternFill>
      </fill>
      <alignment horizontal="general" vertical="top" textRotation="0" wrapText="1" relativeIndent="0" justifyLastLine="0" shrinkToFit="0" readingOrder="1"/>
      <border diagonalUp="0" diagonalDown="0">
        <left style="thin">
          <color indexed="10"/>
        </left>
        <right style="thin">
          <color indexed="10"/>
        </right>
        <top style="thin">
          <color indexed="10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alignment horizontal="general" vertical="top" textRotation="0" wrapText="1" relativeIndent="0" justifyLastLine="0" shrinkToFit="0" readingOrder="1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4682B4"/>
      <rgbColor rgb="00D3D3D3"/>
      <rgbColor rgb="006E9ECA"/>
      <rgbColor rgb="00FFFFFF"/>
      <rgbColor rgb="00708090"/>
      <rgbColor rgb="008FA0B0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64.460904050924" createdVersion="4" refreshedVersion="4" minRefreshableVersion="3" recordCount="1104">
  <cacheSource type="worksheet">
    <worksheetSource name="Tableau13"/>
  </cacheSource>
  <cacheFields count="8">
    <cacheField name="Tournées" numFmtId="0">
      <sharedItems/>
    </cacheField>
    <cacheField name="Clients" numFmtId="0">
      <sharedItems/>
    </cacheField>
    <cacheField name="Durée mois" numFmtId="0">
      <sharedItems containsSemiMixedTypes="0" containsString="0" containsNumber="1" containsInteger="1" minValue="3" maxValue="6" count="2">
        <n v="3"/>
        <n v="6"/>
      </sharedItems>
    </cacheField>
    <cacheField name="Pds/liv" numFmtId="166">
      <sharedItems containsSemiMixedTypes="0" containsString="0" containsNumber="1" minValue="1.98" maxValue="9702.34"/>
    </cacheField>
    <cacheField name="Nb/lib" numFmtId="167">
      <sharedItems containsString="0" containsBlank="1" containsNumber="1" containsInteger="1" minValue="1" maxValue="95"/>
    </cacheField>
    <cacheField name="€/kg" numFmtId="168">
      <sharedItems containsSemiMixedTypes="0" containsString="0" containsNumber="1" minValue="4.5007836269999997E-2" maxValue="18.434343434340001"/>
    </cacheField>
    <cacheField name="CP" numFmtId="0">
      <sharedItems containsSemiMixedTypes="0" containsString="0" containsNumber="1" containsInteger="1" minValue="1000" maxValue="699603"/>
    </cacheField>
    <cacheField name="Département" numFmtId="169">
      <sharedItems containsSemiMixedTypes="0" containsString="0" containsNumber="1" containsInteger="1" minValue="1" maxValue="97" count="70">
        <n v="1"/>
        <n v="3"/>
        <n v="4"/>
        <n v="6"/>
        <n v="10"/>
        <n v="11"/>
        <n v="12"/>
        <n v="13"/>
        <n v="16"/>
        <n v="17"/>
        <n v="18"/>
        <n v="19"/>
        <n v="20"/>
        <n v="22"/>
        <n v="24"/>
        <n v="25"/>
        <n v="26"/>
        <n v="28"/>
        <n v="30"/>
        <n v="31"/>
        <n v="32"/>
        <n v="33"/>
        <n v="34"/>
        <n v="37"/>
        <n v="38"/>
        <n v="40"/>
        <n v="42"/>
        <n v="43"/>
        <n v="45"/>
        <n v="46"/>
        <n v="47"/>
        <n v="49"/>
        <n v="50"/>
        <n v="52"/>
        <n v="53"/>
        <n v="54"/>
        <n v="55"/>
        <n v="56"/>
        <n v="59"/>
        <n v="60"/>
        <n v="63"/>
        <n v="64"/>
        <n v="65"/>
        <n v="66"/>
        <n v="68"/>
        <n v="69"/>
        <n v="71"/>
        <n v="73"/>
        <n v="74"/>
        <n v="75"/>
        <n v="76"/>
        <n v="77"/>
        <n v="78"/>
        <n v="80"/>
        <n v="81"/>
        <n v="82"/>
        <n v="83"/>
        <n v="84"/>
        <n v="87"/>
        <n v="89"/>
        <n v="91"/>
        <n v="92"/>
        <n v="93"/>
        <n v="94"/>
        <n v="95"/>
        <n v="97"/>
        <n v="44"/>
        <n v="51"/>
        <n v="62"/>
        <n v="8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04">
  <r>
    <s v="TA   "/>
    <s v="LA FERME DE COLLONGES 01      "/>
    <x v="0"/>
    <n v="166.06666670000001"/>
    <n v="4"/>
    <n v="0.17810116418999999"/>
    <n v="1000"/>
    <x v="0"/>
  </r>
  <r>
    <s v="M42  "/>
    <s v="CASINO CG341 OYONNAX EDI      "/>
    <x v="0"/>
    <n v="18.5570968"/>
    <n v="21"/>
    <n v="1.26506162324"/>
    <n v="1100"/>
    <x v="0"/>
  </r>
  <r>
    <s v="MA   "/>
    <s v="I D FRAIS MONTAGNAT           "/>
    <x v="0"/>
    <n v="28.47"/>
    <n v="1"/>
    <n v="0.53199859501000002"/>
    <n v="1250"/>
    <x v="0"/>
  </r>
  <r>
    <s v="TA   "/>
    <s v="I D FRAIS MONTAGNAT           "/>
    <x v="0"/>
    <n v="53.015000000000001"/>
    <n v="2"/>
    <n v="0.19815146656999999"/>
    <n v="1250"/>
    <x v="0"/>
  </r>
  <r>
    <s v="MA   "/>
    <s v="GESLER HOTONNES               "/>
    <x v="0"/>
    <n v="361.23292679999997"/>
    <n v="17"/>
    <n v="0.20581950029000001"/>
    <n v="1260"/>
    <x v="0"/>
  </r>
  <r>
    <s v="TA   "/>
    <s v="GESLER HOTONNES               "/>
    <x v="0"/>
    <n v="382.08551720000003"/>
    <n v="22"/>
    <n v="0.19409411867000001"/>
    <n v="1260"/>
    <x v="0"/>
  </r>
  <r>
    <s v="RA   "/>
    <s v="LABEL-VIE MARKET NIMES        "/>
    <x v="0"/>
    <n v="254.84039999999999"/>
    <n v="25"/>
    <n v="0.21996229797"/>
    <n v="3000"/>
    <x v="1"/>
  </r>
  <r>
    <s v="RA   "/>
    <s v="CASINO CS624 FORCALQUIER EDI  "/>
    <x v="0"/>
    <n v="14.576666700000001"/>
    <n v="3"/>
    <n v="1.7774982849300001"/>
    <n v="4300"/>
    <x v="2"/>
  </r>
  <r>
    <s v="RA   "/>
    <s v="L ETOILE VERTE NICE 06        "/>
    <x v="0"/>
    <n v="493.95"/>
    <n v="4"/>
    <n v="0.21735145257999999"/>
    <n v="6000"/>
    <x v="3"/>
  </r>
  <r>
    <s v="RA   "/>
    <s v="BIE IBTISSMA LE CANNET        "/>
    <x v="0"/>
    <n v="263.41149999999999"/>
    <n v="20"/>
    <n v="0.22085311385"/>
    <n v="6110"/>
    <x v="3"/>
  </r>
  <r>
    <s v="RA   "/>
    <s v="BIE STEPHANE CAGNES/MER       "/>
    <x v="0"/>
    <n v="373.47333329999998"/>
    <n v="3"/>
    <n v="0.21803252351999999"/>
    <n v="6110"/>
    <x v="3"/>
  </r>
  <r>
    <s v="G    "/>
    <s v="VILLE DE NICE LOT VEAU        "/>
    <x v="0"/>
    <n v="1.98"/>
    <n v="1"/>
    <n v="18.434343434340001"/>
    <n v="6200"/>
    <x v="3"/>
  </r>
  <r>
    <s v="RA   "/>
    <s v="LECLERC NICE NIKAIADIS trad   "/>
    <x v="0"/>
    <n v="106.36499999999999"/>
    <n v="16"/>
    <n v="0.26296420344999999"/>
    <n v="6201"/>
    <x v="3"/>
  </r>
  <r>
    <s v="RA   "/>
    <s v="BIGARD NICE SA                "/>
    <x v="0"/>
    <n v="105.33333330000001"/>
    <n v="4"/>
    <n v="0.25009493670999999"/>
    <n v="6296"/>
    <x v="3"/>
  </r>
  <r>
    <s v="RA   "/>
    <s v="AMALO BIE L ETOILE VERTE NICE "/>
    <x v="0"/>
    <n v="395.4"/>
    <n v="2"/>
    <n v="0.21786418816"/>
    <n v="6300"/>
    <x v="3"/>
  </r>
  <r>
    <s v="RA   "/>
    <s v="ITRAN CANNES                  "/>
    <x v="0"/>
    <n v="81.713333300000002"/>
    <n v="9"/>
    <n v="0.31754099697999999"/>
    <n v="6400"/>
    <x v="3"/>
  </r>
  <r>
    <s v="RA   "/>
    <s v="LIBAC ST MARTIN VESUBIE       "/>
    <x v="0"/>
    <n v="240.83"/>
    <n v="3"/>
    <n v="0.2195476754"/>
    <n v="6450"/>
    <x v="3"/>
  </r>
  <r>
    <s v="RA   "/>
    <s v="INTERMARCHE MENTON LR         "/>
    <x v="0"/>
    <n v="115.0077778"/>
    <n v="18"/>
    <n v="0.24358207657"/>
    <n v="6500"/>
    <x v="3"/>
  </r>
  <r>
    <s v="RA   "/>
    <s v="INTERMARCHE MENTON STANDART   "/>
    <x v="0"/>
    <n v="161.47999999999999"/>
    <n v="2"/>
    <n v="0.2216652217"/>
    <n v="6500"/>
    <x v="3"/>
  </r>
  <r>
    <s v="RA   "/>
    <s v="CHEZ LOUFTI VALBONNE CIRTA    "/>
    <x v="0"/>
    <n v="140.43199999999999"/>
    <n v="5"/>
    <n v="0.22260168623000001"/>
    <n v="6560"/>
    <x v="3"/>
  </r>
  <r>
    <s v="TI   "/>
    <s v="ALDO QUAGLIOTTI               "/>
    <x v="0"/>
    <n v="1322.55"/>
    <n v="2"/>
    <n v="0.24615099618"/>
    <n v="10113"/>
    <x v="4"/>
  </r>
  <r>
    <s v="RTD  "/>
    <s v="CASINO CS933 NARBONNE EDI     "/>
    <x v="0"/>
    <n v="14.481428599999999"/>
    <n v="7"/>
    <n v="0.17001085133999999"/>
    <n v="11100"/>
    <x v="5"/>
  </r>
  <r>
    <s v="CAD  "/>
    <s v="EURL MEUNIER MILLAU 12        "/>
    <x v="0"/>
    <n v="6.34"/>
    <m/>
    <n v="0.15"/>
    <n v="12000"/>
    <x v="6"/>
  </r>
  <r>
    <s v="RV   "/>
    <s v="VENTES CLIENTS DIVERS         "/>
    <x v="0"/>
    <n v="21.34"/>
    <n v="1"/>
    <n v="0.73711340205999998"/>
    <n v="12000"/>
    <x v="6"/>
  </r>
  <r>
    <s v="RTD  "/>
    <s v="G CASINO CG851 DECAZEVILLE EDI"/>
    <x v="0"/>
    <n v="61.09"/>
    <n v="1"/>
    <n v="0.16999508921000001"/>
    <n v="12000"/>
    <x v="6"/>
  </r>
  <r>
    <s v="RT   "/>
    <s v="VENTES DIVERS ARSAC           "/>
    <x v="0"/>
    <n v="123"/>
    <n v="1"/>
    <n v="0.17"/>
    <n v="12000"/>
    <x v="6"/>
  </r>
  <r>
    <s v="MDU  "/>
    <s v="REST L ENTRACTE DES GOBELINS  "/>
    <x v="0"/>
    <n v="236.72"/>
    <n v="1"/>
    <n v="8.0736735379999994E-2"/>
    <n v="12000"/>
    <x v="6"/>
  </r>
  <r>
    <s v="TI   "/>
    <s v="SACAR SANT ALBANO STURA       "/>
    <x v="0"/>
    <n v="1319.66"/>
    <n v="5"/>
    <n v="0.24534076959000001"/>
    <n v="12040"/>
    <x v="6"/>
  </r>
  <r>
    <s v="RTD  "/>
    <s v="GEANT CASINO CG335 MILLAU EDI "/>
    <x v="0"/>
    <n v="47.593000000000004"/>
    <n v="10"/>
    <n v="0.17000189102999999"/>
    <n v="12100"/>
    <x v="6"/>
  </r>
  <r>
    <s v="MDU  "/>
    <s v="BOUGEARD THIERRY VERSAILLES 78"/>
    <x v="0"/>
    <n v="163.16249999999999"/>
    <n v="7"/>
    <n v="8.2023800399999999E-2"/>
    <n v="12110"/>
    <x v="6"/>
  </r>
  <r>
    <s v="RTD  "/>
    <s v="PRADALIE DAVID                "/>
    <x v="0"/>
    <n v="52.2233333"/>
    <n v="3"/>
    <n v="0.17000063828"/>
    <n v="12200"/>
    <x v="6"/>
  </r>
  <r>
    <s v="G    "/>
    <s v="RELAIS LARZAC CAFETARIA       "/>
    <x v="0"/>
    <n v="3.74"/>
    <n v="1"/>
    <n v="4.35026737968"/>
    <n v="12230"/>
    <x v="6"/>
  </r>
  <r>
    <s v="RA   "/>
    <s v="CHAUCHARD PONT DE SALARS      "/>
    <x v="0"/>
    <n v="6.6666667000000004"/>
    <n v="3"/>
    <n v="3.8864999999999998"/>
    <n v="12290"/>
    <x v="6"/>
  </r>
  <r>
    <s v="RA   "/>
    <s v="BOUCHERIE JEAN LOUIS CHAUCHARD"/>
    <x v="0"/>
    <n v="21.3371429"/>
    <n v="7"/>
    <n v="1.2143144081399999"/>
    <n v="12290"/>
    <x v="6"/>
  </r>
  <r>
    <s v="MA   "/>
    <s v="ROLLAND ARS SUR FORMANS       "/>
    <x v="0"/>
    <n v="40.853333300000003"/>
    <n v="3"/>
    <n v="0.41124347257999999"/>
    <n v="12340"/>
    <x v="6"/>
  </r>
  <r>
    <s v="RTD  "/>
    <s v="FONTANILLES MONTFRANC         "/>
    <x v="0"/>
    <n v="96.485555599999998"/>
    <n v="9"/>
    <n v="0.17000126673999999"/>
    <n v="12380"/>
    <x v="6"/>
  </r>
  <r>
    <s v="G    "/>
    <s v="HOTEL-RESTAURANT DU PONT-NEUF "/>
    <x v="0"/>
    <n v="2.4700000000000002"/>
    <n v="1"/>
    <n v="6.5870445344100004"/>
    <n v="12400"/>
    <x v="6"/>
  </r>
  <r>
    <s v="CAD  "/>
    <s v="GAMEL ET FILS VILLEFRANCHE PAN"/>
    <x v="0"/>
    <n v="185.5"/>
    <n v="1"/>
    <n v="0.15"/>
    <n v="12430"/>
    <x v="6"/>
  </r>
  <r>
    <s v="G    "/>
    <s v="L AUBERGE AVEYRONNAISE        "/>
    <x v="0"/>
    <n v="14.66"/>
    <n v="1"/>
    <n v="3.84720327422"/>
    <n v="12500"/>
    <x v="6"/>
  </r>
  <r>
    <s v="RV   "/>
    <s v="RESTAURANT LE BISTROT DU PORT "/>
    <x v="0"/>
    <n v="20.848749999999999"/>
    <n v="8"/>
    <n v="0.76929072486000005"/>
    <n v="12510"/>
    <x v="6"/>
  </r>
  <r>
    <s v="G    "/>
    <s v="SARL BALDY                    "/>
    <x v="0"/>
    <n v="32.229999999999997"/>
    <n v="1"/>
    <n v="0.50480918398999997"/>
    <n v="12540"/>
    <x v="6"/>
  </r>
  <r>
    <s v="G    "/>
    <s v="EHPAD MUR DE BARREZ           "/>
    <x v="0"/>
    <n v="13.63"/>
    <n v="1"/>
    <n v="1.1936903888499999"/>
    <n v="12600"/>
    <x v="6"/>
  </r>
  <r>
    <s v="RTD  "/>
    <s v="CASINO CG846 ONET LE CHAT EDI "/>
    <x v="0"/>
    <n v="101.2566667"/>
    <n v="12"/>
    <n v="0.16999950621000001"/>
    <n v="12850"/>
    <x v="6"/>
  </r>
  <r>
    <s v="MDU  "/>
    <s v="HALLES DE L AVEYRON HERBLAY   "/>
    <x v="0"/>
    <n v="677.53445450000004"/>
    <n v="36"/>
    <n v="7.680325952E-2"/>
    <n v="12850"/>
    <x v="6"/>
  </r>
  <r>
    <s v="RA   "/>
    <s v="MARRA RAPHAEL MARSEILLE 13    "/>
    <x v="0"/>
    <n v="93.410588200000007"/>
    <n v="17"/>
    <n v="0.28475421605000001"/>
    <n v="13000"/>
    <x v="7"/>
  </r>
  <r>
    <s v="RA   "/>
    <s v="LA GAZELLE D OR MARSEILLE     "/>
    <x v="0"/>
    <n v="97.546666700000003"/>
    <n v="3"/>
    <n v="0.26701066155999997"/>
    <n v="13000"/>
    <x v="7"/>
  </r>
  <r>
    <s v="RA   "/>
    <s v="SARL OUJDA 13 MIRAMAS         "/>
    <x v="0"/>
    <n v="143.55000000000001"/>
    <n v="7"/>
    <n v="0.24238642583"/>
    <n v="13000"/>
    <x v="7"/>
  </r>
  <r>
    <s v="RA   "/>
    <s v="MARSEILLE MEAT COMPAGNY       "/>
    <x v="0"/>
    <n v="369.4477273"/>
    <n v="22"/>
    <n v="0.21949925257"/>
    <n v="13000"/>
    <x v="7"/>
  </r>
  <r>
    <s v="RA   "/>
    <s v="CMVI MARSEILLE                "/>
    <x v="0"/>
    <n v="446.32600000000002"/>
    <n v="25"/>
    <n v="0.21758051289999999"/>
    <n v="13000"/>
    <x v="7"/>
  </r>
  <r>
    <s v="RA   "/>
    <s v="LK ALIMENTATION MARSEILLE     "/>
    <x v="0"/>
    <n v="105.89"/>
    <n v="4"/>
    <n v="0.25191708376999999"/>
    <n v="13001"/>
    <x v="7"/>
  </r>
  <r>
    <s v="RA   "/>
    <s v="BIE NOOR MARSEILLE            "/>
    <x v="0"/>
    <n v="618.37588240000002"/>
    <n v="17"/>
    <n v="0.21693639601"/>
    <n v="13001"/>
    <x v="7"/>
  </r>
  <r>
    <s v="RA   "/>
    <s v="ASSAADA MARSEILLE SAADA       "/>
    <x v="0"/>
    <n v="164.82749999999999"/>
    <n v="12"/>
    <n v="0.22444575894999999"/>
    <n v="13003"/>
    <x v="7"/>
  </r>
  <r>
    <s v="RA   "/>
    <s v="MORONIE VIANDES MARSEILLE     "/>
    <x v="0"/>
    <n v="965.25"/>
    <n v="27"/>
    <n v="0.21662382611"/>
    <n v="13003"/>
    <x v="7"/>
  </r>
  <r>
    <s v="RA   "/>
    <s v="BIE MERLIN BERNARD 13 MARSEILL"/>
    <x v="0"/>
    <n v="22.25"/>
    <n v="16"/>
    <n v="1.16449438202"/>
    <n v="13005"/>
    <x v="7"/>
  </r>
  <r>
    <s v="RA   "/>
    <s v="REST LE BOUCHER MARSEILLE     "/>
    <x v="0"/>
    <n v="108.21285709999999"/>
    <n v="14"/>
    <n v="0.27415411425000002"/>
    <n v="13009"/>
    <x v="7"/>
  </r>
  <r>
    <s v="RA   "/>
    <s v="BIE MAROUX MARSEILLE          "/>
    <x v="0"/>
    <n v="41.483846200000002"/>
    <n v="12"/>
    <n v="0.62458046691000002"/>
    <n v="13012"/>
    <x v="7"/>
  </r>
  <r>
    <s v="TM   "/>
    <s v="DEDE VIANDES                  "/>
    <x v="0"/>
    <n v="644.07692310000004"/>
    <n v="24"/>
    <n v="0.13591723397"/>
    <n v="13014"/>
    <x v="7"/>
  </r>
  <r>
    <s v="RA   "/>
    <s v="PHOCEENNE DES VIANDES HALLAL  "/>
    <x v="0"/>
    <n v="399.93"/>
    <n v="36"/>
    <n v="0.21895540053000001"/>
    <n v="13015"/>
    <x v="7"/>
  </r>
  <r>
    <s v="TI   "/>
    <s v="VERCELLI FORMIGLIANA 921      "/>
    <x v="0"/>
    <n v="1271.0777777999999"/>
    <n v="9"/>
    <n v="0.2463594325"/>
    <n v="13030"/>
    <x v="7"/>
  </r>
  <r>
    <s v="RA   "/>
    <s v="BIE CHEZ NIHAL AIX EN PROVENCE"/>
    <x v="0"/>
    <n v="65.901666700000007"/>
    <n v="6"/>
    <n v="0.39573354240000003"/>
    <n v="13090"/>
    <x v="7"/>
  </r>
  <r>
    <s v="RA   "/>
    <s v="MADINA BOUCHERIE              "/>
    <x v="0"/>
    <n v="597.01576920000002"/>
    <n v="25"/>
    <n v="0.21902700676"/>
    <n v="13090"/>
    <x v="7"/>
  </r>
  <r>
    <s v="RA   "/>
    <s v="AIX TRAITS DE SAVEURS AIX     "/>
    <x v="0"/>
    <n v="234.37625"/>
    <n v="16"/>
    <n v="0.21966576178"/>
    <n v="13100"/>
    <x v="7"/>
  </r>
  <r>
    <s v="RA   "/>
    <s v="BIE ST JEAN PORT DE BOUC      "/>
    <x v="0"/>
    <n v="108.59714289999999"/>
    <n v="7"/>
    <n v="0.25073009023999998"/>
    <n v="13110"/>
    <x v="7"/>
  </r>
  <r>
    <s v="RA   "/>
    <s v="BIE ADELIN M RODRIGUES 13     "/>
    <x v="0"/>
    <n v="194.73"/>
    <n v="2"/>
    <n v="0.22055410054999999"/>
    <n v="13130"/>
    <x v="7"/>
  </r>
  <r>
    <s v="RA   "/>
    <s v="BIE CHARCUTERIE YADINE MIRAMAS"/>
    <x v="0"/>
    <n v="128.75529409999999"/>
    <n v="17"/>
    <n v="0.25556230697999999"/>
    <n v="13140"/>
    <x v="7"/>
  </r>
  <r>
    <s v="RA   "/>
    <s v="BIE SOUSS MIRAMAS OURIKA      "/>
    <x v="0"/>
    <n v="241.5316"/>
    <n v="25"/>
    <n v="0.21953417275000001"/>
    <n v="13140"/>
    <x v="7"/>
  </r>
  <r>
    <s v="RA   "/>
    <s v="NOCOR SARL                    "/>
    <x v="0"/>
    <n v="176.5335714"/>
    <n v="14"/>
    <n v="0.23023423306999999"/>
    <n v="13150"/>
    <x v="7"/>
  </r>
  <r>
    <s v="RV   "/>
    <s v="L AMARINE ST REMY DE PROVENCE "/>
    <x v="0"/>
    <n v="25.14"/>
    <n v="3"/>
    <n v="0.62569610183000002"/>
    <n v="13210"/>
    <x v="7"/>
  </r>
  <r>
    <s v="RV   "/>
    <s v="HOTEL IMAGE ST REMY DE PROVENC"/>
    <x v="0"/>
    <n v="68.760000000000005"/>
    <n v="1"/>
    <n v="0.31486329261000001"/>
    <n v="13210"/>
    <x v="7"/>
  </r>
  <r>
    <s v="RA   "/>
    <s v="FRANCK BIE SALON DE PROVENCE  "/>
    <x v="0"/>
    <n v="58.15"/>
    <n v="2"/>
    <n v="0.44557179708"/>
    <n v="13300"/>
    <x v="7"/>
  </r>
  <r>
    <s v="RA   "/>
    <s v="BIE ESSALAM SALON DE PROVENCE "/>
    <x v="0"/>
    <n v="90.244"/>
    <n v="20"/>
    <n v="0.29685574663999997"/>
    <n v="13300"/>
    <x v="7"/>
  </r>
  <r>
    <s v="RA   "/>
    <s v="BIE LES 2 FRERES 13 SALON DE P"/>
    <x v="0"/>
    <n v="90.701875000000001"/>
    <n v="16"/>
    <n v="0.30322485063999999"/>
    <n v="13300"/>
    <x v="7"/>
  </r>
  <r>
    <s v="RA   "/>
    <s v="BIE DHIF 13 SALON DE PROVENCE "/>
    <x v="0"/>
    <n v="200.53333330000001"/>
    <n v="21"/>
    <n v="0.22444576367999999"/>
    <n v="13300"/>
    <x v="7"/>
  </r>
  <r>
    <s v="RA   "/>
    <s v="AMD BOUCHERIE COQUIERES AUBAGN"/>
    <x v="0"/>
    <n v="209.7"/>
    <n v="1"/>
    <n v="0.22015736766999999"/>
    <n v="13400"/>
    <x v="7"/>
  </r>
  <r>
    <s v="RA   "/>
    <s v="COMPTOIR BIE LES COQUIERES AUB"/>
    <x v="0"/>
    <n v="245.4"/>
    <n v="1"/>
    <n v="0.21947432762999999"/>
    <n v="13400"/>
    <x v="7"/>
  </r>
  <r>
    <s v="RA   "/>
    <s v="CARREFOUR EXPRESS MARTIGUES   "/>
    <x v="0"/>
    <n v="121.065"/>
    <n v="8"/>
    <n v="0.22756990047"/>
    <n v="13500"/>
    <x v="7"/>
  </r>
  <r>
    <s v="RA   "/>
    <s v="BIE LE LIMOUSIN MARTIGUES     "/>
    <x v="0"/>
    <n v="148.35733329999999"/>
    <n v="15"/>
    <n v="0.23785454938"/>
    <n v="13500"/>
    <x v="7"/>
  </r>
  <r>
    <s v="RA   "/>
    <s v="OUBDIL MARIGNANE              "/>
    <x v="0"/>
    <n v="245.25555560000001"/>
    <n v="27"/>
    <n v="0.22539135293000001"/>
    <n v="13700"/>
    <x v="7"/>
  </r>
  <r>
    <s v="TI   "/>
    <s v="GESTIGULLIO Y SRL RAPALLO     "/>
    <x v="0"/>
    <n v="1993.9311111"/>
    <n v="9"/>
    <n v="0.24579479508999999"/>
    <n v="16035"/>
    <x v="8"/>
  </r>
  <r>
    <s v="TI   "/>
    <s v="CARBONE GIACOMO FRANCO ECSAS  "/>
    <x v="0"/>
    <n v="478.63555559999998"/>
    <n v="9"/>
    <n v="0.31937753613999997"/>
    <n v="16143"/>
    <x v="8"/>
  </r>
  <r>
    <s v="P    "/>
    <s v="NEREVIA                       "/>
    <x v="0"/>
    <n v="9702.34"/>
    <n v="1"/>
    <n v="7.2147543790000004E-2"/>
    <n v="17510"/>
    <x v="9"/>
  </r>
  <r>
    <s v="RA   "/>
    <s v="METRO LES PENNES MIRABEAU 18  "/>
    <x v="0"/>
    <n v="105.33"/>
    <n v="2"/>
    <n v="0.24388113548000001"/>
    <n v="18000"/>
    <x v="10"/>
  </r>
  <r>
    <s v="MD   "/>
    <s v="SARL EXO PRODUITS 19 BRIVE    "/>
    <x v="0"/>
    <n v="79.2157895"/>
    <n v="19"/>
    <n v="0.21118331007999999"/>
    <n v="19000"/>
    <x v="11"/>
  </r>
  <r>
    <s v="MDU  "/>
    <s v="ROYAL VOLAILLE PARIS 19       "/>
    <x v="0"/>
    <n v="1142.3251723999999"/>
    <n v="20"/>
    <n v="8.4441594169999995E-2"/>
    <n v="19000"/>
    <x v="11"/>
  </r>
  <r>
    <s v="TI   "/>
    <s v="VIGNALE GIORGIO SRL           "/>
    <x v="0"/>
    <n v="431.26571430000001"/>
    <n v="7"/>
    <n v="0.34747023711000002"/>
    <n v="19035"/>
    <x v="11"/>
  </r>
  <r>
    <s v="MD   "/>
    <s v="AL BARAKA BRIVE LA GAILLARDE  "/>
    <x v="0"/>
    <n v="91.194999999999993"/>
    <n v="12"/>
    <n v="0.20601092896000001"/>
    <n v="19100"/>
    <x v="11"/>
  </r>
  <r>
    <s v="MD   "/>
    <s v="VIANDES DE CORREZE BRIVE      "/>
    <x v="0"/>
    <n v="123.9555556"/>
    <n v="9"/>
    <n v="0.19697472212"/>
    <n v="19240"/>
    <x v="11"/>
  </r>
  <r>
    <s v="RA   "/>
    <s v="BIE AZHOUR MOHAMED AJACCIO    "/>
    <x v="0"/>
    <n v="121.5422222"/>
    <n v="9"/>
    <n v="0.23254835997000001"/>
    <n v="20090"/>
    <x v="12"/>
  </r>
  <r>
    <s v="RA   "/>
    <s v="ALBA ALIMENTATION BIE ARTISANA"/>
    <x v="0"/>
    <n v="246.6"/>
    <n v="6"/>
    <n v="0.21944849959000001"/>
    <n v="20213"/>
    <x v="12"/>
  </r>
  <r>
    <s v="RA   "/>
    <s v="SODIGAV BASTIA                "/>
    <x v="0"/>
    <n v="170.8944444"/>
    <n v="9"/>
    <n v="0.24146224115000001"/>
    <n v="20600"/>
    <x v="12"/>
  </r>
  <r>
    <s v="RA   "/>
    <s v="SUPER SOUK FURIANI            "/>
    <x v="0"/>
    <n v="251.45"/>
    <n v="8"/>
    <n v="0.21936468482999999"/>
    <n v="20600"/>
    <x v="12"/>
  </r>
  <r>
    <s v="TI   "/>
    <s v="MOLTENI CARNI CANNAGO LENTAT  "/>
    <x v="0"/>
    <n v="1758.9"/>
    <n v="1"/>
    <n v="0.24479845357999999"/>
    <n v="20823"/>
    <x v="12"/>
  </r>
  <r>
    <s v="TI   "/>
    <s v="UBOLDI CARNI FENEGRO          "/>
    <x v="0"/>
    <n v="764.42"/>
    <n v="5"/>
    <n v="0.26482561941999999"/>
    <n v="22070"/>
    <x v="13"/>
  </r>
  <r>
    <s v="TI   "/>
    <s v="BUZZI S.P.A. GIUSSANO ITALIE  "/>
    <x v="0"/>
    <n v="2109.5444444"/>
    <n v="9"/>
    <n v="0.24574057590000001"/>
    <n v="22078"/>
    <x v="13"/>
  </r>
  <r>
    <s v="MD   "/>
    <s v="METRO PERIGUEUX 24            "/>
    <x v="0"/>
    <n v="38.43"/>
    <n v="1"/>
    <n v="0.27733541503999998"/>
    <n v="24000"/>
    <x v="14"/>
  </r>
  <r>
    <s v="MD   "/>
    <s v="SA BELOT FRERES               "/>
    <x v="0"/>
    <n v="216.31299999999999"/>
    <n v="10"/>
    <n v="0.36500857553999999"/>
    <n v="25000"/>
    <x v="15"/>
  </r>
  <r>
    <s v="TA   "/>
    <s v="ROUDAUT LECLERC ST PAUL ROMANS"/>
    <x v="0"/>
    <n v="88.300714299999996"/>
    <n v="6"/>
    <n v="0.11416264227"/>
    <n v="26750"/>
    <x v="16"/>
  </r>
  <r>
    <s v="TI   "/>
    <s v="NUOVA SCHINO DOMODOSSOLA 916  "/>
    <x v="0"/>
    <n v="843.66666669999995"/>
    <n v="6"/>
    <n v="0.24691426314000001"/>
    <n v="28845"/>
    <x v="17"/>
  </r>
  <r>
    <s v="RA   "/>
    <s v="L OASIS 30 NIMES              "/>
    <x v="0"/>
    <n v="114.539"/>
    <n v="10"/>
    <n v="0.25988527924999999"/>
    <n v="30000"/>
    <x v="18"/>
  </r>
  <r>
    <s v="RA   "/>
    <s v="BIE YOUSRA NIMES              "/>
    <x v="0"/>
    <n v="125.6925"/>
    <n v="8"/>
    <n v="0.24810847903"/>
    <n v="30000"/>
    <x v="18"/>
  </r>
  <r>
    <s v="RV   "/>
    <s v="NIMES PASSION FROID SOD       "/>
    <x v="0"/>
    <n v="131.25"/>
    <n v="2"/>
    <n v="0.15386666667000001"/>
    <n v="30000"/>
    <x v="18"/>
  </r>
  <r>
    <s v="RA   "/>
    <s v="EURO DISCOUNT FRAIS ALES 30   "/>
    <x v="0"/>
    <n v="436.35"/>
    <n v="18"/>
    <n v="0.21763250703000001"/>
    <n v="30000"/>
    <x v="18"/>
  </r>
  <r>
    <s v="RA   "/>
    <s v="BIE 3.6.9. NIMES AISSA        "/>
    <x v="0"/>
    <n v="730.38"/>
    <n v="19"/>
    <n v="0.21809569928"/>
    <n v="30000"/>
    <x v="18"/>
  </r>
  <r>
    <s v="RA   "/>
    <s v="GUY PIERRE  ALES              "/>
    <x v="0"/>
    <n v="77.534285699999998"/>
    <n v="21"/>
    <n v="0.33421343552999999"/>
    <n v="30100"/>
    <x v="18"/>
  </r>
  <r>
    <s v="RA   "/>
    <s v="CIRTA ALES                    "/>
    <x v="0"/>
    <n v="174.38631580000001"/>
    <n v="19"/>
    <n v="0.22737087047999999"/>
    <n v="30100"/>
    <x v="18"/>
  </r>
  <r>
    <s v="RA   "/>
    <s v="HYPER U ALES                  "/>
    <x v="0"/>
    <n v="180.94571429999999"/>
    <n v="14"/>
    <n v="0.22096485133999999"/>
    <n v="30100"/>
    <x v="18"/>
  </r>
  <r>
    <s v="RA   "/>
    <s v="SARL DU SUD BEAUCAIRE         "/>
    <x v="0"/>
    <n v="222.0538095"/>
    <n v="21"/>
    <n v="0.22442715515"/>
    <n v="30300"/>
    <x v="18"/>
  </r>
  <r>
    <s v="G    "/>
    <s v="SU (130) VERGEZE PLAT         "/>
    <x v="0"/>
    <n v="43.65"/>
    <n v="1"/>
    <n v="0.73172966781000004"/>
    <n v="30310"/>
    <x v="18"/>
  </r>
  <r>
    <s v="RA   "/>
    <s v="CLAUZIER CONNAUX              "/>
    <x v="0"/>
    <n v="56.04"/>
    <n v="11"/>
    <n v="0.46234832262999997"/>
    <n v="30330"/>
    <x v="18"/>
  </r>
  <r>
    <s v="RA   "/>
    <s v="GOUT ET SAVEURS ST GILLES     "/>
    <x v="0"/>
    <n v="47.951818199999998"/>
    <n v="11"/>
    <n v="0.54033404743000002"/>
    <n v="30800"/>
    <x v="18"/>
  </r>
  <r>
    <s v="RV   "/>
    <s v="AGLOTIZI 30900 NIMES          "/>
    <x v="0"/>
    <n v="199.74"/>
    <n v="1"/>
    <n v="0.12346049865"/>
    <n v="30900"/>
    <x v="18"/>
  </r>
  <r>
    <s v="RA   "/>
    <s v="BIE ABDERRAHMAN NIMES         "/>
    <x v="0"/>
    <n v="204.76818180000001"/>
    <n v="11"/>
    <n v="0.22029922972999999"/>
    <n v="30900"/>
    <x v="18"/>
  </r>
  <r>
    <s v="RA   "/>
    <s v="AGLOTIZI 30900 NIMES          "/>
    <x v="0"/>
    <n v="236.27111110000001"/>
    <n v="9"/>
    <n v="0.21962764056"/>
    <n v="30900"/>
    <x v="18"/>
  </r>
  <r>
    <s v="RTD  "/>
    <s v="CASINO CS909 TLSE L UNION EDI "/>
    <x v="0"/>
    <n v="14.3328571"/>
    <n v="7"/>
    <n v="0.16998903618"/>
    <n v="31000"/>
    <x v="19"/>
  </r>
  <r>
    <s v="RTD  "/>
    <s v="CASINO CS902 BONNEFOY EDI     "/>
    <x v="0"/>
    <n v="14.36"/>
    <n v="2"/>
    <n v="0.16998607242"/>
    <n v="31000"/>
    <x v="19"/>
  </r>
  <r>
    <s v="RTD  "/>
    <s v="CASINO CS919 LA CEPIERE EDI   "/>
    <x v="0"/>
    <n v="14.67"/>
    <n v="1"/>
    <n v="0.17000681663"/>
    <n v="31000"/>
    <x v="19"/>
  </r>
  <r>
    <s v="G    "/>
    <s v="CASINO CS902 BONNEFOY EDI     "/>
    <x v="0"/>
    <n v="15.81"/>
    <n v="2"/>
    <n v="0.33883617963000001"/>
    <n v="31000"/>
    <x v="19"/>
  </r>
  <r>
    <s v="M42"/>
    <s v="SPAR MONTIGNAC TL761 EDI      "/>
    <x v="0"/>
    <n v="17.600000000000001"/>
    <n v="1"/>
    <n v="1.78860795455"/>
    <n v="31000"/>
    <x v="19"/>
  </r>
  <r>
    <s v="G    "/>
    <s v="SPAR MONTIGNAC TL761 EDI      "/>
    <x v="0"/>
    <n v="18.87"/>
    <n v="1"/>
    <n v="2.2082670906200002"/>
    <n v="31000"/>
    <x v="19"/>
  </r>
  <r>
    <s v="RT   "/>
    <s v="TRIPERIE GASCONNE TOULOUSE    "/>
    <x v="0"/>
    <n v="23.972222200000001"/>
    <n v="16"/>
    <n v="0.17"/>
    <n v="31000"/>
    <x v="19"/>
  </r>
  <r>
    <s v="RTD  "/>
    <s v="CASINO CS907 DEMOISELLE EDI   "/>
    <x v="0"/>
    <n v="35.9811111"/>
    <n v="9"/>
    <n v="0.17000277924000001"/>
    <n v="31000"/>
    <x v="19"/>
  </r>
  <r>
    <s v="G    "/>
    <s v="REST LA TERRISSE TOULOUSE     "/>
    <x v="0"/>
    <n v="42.99"/>
    <n v="1"/>
    <n v="0.74296347988"/>
    <n v="31000"/>
    <x v="19"/>
  </r>
  <r>
    <s v="M42"/>
    <s v="CASINO CS551 SALAISE/SANNE EDI"/>
    <x v="0"/>
    <n v="56.205666700000002"/>
    <n v="21"/>
    <n v="0.5475966243"/>
    <n v="31000"/>
    <x v="19"/>
  </r>
  <r>
    <s v="RT   "/>
    <s v="SARL EL BAHIA TOULOUSE        "/>
    <x v="0"/>
    <n v="67.087500000000006"/>
    <n v="8"/>
    <n v="0.17"/>
    <n v="31000"/>
    <x v="19"/>
  </r>
  <r>
    <s v="RT   "/>
    <s v="QUICK D ORIENT TOULOUSE       "/>
    <x v="0"/>
    <n v="69.487142899999995"/>
    <n v="7"/>
    <n v="0.16999856088000001"/>
    <n v="31000"/>
    <x v="19"/>
  </r>
  <r>
    <s v="RT   "/>
    <s v="BADECHE CHERIF TOULOUSE       "/>
    <x v="0"/>
    <n v="78.08"/>
    <n v="12"/>
    <n v="0.17000085382999999"/>
    <n v="31000"/>
    <x v="19"/>
  </r>
  <r>
    <s v="RT   "/>
    <s v="EL BAHIA RUE DU LOT TLSE 31   "/>
    <x v="0"/>
    <n v="86.314285699999999"/>
    <n v="13"/>
    <n v="0.17"/>
    <n v="31000"/>
    <x v="19"/>
  </r>
  <r>
    <s v="RT   "/>
    <s v="LE PALMIER PELISSIER TOULOUSE "/>
    <x v="0"/>
    <n v="117.205"/>
    <n v="2"/>
    <n v="0.16999701378000001"/>
    <n v="31000"/>
    <x v="19"/>
  </r>
  <r>
    <s v="RT   "/>
    <s v="LA MAISON DE L AGNEAU VICTOR H"/>
    <x v="0"/>
    <n v="119.9490909"/>
    <n v="11"/>
    <n v="0.17000015158000001"/>
    <n v="31000"/>
    <x v="19"/>
  </r>
  <r>
    <s v="RT   "/>
    <s v="SARL PROXIM HALAL             "/>
    <x v="0"/>
    <n v="148.90625"/>
    <n v="16"/>
    <n v="0.17"/>
    <n v="31000"/>
    <x v="19"/>
  </r>
  <r>
    <s v="RT   "/>
    <s v="MARSSA TOULOUSE MINIMES       "/>
    <x v="0"/>
    <n v="152.84809519999999"/>
    <n v="21"/>
    <n v="0.17000009346"/>
    <n v="31000"/>
    <x v="19"/>
  </r>
  <r>
    <s v="RT   "/>
    <s v="L ORANAISE TOULOUSE           "/>
    <x v="0"/>
    <n v="157.65"/>
    <n v="16"/>
    <n v="0.17"/>
    <n v="31000"/>
    <x v="19"/>
  </r>
  <r>
    <s v="RT   "/>
    <s v="BIE LE CRYSTAL TOULOUSE       "/>
    <x v="0"/>
    <n v="190.23043480000001"/>
    <n v="23"/>
    <n v="0.17"/>
    <n v="31000"/>
    <x v="19"/>
  </r>
  <r>
    <s v="RTD  "/>
    <s v="TRIPERIE JULIEN CARMAUX       "/>
    <x v="0"/>
    <n v="219.96125000000001"/>
    <n v="8"/>
    <n v="0.16999982952000001"/>
    <n v="31000"/>
    <x v="19"/>
  </r>
  <r>
    <s v="RT   "/>
    <s v="SARL LA VEDETTE 31            "/>
    <x v="0"/>
    <n v="230.95217389999999"/>
    <n v="23"/>
    <n v="0.17"/>
    <n v="31000"/>
    <x v="19"/>
  </r>
  <r>
    <s v="RA   "/>
    <s v="MARCHE PROVENCAL TOULON MUSSE "/>
    <x v="0"/>
    <n v="319.02193549999998"/>
    <n v="31"/>
    <n v="0.21908959643000001"/>
    <n v="31000"/>
    <x v="19"/>
  </r>
  <r>
    <s v="RT   "/>
    <s v="BOUCHERIE EL RAHMA            "/>
    <x v="0"/>
    <n v="434.88499999999999"/>
    <n v="20"/>
    <n v="0.17"/>
    <n v="31000"/>
    <x v="19"/>
  </r>
  <r>
    <s v="RT   "/>
    <s v="QUICK BURGER                  "/>
    <x v="0"/>
    <n v="41.013333299999999"/>
    <n v="3"/>
    <n v="0.17000162549"/>
    <n v="31100"/>
    <x v="19"/>
  </r>
  <r>
    <s v="RT   "/>
    <s v="SARL EL FETH                  "/>
    <x v="0"/>
    <n v="52.178571400000003"/>
    <n v="13"/>
    <n v="0.17"/>
    <n v="31100"/>
    <x v="19"/>
  </r>
  <r>
    <s v="RT   "/>
    <s v="SARL IKRAM HALAL              "/>
    <x v="0"/>
    <n v="52.456249999999997"/>
    <n v="16"/>
    <n v="0.17"/>
    <n v="31100"/>
    <x v="19"/>
  </r>
  <r>
    <s v="RT   "/>
    <s v="ZIANE TOULOUSE                "/>
    <x v="0"/>
    <n v="316.71249999999998"/>
    <n v="8"/>
    <n v="0.17"/>
    <n v="31100"/>
    <x v="19"/>
  </r>
  <r>
    <s v="RTD  "/>
    <s v="AGROVIA SARL                  "/>
    <x v="0"/>
    <n v="30.0833333"/>
    <n v="6"/>
    <n v="0.17"/>
    <n v="31130"/>
    <x v="19"/>
  </r>
  <r>
    <s v="RTD  "/>
    <s v="G CASINO CG845 FENOUILLET EDI "/>
    <x v="0"/>
    <n v="30.305"/>
    <n v="8"/>
    <n v="0.17000082494999999"/>
    <n v="31150"/>
    <x v="19"/>
  </r>
  <r>
    <s v="RTD  "/>
    <s v="SOVIVO BRUGUIERES STEACK HACHE"/>
    <x v="0"/>
    <n v="2246.2199999999998"/>
    <n v="10"/>
    <n v="0.17"/>
    <n v="31150"/>
    <x v="19"/>
  </r>
  <r>
    <s v="RTD  "/>
    <s v="BETEILLE PIERRE REVEL         "/>
    <x v="0"/>
    <n v="146"/>
    <n v="1"/>
    <n v="0.17"/>
    <n v="31250"/>
    <x v="19"/>
  </r>
  <r>
    <s v="RT   "/>
    <s v="NORBERT TRIPERIE TOULOUSE     "/>
    <x v="0"/>
    <n v="54.25"/>
    <n v="16"/>
    <n v="0.17"/>
    <n v="31300"/>
    <x v="19"/>
  </r>
  <r>
    <s v="RT   "/>
    <s v="SULTAN TOULOUSE KIKIH         "/>
    <x v="0"/>
    <n v="111.7252941"/>
    <n v="17"/>
    <n v="0.17000047385"/>
    <n v="31300"/>
    <x v="19"/>
  </r>
  <r>
    <s v="RT   "/>
    <s v="BOUCHERIE DES FONTAINES       "/>
    <x v="0"/>
    <n v="266.81"/>
    <n v="20"/>
    <n v="0.17000037479999999"/>
    <n v="31300"/>
    <x v="19"/>
  </r>
  <r>
    <s v="RT   "/>
    <s v="YAZID TOULOUSE EL MORCHID     "/>
    <x v="0"/>
    <n v="456.73157889999999"/>
    <n v="19"/>
    <n v="0.17"/>
    <n v="31400"/>
    <x v="19"/>
  </r>
  <r>
    <s v="RT   "/>
    <s v="HAMZA MURET                   "/>
    <x v="0"/>
    <n v="139.72999999999999"/>
    <n v="4"/>
    <n v="0.16999928433"/>
    <n v="31600"/>
    <x v="19"/>
  </r>
  <r>
    <s v="RT   "/>
    <s v="BIE OCCITANE CORNEBARRIEU     "/>
    <x v="0"/>
    <n v="205.01111109999999"/>
    <n v="9"/>
    <n v="0.17"/>
    <n v="31700"/>
    <x v="19"/>
  </r>
  <r>
    <s v="RTD  "/>
    <s v="VM COURTAGE SAMATAN           "/>
    <x v="0"/>
    <n v="66.366666699999996"/>
    <n v="3"/>
    <n v="0.17"/>
    <n v="31880"/>
    <x v="19"/>
  </r>
  <r>
    <s v="RA   "/>
    <s v="METRO NICE 32                 "/>
    <x v="0"/>
    <n v="61.524999999999999"/>
    <n v="4"/>
    <n v="0.42112962209999999"/>
    <n v="32000"/>
    <x v="20"/>
  </r>
  <r>
    <s v="RTD  "/>
    <s v="FARBOS GIMONT                 "/>
    <x v="0"/>
    <n v="158.62666669999999"/>
    <n v="9"/>
    <n v="0.16999943963"/>
    <n v="32000"/>
    <x v="20"/>
  </r>
  <r>
    <s v="TT   "/>
    <s v="FARBOS GIMONT                 "/>
    <x v="0"/>
    <n v="174.5"/>
    <n v="2"/>
    <n v="0.21426934097"/>
    <n v="32000"/>
    <x v="20"/>
  </r>
  <r>
    <s v="RA   "/>
    <s v="FARBOS GIMONT                 "/>
    <x v="0"/>
    <n v="191.32"/>
    <n v="1"/>
    <n v="0.22065649173999999"/>
    <n v="32000"/>
    <x v="20"/>
  </r>
  <r>
    <s v="G    "/>
    <s v="CASINO CS914 TALENCE EDI      "/>
    <x v="0"/>
    <n v="19.524999999999999"/>
    <n v="2"/>
    <n v="2.1341869398200002"/>
    <n v="33000"/>
    <x v="21"/>
  </r>
  <r>
    <s v="RTD  "/>
    <s v="CASINO CS796 ARCACHON MER EDI "/>
    <x v="0"/>
    <n v="18.355"/>
    <n v="2"/>
    <n v="0.17000817216"/>
    <n v="33120"/>
    <x v="21"/>
  </r>
  <r>
    <s v="G    "/>
    <s v="CASINO CS796 ARCACHON MER EDI "/>
    <x v="0"/>
    <n v="19.524999999999999"/>
    <n v="2"/>
    <n v="0.33889884763"/>
    <n v="33120"/>
    <x v="21"/>
  </r>
  <r>
    <s v="M42"/>
    <s v="CS595 MONTUSSAN edi           "/>
    <x v="0"/>
    <n v="18.188888899999998"/>
    <n v="6"/>
    <n v="1.3168417837499999"/>
    <n v="33450"/>
    <x v="21"/>
  </r>
  <r>
    <s v="G    "/>
    <s v="CS755 IZON edi                "/>
    <x v="0"/>
    <n v="18.82"/>
    <n v="1"/>
    <n v="2.2141339001100002"/>
    <n v="33450"/>
    <x v="21"/>
  </r>
  <r>
    <s v="M42"/>
    <s v="CS755 IZON edi                "/>
    <x v="0"/>
    <n v="19.1883333"/>
    <n v="7"/>
    <n v="1.25696169547"/>
    <n v="33450"/>
    <x v="21"/>
  </r>
  <r>
    <s v="G    "/>
    <s v="SPECIALITES DE SALAISONS BRACH"/>
    <x v="0"/>
    <n v="48.02"/>
    <n v="1"/>
    <n v="0.78862973760999999"/>
    <n v="33480"/>
    <x v="21"/>
  </r>
  <r>
    <s v="RTD  "/>
    <s v="CASINO CS697  ANDERNOS EDI    "/>
    <x v="0"/>
    <n v="19.391428600000001"/>
    <n v="7"/>
    <n v="0.16999410638000001"/>
    <n v="33510"/>
    <x v="21"/>
  </r>
  <r>
    <s v="G    "/>
    <s v="CASINO CS748  MERIGNAC EDI    "/>
    <x v="0"/>
    <n v="20.13"/>
    <n v="1"/>
    <n v="2.0700447093899998"/>
    <n v="33689"/>
    <x v="21"/>
  </r>
  <r>
    <s v="M42"/>
    <s v="CASINO CS748  MERIGNAC EDI    "/>
    <x v="0"/>
    <n v="23.7688889"/>
    <n v="7"/>
    <n v="0.83620044876999999"/>
    <n v="33689"/>
    <x v="21"/>
  </r>
  <r>
    <s v="M    "/>
    <s v="DOUNIA HALLAL BORDEAUX        "/>
    <x v="0"/>
    <n v="175.24090910000001"/>
    <n v="13"/>
    <n v="0.19251069956"/>
    <n v="33800"/>
    <x v="21"/>
  </r>
  <r>
    <s v="RA   "/>
    <s v="DOUNIA NIMES                  "/>
    <x v="0"/>
    <n v="214.6"/>
    <n v="2"/>
    <n v="0.22006756757000001"/>
    <n v="33800"/>
    <x v="21"/>
  </r>
  <r>
    <s v="RV   "/>
    <s v="AU BONHEUR DES TARTES MONTPELL"/>
    <x v="0"/>
    <n v="17.123333299999999"/>
    <n v="9"/>
    <n v="0.91862955032000004"/>
    <n v="34000"/>
    <x v="22"/>
  </r>
  <r>
    <s v="RV   "/>
    <s v="RESTAURANT O COING            "/>
    <x v="0"/>
    <n v="19.542857099999999"/>
    <n v="7"/>
    <n v="0.80489766082000003"/>
    <n v="34000"/>
    <x v="22"/>
  </r>
  <r>
    <s v="RTD  "/>
    <s v="CASINO CS812  MONTPELLIER EDI "/>
    <x v="0"/>
    <n v="19.670000000000002"/>
    <n v="9"/>
    <n v="0.17000508387999999"/>
    <n v="34000"/>
    <x v="22"/>
  </r>
  <r>
    <s v="RV   "/>
    <s v="BRASSERIE LE THEATRE 34 MONTPE"/>
    <x v="0"/>
    <n v="20.687727299999999"/>
    <n v="22"/>
    <n v="0.76035418452000003"/>
    <n v="34000"/>
    <x v="22"/>
  </r>
  <r>
    <s v="RV   "/>
    <s v="HOTEL MERCURE MONTPELLIER     "/>
    <x v="0"/>
    <n v="21.724615400000001"/>
    <n v="13"/>
    <n v="0.74155513066000001"/>
    <n v="34000"/>
    <x v="22"/>
  </r>
  <r>
    <s v="RV   "/>
    <s v="COMPTOIR DE L ARC MONTPEL 34  "/>
    <x v="0"/>
    <n v="23.86"/>
    <n v="8"/>
    <n v="0.65926236379000003"/>
    <n v="34000"/>
    <x v="22"/>
  </r>
  <r>
    <s v="RV   "/>
    <s v="LE PETIT JARDIN MONTPELLIER   "/>
    <x v="0"/>
    <n v="24.453571400000001"/>
    <n v="14"/>
    <n v="0.65768949904999996"/>
    <n v="34000"/>
    <x v="22"/>
  </r>
  <r>
    <s v="RTD  "/>
    <s v="CASINO CS961 MONTPELLIER EDI  "/>
    <x v="0"/>
    <n v="26.5657143"/>
    <n v="7"/>
    <n v="0.16999892450000001"/>
    <n v="34000"/>
    <x v="22"/>
  </r>
  <r>
    <s v="RV   "/>
    <s v="RESTAURANT L ORACLE 34 MONTPEL"/>
    <x v="0"/>
    <n v="29.701250000000002"/>
    <n v="8"/>
    <n v="0.55039771052999997"/>
    <n v="34000"/>
    <x v="22"/>
  </r>
  <r>
    <s v="RA   "/>
    <s v="CG810 MONTPEL AUTOedi         "/>
    <x v="0"/>
    <n v="30.38"/>
    <n v="1"/>
    <n v="0.85286372613999994"/>
    <n v="34000"/>
    <x v="22"/>
  </r>
  <r>
    <s v="RV   "/>
    <s v="BRASSERIE SCHOLLER MONTPELLIER"/>
    <x v="0"/>
    <n v="35.757692300000002"/>
    <n v="26"/>
    <n v="0.47600301171999998"/>
    <n v="34000"/>
    <x v="22"/>
  </r>
  <r>
    <s v="RV   "/>
    <s v="DUFFAU FREDERIC MONTPELLIER   "/>
    <x v="0"/>
    <n v="40.550465099999997"/>
    <n v="43"/>
    <n v="0.42528115984999998"/>
    <n v="34000"/>
    <x v="22"/>
  </r>
  <r>
    <s v="G    "/>
    <s v="LES 3 BRASSEURS 34 MONTPELLIER"/>
    <x v="0"/>
    <n v="41.86"/>
    <n v="1"/>
    <n v="0.66292403248999998"/>
    <n v="34000"/>
    <x v="22"/>
  </r>
  <r>
    <s v="RV   "/>
    <s v="REST CAFE DES NEGOCIANTS 34   "/>
    <x v="0"/>
    <n v="42.225000000000001"/>
    <n v="6"/>
    <n v="0.41539372409999997"/>
    <n v="34000"/>
    <x v="22"/>
  </r>
  <r>
    <s v="G    "/>
    <s v="CASINO CG815 CLERMONT F EDI   "/>
    <x v="0"/>
    <n v="44.23"/>
    <n v="1"/>
    <n v="0.99886954555999996"/>
    <n v="34000"/>
    <x v="22"/>
  </r>
  <r>
    <s v="M42"/>
    <s v="CASINO CG815 CLERMONT F EDI   "/>
    <x v="0"/>
    <n v="46.114545499999998"/>
    <n v="8"/>
    <n v="0.59900051255999998"/>
    <n v="34000"/>
    <x v="22"/>
  </r>
  <r>
    <s v="RA   "/>
    <s v="BAB ELMANSOUR MONTPELLIER     "/>
    <x v="0"/>
    <n v="126.5783333"/>
    <n v="6"/>
    <n v="0.23559324266000001"/>
    <n v="34000"/>
    <x v="22"/>
  </r>
  <r>
    <s v="RA   "/>
    <s v="L ENCAS 34 LUNEL              "/>
    <x v="0"/>
    <n v="152.1777778"/>
    <n v="9"/>
    <n v="0.23226197430000001"/>
    <n v="34000"/>
    <x v="22"/>
  </r>
  <r>
    <s v="RA   "/>
    <s v="BIE ST CLEMENT 34 MONTPELLIER "/>
    <x v="0"/>
    <n v="152.66666670000001"/>
    <n v="6"/>
    <n v="0.2281419214"/>
    <n v="34000"/>
    <x v="22"/>
  </r>
  <r>
    <s v="RA   "/>
    <s v="ERRACHIDIA MONTPELLIER 34     "/>
    <x v="0"/>
    <n v="234.71285710000001"/>
    <n v="7"/>
    <n v="0.22379320628999999"/>
    <n v="34000"/>
    <x v="22"/>
  </r>
  <r>
    <s v="RA   "/>
    <s v="BIE TAHA MONTPELLIER          "/>
    <x v="0"/>
    <n v="251.86153849999999"/>
    <n v="13"/>
    <n v="0.21936014904000001"/>
    <n v="34000"/>
    <x v="22"/>
  </r>
  <r>
    <s v="RA   "/>
    <s v="DESTOCK MARKET 34 MONTPELLIER "/>
    <x v="0"/>
    <n v="328.30647060000001"/>
    <n v="17"/>
    <n v="0.21967100324"/>
    <n v="34000"/>
    <x v="22"/>
  </r>
  <r>
    <s v="RV   "/>
    <s v="BRIAULT MONTPELLIER           "/>
    <x v="0"/>
    <n v="4.83"/>
    <n v="1"/>
    <n v="3.2567287784699999"/>
    <n v="34070"/>
    <x v="22"/>
  </r>
  <r>
    <s v="RA   "/>
    <s v="BOUCHERIE LE ROYAUME MONTPEL  "/>
    <x v="0"/>
    <n v="225.4375"/>
    <n v="8"/>
    <n v="0.22592237316"/>
    <n v="34070"/>
    <x v="22"/>
  </r>
  <r>
    <s v="RA   "/>
    <s v="BIE LE ROYAUME TIJANI SETE    "/>
    <x v="0"/>
    <n v="781.45"/>
    <n v="2"/>
    <n v="0.21658839336999999"/>
    <n v="34070"/>
    <x v="22"/>
  </r>
  <r>
    <s v="RA   "/>
    <s v="BOUCHERIE ALIM ATLAS          "/>
    <x v="0"/>
    <n v="135.87375"/>
    <n v="16"/>
    <n v="0.22653014287000001"/>
    <n v="34080"/>
    <x v="22"/>
  </r>
  <r>
    <s v="RA   "/>
    <s v="LES DELICES D OR MONTPELLIER  "/>
    <x v="0"/>
    <n v="229.4272727"/>
    <n v="22"/>
    <n v="0.23248444743999999"/>
    <n v="34080"/>
    <x v="22"/>
  </r>
  <r>
    <s v="RA   "/>
    <s v="BOUCHERIE MEDITERRANEENNE     "/>
    <x v="0"/>
    <n v="409.0025"/>
    <n v="8"/>
    <n v="0.2177865661"/>
    <n v="34080"/>
    <x v="22"/>
  </r>
  <r>
    <s v="RV   "/>
    <s v="LE FONTENOY MONTPELLIER       "/>
    <x v="0"/>
    <n v="31.327500000000001"/>
    <n v="4"/>
    <n v="0.52182587183999996"/>
    <n v="34090"/>
    <x v="22"/>
  </r>
  <r>
    <s v="RV   "/>
    <s v="REST LE MARIE-JEAN SETE       "/>
    <x v="0"/>
    <n v="10.206250000000001"/>
    <n v="8"/>
    <n v="1.5412124923499999"/>
    <n v="34200"/>
    <x v="22"/>
  </r>
  <r>
    <s v="RV   "/>
    <s v="LA OLA                        "/>
    <x v="0"/>
    <n v="13.77"/>
    <n v="1"/>
    <n v="1.1423384168499999"/>
    <n v="34200"/>
    <x v="22"/>
  </r>
  <r>
    <s v="RA   "/>
    <s v="EL BARAKA SETE                "/>
    <x v="0"/>
    <n v="150.52555559999999"/>
    <n v="9"/>
    <n v="0.22541392012"/>
    <n v="34200"/>
    <x v="22"/>
  </r>
  <r>
    <s v="RV   "/>
    <s v="CC SETE SODEXO SFR 101015     "/>
    <x v="0"/>
    <n v="153.66499999999999"/>
    <n v="2"/>
    <n v="0.15068493151000001"/>
    <n v="34200"/>
    <x v="22"/>
  </r>
  <r>
    <s v="RA   "/>
    <s v="SARL O.T.M                    "/>
    <x v="0"/>
    <n v="402.64526319999999"/>
    <n v="19"/>
    <n v="0.21949136369"/>
    <n v="34200"/>
    <x v="22"/>
  </r>
  <r>
    <s v="RV   "/>
    <s v="REST L ENVIE GRAU D AGDE CLEMS"/>
    <x v="0"/>
    <n v="8.8320000000000007"/>
    <n v="5"/>
    <n v="1.7810235507200001"/>
    <n v="34300"/>
    <x v="22"/>
  </r>
  <r>
    <s v="RV   "/>
    <s v="MAIRIE AGDE 34                "/>
    <x v="0"/>
    <n v="30"/>
    <n v="1"/>
    <n v="0.52433333332999998"/>
    <n v="34300"/>
    <x v="22"/>
  </r>
  <r>
    <s v="RA   "/>
    <s v="BONIFACE LOUIS SARL           "/>
    <x v="0"/>
    <n v="87.86"/>
    <n v="1"/>
    <n v="0.29490097882999999"/>
    <n v="34400"/>
    <x v="22"/>
  </r>
  <r>
    <s v="RA   "/>
    <s v="INTERMARCHE LUNEL             "/>
    <x v="0"/>
    <n v="192.00375"/>
    <n v="8"/>
    <n v="0.22063436261"/>
    <n v="34400"/>
    <x v="22"/>
  </r>
  <r>
    <s v="RA   "/>
    <s v="CARREFOUR SALAMERO SERIGNAN   "/>
    <x v="0"/>
    <n v="488.05399999999997"/>
    <n v="5"/>
    <n v="0.21738045380000001"/>
    <n v="34410"/>
    <x v="22"/>
  </r>
  <r>
    <s v="RTD  "/>
    <s v="CASINO CS953 BEZIERS EDI      "/>
    <x v="0"/>
    <n v="27.159090899999999"/>
    <n v="11"/>
    <n v="0.17000502092"/>
    <n v="34500"/>
    <x v="22"/>
  </r>
  <r>
    <s v="RTD  "/>
    <s v="CS309 BEZIERS RIQUET edi      "/>
    <x v="0"/>
    <n v="27.4128571"/>
    <n v="6"/>
    <n v="0.17000364792"/>
    <n v="34500"/>
    <x v="22"/>
  </r>
  <r>
    <s v="RTD  "/>
    <s v="GEANT CASINO CG811 BEZIERS EDI"/>
    <x v="0"/>
    <n v="118.21250000000001"/>
    <n v="4"/>
    <n v="0.16999894258000001"/>
    <n v="34500"/>
    <x v="22"/>
  </r>
  <r>
    <s v="RA   "/>
    <s v="CARREFOUR SOHERDIS BEDARIEUX  "/>
    <x v="0"/>
    <n v="138.8233333"/>
    <n v="3"/>
    <n v="0.23645880856000001"/>
    <n v="34600"/>
    <x v="22"/>
  </r>
  <r>
    <s v="RA   "/>
    <s v="bieO - BIE SAINT ANTOINE      "/>
    <x v="0"/>
    <n v="64.963999999999999"/>
    <n v="10"/>
    <n v="0.39192937627000002"/>
    <n v="34830"/>
    <x v="22"/>
  </r>
  <r>
    <s v="RV   "/>
    <s v="REST LE KALYSTA LE CRES       "/>
    <x v="0"/>
    <n v="15.67"/>
    <n v="1"/>
    <n v="1.00382897256"/>
    <n v="34920"/>
    <x v="22"/>
  </r>
  <r>
    <s v="MDU  "/>
    <s v="BOUCHERIE VASSEUR             "/>
    <x v="0"/>
    <n v="56.142222199999999"/>
    <n v="9"/>
    <n v="9.4866212790000001E-2"/>
    <n v="37130"/>
    <x v="23"/>
  </r>
  <r>
    <s v="RTD  "/>
    <s v="CASINO CS906 LES MINIMES EDI  "/>
    <x v="0"/>
    <n v="16.956"/>
    <n v="5"/>
    <n v="0.17001651333000001"/>
    <n v="37520"/>
    <x v="23"/>
  </r>
  <r>
    <s v="MA   "/>
    <s v="BIGARD ST EGREVE              "/>
    <x v="0"/>
    <n v="119.5204444"/>
    <n v="19"/>
    <n v="0.22640980064999999"/>
    <n v="38120"/>
    <x v="24"/>
  </r>
  <r>
    <s v="TA   "/>
    <s v="BIGARD ST EGREVE              "/>
    <x v="0"/>
    <n v="139.28749999999999"/>
    <n v="23"/>
    <n v="0.19483285471"/>
    <n v="38120"/>
    <x v="24"/>
  </r>
  <r>
    <s v="TA   "/>
    <s v="LECLERC CHATTE ISERE LR       "/>
    <x v="0"/>
    <n v="43.280312500000001"/>
    <n v="22"/>
    <n v="0.21416276165000001"/>
    <n v="38160"/>
    <x v="24"/>
  </r>
  <r>
    <s v="TA   "/>
    <s v="ISERE DISTRIBUTION SA         "/>
    <x v="0"/>
    <n v="86.762631600000006"/>
    <n v="28"/>
    <n v="0.20887175535999999"/>
    <n v="38160"/>
    <x v="24"/>
  </r>
  <r>
    <s v="MA   "/>
    <s v="GAYET PONTCHARRA              "/>
    <x v="0"/>
    <n v="104.0727273"/>
    <n v="4"/>
    <n v="0.19732092942000001"/>
    <n v="38530"/>
    <x v="24"/>
  </r>
  <r>
    <s v="TA   "/>
    <s v="GAYET PONTCHARRA              "/>
    <x v="0"/>
    <n v="215.81923080000001"/>
    <n v="10"/>
    <n v="0.19580346800000001"/>
    <n v="38530"/>
    <x v="24"/>
  </r>
  <r>
    <s v="TA   "/>
    <s v="BF VIANDES FONTAINE           "/>
    <x v="0"/>
    <n v="127.215"/>
    <n v="2"/>
    <n v="0.21598475022999999"/>
    <n v="38600"/>
    <x v="24"/>
  </r>
  <r>
    <s v="MA   "/>
    <s v="BF VIANDES FONTAINE           "/>
    <x v="0"/>
    <n v="135.1557143"/>
    <n v="11"/>
    <n v="0.26370773394000002"/>
    <n v="38600"/>
    <x v="24"/>
  </r>
  <r>
    <s v="TI   "/>
    <s v="SCHEUCHER-ITALIA SRL BOLOGNA  "/>
    <x v="0"/>
    <n v="1081.1077777999999"/>
    <n v="9"/>
    <n v="0.24663519004000001"/>
    <n v="40054"/>
    <x v="25"/>
  </r>
  <r>
    <s v="M42"/>
    <s v="G CASINO CG830 MONTHIEU EDI   "/>
    <x v="0"/>
    <n v="19.940000000000001"/>
    <n v="1"/>
    <n v="1.60050150451"/>
    <n v="42000"/>
    <x v="26"/>
  </r>
  <r>
    <s v="RTD  "/>
    <s v="CS876 SALLELES D AUDE EDI     "/>
    <x v="0"/>
    <n v="13.09"/>
    <n v="1"/>
    <n v="0.16997708174000001"/>
    <n v="42008"/>
    <x v="26"/>
  </r>
  <r>
    <s v="RTD  "/>
    <s v="CASINO CS219 GRABELS EDI      "/>
    <x v="0"/>
    <n v="13.9657143"/>
    <n v="7"/>
    <n v="0.16999795416999999"/>
    <n v="42008"/>
    <x v="26"/>
  </r>
  <r>
    <s v="RTD  "/>
    <s v="CASINO CS588 FLEURANCE EDI    "/>
    <x v="0"/>
    <n v="14.55"/>
    <n v="1"/>
    <n v="0.17003436425999999"/>
    <n v="42008"/>
    <x v="26"/>
  </r>
  <r>
    <s v="M42"/>
    <s v="G CASINO CG334 ANDRE CUBZ EDI "/>
    <x v="0"/>
    <n v="15.445"/>
    <n v="4"/>
    <n v="1.52132297399"/>
    <n v="42008"/>
    <x v="26"/>
  </r>
  <r>
    <s v="G    "/>
    <s v="G CASINO CG334 ANDRE CUBZ EDI "/>
    <x v="0"/>
    <n v="16.46"/>
    <n v="1"/>
    <n v="2.5315917375499999"/>
    <n v="42008"/>
    <x v="26"/>
  </r>
  <r>
    <s v="RTD  "/>
    <s v="G CASINO CG827 TARBES EDI     "/>
    <x v="0"/>
    <n v="19.703333300000001"/>
    <n v="12"/>
    <n v="0.17000084588"/>
    <n v="42008"/>
    <x v="26"/>
  </r>
  <r>
    <s v="M42  "/>
    <s v="CASINO CG206 CHASSE/RHON EDI  "/>
    <x v="0"/>
    <n v="20.498181800000001"/>
    <n v="13"/>
    <n v="1.16146443144"/>
    <n v="42008"/>
    <x v="26"/>
  </r>
  <r>
    <s v="M42"/>
    <s v="G CASINO CG311 LA RICAMARI EDI"/>
    <x v="0"/>
    <n v="23.335833300000001"/>
    <n v="9"/>
    <n v="0.90603149663000004"/>
    <n v="42008"/>
    <x v="26"/>
  </r>
  <r>
    <s v="RA   "/>
    <s v="CASINO CG738 MPT ODYSEUM EDI  "/>
    <x v="0"/>
    <n v="26.152916699999999"/>
    <n v="23"/>
    <n v="0.99071167969999996"/>
    <n v="42008"/>
    <x v="26"/>
  </r>
  <r>
    <s v="M42"/>
    <s v="CS132 VILLENEUVE/YONNE edi    "/>
    <x v="0"/>
    <n v="33.377000000000002"/>
    <n v="7"/>
    <n v="0.78187674146999997"/>
    <n v="42008"/>
    <x v="26"/>
  </r>
  <r>
    <s v="G    "/>
    <s v="CS876 SALLELES D AUDE EDI     "/>
    <x v="0"/>
    <n v="33.380000000000003"/>
    <n v="1"/>
    <n v="0.90293588975000005"/>
    <n v="42008"/>
    <x v="26"/>
  </r>
  <r>
    <s v="M42"/>
    <s v="G CASINO CG880 VILLENAVE EDI  "/>
    <x v="0"/>
    <n v="36.656666700000002"/>
    <n v="8"/>
    <n v="0.79213194507999996"/>
    <n v="42008"/>
    <x v="26"/>
  </r>
  <r>
    <s v="RA   "/>
    <s v="CASINO CG222 NIME COSTIERE EDI"/>
    <x v="0"/>
    <n v="81.538749999999993"/>
    <n v="24"/>
    <n v="0.34666441824999999"/>
    <n v="42008"/>
    <x v="26"/>
  </r>
  <r>
    <s v="RA   "/>
    <s v="CS768 CASINO ST DIONIZY EDI   "/>
    <x v="0"/>
    <n v="127.2445455"/>
    <n v="22"/>
    <n v="0.24085511792"/>
    <n v="42008"/>
    <x v="26"/>
  </r>
  <r>
    <s v="M    "/>
    <s v="G CASINO CG880 VILLENAVE LIV D"/>
    <x v="0"/>
    <n v="252.03333330000001"/>
    <n v="2"/>
    <n v="0.15087422299"/>
    <n v="42008"/>
    <x v="26"/>
  </r>
  <r>
    <s v="M42"/>
    <s v="CASINO CS530 BRIOUDE EDI      "/>
    <x v="0"/>
    <n v="18.329999999999998"/>
    <n v="1"/>
    <n v="0.42291325695999998"/>
    <n v="43100"/>
    <x v="27"/>
  </r>
  <r>
    <s v="GS   "/>
    <s v="CASINO CS530 BRIOUDE EDI      "/>
    <x v="0"/>
    <n v="18.507272700000001"/>
    <n v="9"/>
    <n v="0.16848413400000001"/>
    <n v="43100"/>
    <x v="27"/>
  </r>
  <r>
    <s v="MDU  "/>
    <s v="SAFIR BAZAR 45 PITHIVIERS     "/>
    <x v="0"/>
    <n v="152.30000000000001"/>
    <n v="1"/>
    <n v="0.13554169401999999"/>
    <n v="45300"/>
    <x v="28"/>
  </r>
  <r>
    <s v="MO   "/>
    <s v="SAFIR BAZAR 45 PITHIVIERS     "/>
    <x v="0"/>
    <n v="412.16142860000002"/>
    <n v="9"/>
    <n v="0.32462644664000001"/>
    <n v="45300"/>
    <x v="28"/>
  </r>
  <r>
    <s v="MD   "/>
    <s v="ERIC PAYROT SAINT-CERE        "/>
    <x v="0"/>
    <n v="247.16666670000001"/>
    <n v="3"/>
    <n v="0.18443155764999999"/>
    <n v="46400"/>
    <x v="29"/>
  </r>
  <r>
    <s v="RTD  "/>
    <s v="CASINO CS594 VALENCE AGEN EDI "/>
    <x v="0"/>
    <n v="14.57"/>
    <n v="2"/>
    <n v="0.17000686341999999"/>
    <n v="47000"/>
    <x v="30"/>
  </r>
  <r>
    <s v="RTD  "/>
    <s v="CASINO CS842 AGEN EDI         "/>
    <x v="0"/>
    <n v="18.38"/>
    <n v="2"/>
    <n v="0.17002176279"/>
    <n v="47000"/>
    <x v="30"/>
  </r>
  <r>
    <s v="G    "/>
    <s v="CASINO CS591 FUMEL EDI        "/>
    <x v="0"/>
    <n v="18.96"/>
    <n v="1"/>
    <n v="0.33897679325000002"/>
    <n v="47000"/>
    <x v="30"/>
  </r>
  <r>
    <s v="RTD  "/>
    <s v="CASINO CS592 PASSAGE AGEN EDI "/>
    <x v="0"/>
    <n v="21.02375"/>
    <n v="7"/>
    <n v="0.1699982163"/>
    <n v="47000"/>
    <x v="30"/>
  </r>
  <r>
    <s v="TI   "/>
    <s v="ELLECARNI Y SRL               "/>
    <x v="0"/>
    <n v="575.44444439999995"/>
    <n v="9"/>
    <n v="0.27797644332999999"/>
    <n v="47035"/>
    <x v="30"/>
  </r>
  <r>
    <s v="RTD  "/>
    <s v="CASINO CS706 MONTFLANQUIN EDI "/>
    <x v="0"/>
    <n v="19.356666700000002"/>
    <n v="6"/>
    <n v="0.17000172206"/>
    <n v="47150"/>
    <x v="30"/>
  </r>
  <r>
    <s v="TI   "/>
    <s v="MARR RIMINI                   "/>
    <x v="0"/>
    <n v="1066.8111111000001"/>
    <n v="9"/>
    <n v="0.24666055638000001"/>
    <n v="47900"/>
    <x v="30"/>
  </r>
  <r>
    <s v="MJ   "/>
    <s v="JA GASTRONOMIE ST BARTHELEMY D"/>
    <x v="0"/>
    <n v="172.48374999999999"/>
    <n v="39"/>
    <n v="0.23508997224"/>
    <n v="49124"/>
    <x v="31"/>
  </r>
  <r>
    <s v="TI   "/>
    <s v="SALUMIFICIO GERINI PONTASSIEVE"/>
    <x v="0"/>
    <n v="731.7"/>
    <n v="2"/>
    <n v="0.24724340577000001"/>
    <n v="50065"/>
    <x v="32"/>
  </r>
  <r>
    <s v="TI   "/>
    <s v="VAL MAUL CAVRIGLIA ITALIE     "/>
    <x v="0"/>
    <n v="528.6"/>
    <n v="1"/>
    <n v="0.28461975027999997"/>
    <n v="52022"/>
    <x v="33"/>
  </r>
  <r>
    <s v="G    "/>
    <s v="PRO A PRO SODEGER CHATEAU GONT"/>
    <x v="0"/>
    <n v="915.02"/>
    <n v="1"/>
    <n v="0.38967454263000001"/>
    <n v="53204"/>
    <x v="34"/>
  </r>
  <r>
    <s v="M    "/>
    <s v="VALLANCE NANCY 54             "/>
    <x v="0"/>
    <n v="164.2306897"/>
    <n v="10"/>
    <n v="0.24407551194999999"/>
    <n v="54000"/>
    <x v="35"/>
  </r>
  <r>
    <s v="M    "/>
    <s v="VALLANCE ST MAX 54            "/>
    <x v="0"/>
    <n v="182.72148150000001"/>
    <n v="9"/>
    <n v="0.23368433641"/>
    <n v="54000"/>
    <x v="35"/>
  </r>
  <r>
    <s v="TI   "/>
    <s v="CARNI SPECIALI CUOR GHIVIZZANO"/>
    <x v="0"/>
    <n v="217.9833333"/>
    <n v="6"/>
    <n v="0.68473124857000001"/>
    <n v="55025"/>
    <x v="36"/>
  </r>
  <r>
    <s v="TI   "/>
    <s v="L ANTICA NORCINERIA Y GHIVIZZA"/>
    <x v="0"/>
    <n v="713.01111109999999"/>
    <n v="9"/>
    <n v="0.27648065324999999"/>
    <n v="55053"/>
    <x v="36"/>
  </r>
  <r>
    <s v="TI   "/>
    <s v="VALDERA CARNI SRL             "/>
    <x v="0"/>
    <n v="569.68888890000005"/>
    <n v="9"/>
    <n v="0.27864682478000002"/>
    <n v="56035"/>
    <x v="37"/>
  </r>
  <r>
    <s v="TI   "/>
    <s v="GERIBA SRL MONTEMURLO         "/>
    <x v="0"/>
    <n v="364.2622222"/>
    <n v="9"/>
    <n v="0.40867079881000001"/>
    <n v="59013"/>
    <x v="38"/>
  </r>
  <r>
    <s v="TI   "/>
    <s v="GERIBA MONTEMURLO             "/>
    <x v="0"/>
    <n v="1154.9733332999999"/>
    <n v="9"/>
    <n v="0.25160051794999999"/>
    <n v="59013"/>
    <x v="38"/>
  </r>
  <r>
    <s v="MU   "/>
    <s v="LESAGE ET FILS 59 CHEMY       "/>
    <x v="0"/>
    <n v="193.93962959999999"/>
    <n v="10"/>
    <n v="0.28954733909000002"/>
    <n v="59147"/>
    <x v="38"/>
  </r>
  <r>
    <s v="MU   "/>
    <s v="CATRICE BENOIT BOUSBECOUE 59  "/>
    <x v="0"/>
    <n v="35.062727299999999"/>
    <n v="4"/>
    <n v="1.80743602375"/>
    <n v="59166"/>
    <x v="38"/>
  </r>
  <r>
    <s v="G    "/>
    <s v="CODIFRAIS LONGUEUIL STE MARIE "/>
    <x v="0"/>
    <n v="170.94"/>
    <n v="1"/>
    <n v="0.57661752661999999"/>
    <n v="60126"/>
    <x v="39"/>
  </r>
  <r>
    <s v="MM   "/>
    <s v="BIE DRIFEL CLERMONT FERRAND   "/>
    <x v="0"/>
    <n v="27.894666699999998"/>
    <n v="10"/>
    <n v="0.70687347640999998"/>
    <n v="63000"/>
    <x v="40"/>
  </r>
  <r>
    <s v="G    "/>
    <s v="CASINO CS737 BEAUMONT LOM EDI "/>
    <x v="0"/>
    <n v="28.86"/>
    <n v="2"/>
    <n v="0.33906791406999998"/>
    <n v="63000"/>
    <x v="40"/>
  </r>
  <r>
    <s v="MM   "/>
    <s v="VIDAL GILBERT ISSOIRE 63      "/>
    <x v="0"/>
    <n v="99.221818200000001"/>
    <n v="14"/>
    <n v="0.42840650882999998"/>
    <n v="63000"/>
    <x v="40"/>
  </r>
  <r>
    <s v="MM   "/>
    <s v="MR THIERRY CASTAUD CEBAZAT 63 "/>
    <x v="0"/>
    <n v="106.23520000000001"/>
    <n v="17"/>
    <n v="0.38410357396"/>
    <n v="63000"/>
    <x v="40"/>
  </r>
  <r>
    <s v="RC   "/>
    <s v="VIDAL GILBERT ISSOIRE 63      "/>
    <x v="0"/>
    <n v="118.24"/>
    <n v="1"/>
    <n v="0.53535182679000004"/>
    <n v="63000"/>
    <x v="40"/>
  </r>
  <r>
    <s v="RC   "/>
    <s v="MR THIERRY CASTAUD CEBAZAT 63 "/>
    <x v="0"/>
    <n v="218.47"/>
    <n v="1"/>
    <n v="0.28974229871000001"/>
    <n v="63000"/>
    <x v="40"/>
  </r>
  <r>
    <s v="MM   "/>
    <s v="SALAISONS DU SANCY BESSE 63   "/>
    <x v="0"/>
    <n v="316.72000000000003"/>
    <n v="1"/>
    <n v="0.24033373326999999"/>
    <n v="63000"/>
    <x v="40"/>
  </r>
  <r>
    <s v="RC   "/>
    <s v="BIE VENDEENNE DUGAST 63 CHAMAL"/>
    <x v="0"/>
    <n v="77.44"/>
    <n v="1"/>
    <n v="0.81740702479000005"/>
    <n v="63400"/>
    <x v="40"/>
  </r>
  <r>
    <s v="MM   "/>
    <s v="BIE VENDEENNE DUGAST 63 CHAMAL"/>
    <x v="0"/>
    <n v="81.228800000000007"/>
    <n v="17"/>
    <n v="0.24936968169000001"/>
    <n v="63400"/>
    <x v="40"/>
  </r>
  <r>
    <s v="RTD  "/>
    <s v="GEANT CASINO CG853 LONS EDI   "/>
    <x v="0"/>
    <n v="16.78"/>
    <n v="7"/>
    <n v="0.16999829728999999"/>
    <n v="64000"/>
    <x v="41"/>
  </r>
  <r>
    <s v="G    "/>
    <s v="CASINO CS904 PAU CH GAULLE EDI"/>
    <x v="0"/>
    <n v="19.059999999999999"/>
    <n v="1"/>
    <n v="0.33882476389999999"/>
    <n v="64000"/>
    <x v="41"/>
  </r>
  <r>
    <s v="RTD  "/>
    <s v="CASINO CS904 PAU CH GAULLE EDI"/>
    <x v="0"/>
    <n v="23.754999999999999"/>
    <n v="4"/>
    <n v="0.17000631446"/>
    <n v="64000"/>
    <x v="41"/>
  </r>
  <r>
    <s v="RTD  "/>
    <s v="GEANT CASINO CG890 ANGLET EDI "/>
    <x v="0"/>
    <n v="15.165714299999999"/>
    <n v="7"/>
    <n v="0.16999811605000001"/>
    <n v="64600"/>
    <x v="41"/>
  </r>
  <r>
    <s v="TT   "/>
    <s v="BIE DES HALLES TARBES OUBAALI "/>
    <x v="0"/>
    <n v="424.75"/>
    <n v="8"/>
    <n v="0.20220718068999999"/>
    <n v="65000"/>
    <x v="42"/>
  </r>
  <r>
    <s v="RTD  "/>
    <s v="CASINO CS368 BOLQUERE EDI     "/>
    <x v="0"/>
    <n v="47.057499999999997"/>
    <n v="4"/>
    <n v="0.17000478138"/>
    <n v="66210"/>
    <x v="43"/>
  </r>
  <r>
    <s v="M    "/>
    <s v="TRADEO BURNHAUPT 68           "/>
    <x v="0"/>
    <n v="526.47611110000003"/>
    <n v="5"/>
    <n v="9.2209312020000003E-2"/>
    <n v="68000"/>
    <x v="44"/>
  </r>
  <r>
    <s v="M42"/>
    <s v="CASINO CG879 VILLEUF/SAONE EDI"/>
    <x v="0"/>
    <n v="22.831428599999999"/>
    <n v="14"/>
    <n v="1.0969361364900001"/>
    <n v="69000"/>
    <x v="45"/>
  </r>
  <r>
    <s v="TA   "/>
    <s v="BIE CHARC LA MUROISE ST BONNET"/>
    <x v="0"/>
    <n v="36.159999999999997"/>
    <n v="2"/>
    <n v="0.29051438053"/>
    <n v="69000"/>
    <x v="45"/>
  </r>
  <r>
    <s v="MA   "/>
    <s v="BIE CHARC LA MUROISE ST BONNET"/>
    <x v="0"/>
    <n v="43.361538500000002"/>
    <n v="5"/>
    <n v="0.34964874933000001"/>
    <n v="69000"/>
    <x v="45"/>
  </r>
  <r>
    <s v="TA   "/>
    <s v="DUCCI LYON                    "/>
    <x v="0"/>
    <n v="257.15466670000001"/>
    <n v="12"/>
    <n v="0.19551605778"/>
    <n v="69002"/>
    <x v="45"/>
  </r>
  <r>
    <s v="MA   "/>
    <s v="DUCCI LYON                    "/>
    <x v="0"/>
    <n v="261.30428569999998"/>
    <n v="3"/>
    <n v="0.18042402671999999"/>
    <n v="69002"/>
    <x v="45"/>
  </r>
  <r>
    <s v="MA   "/>
    <s v="PHILAUD LYON                  "/>
    <x v="0"/>
    <n v="45.466666699999998"/>
    <n v="6"/>
    <n v="0.36056744868000001"/>
    <n v="69006"/>
    <x v="45"/>
  </r>
  <r>
    <s v="MA   "/>
    <s v="REST LES 2 DAUPHINS VILLEURBAN"/>
    <x v="0"/>
    <n v="117.19"/>
    <n v="1"/>
    <n v="0.22654663367"/>
    <n v="69100"/>
    <x v="45"/>
  </r>
  <r>
    <s v="MA   "/>
    <s v="SOPACEL ST ROMAIN DE POPEY    "/>
    <x v="0"/>
    <n v="268.8"/>
    <n v="1"/>
    <n v="0.21901971726"/>
    <n v="69490"/>
    <x v="45"/>
  </r>
  <r>
    <s v="MD   "/>
    <s v="SOPACEL ST ROMAIN DE POPEY    "/>
    <x v="0"/>
    <n v="405.65"/>
    <n v="2"/>
    <n v="0.22401207938000001"/>
    <n v="69490"/>
    <x v="45"/>
  </r>
  <r>
    <s v="MD   "/>
    <s v="SODELY BRIGNAIS               "/>
    <x v="0"/>
    <n v="394.12"/>
    <n v="30"/>
    <n v="0.2242395717"/>
    <n v="69530"/>
    <x v="45"/>
  </r>
  <r>
    <s v="MA   "/>
    <s v="SODELY BRIGNAIS               "/>
    <x v="0"/>
    <n v="470.21"/>
    <n v="1"/>
    <n v="0.21652559495000001"/>
    <n v="69530"/>
    <x v="45"/>
  </r>
  <r>
    <s v="TA   "/>
    <s v="BIE TRAITEUR MAISON ROBERT    "/>
    <x v="0"/>
    <n v="37.006666699999997"/>
    <n v="2"/>
    <n v="0.37849036209999998"/>
    <n v="69890"/>
    <x v="45"/>
  </r>
  <r>
    <s v="MA   "/>
    <s v="COBOLY                        "/>
    <x v="0"/>
    <n v="20.1166667"/>
    <n v="4"/>
    <n v="0.74829605080999995"/>
    <n v="69960"/>
    <x v="45"/>
  </r>
  <r>
    <s v="TA   "/>
    <s v="COBOLY                        "/>
    <x v="0"/>
    <n v="28.702000000000002"/>
    <n v="12"/>
    <n v="0.56494320952999999"/>
    <n v="69960"/>
    <x v="45"/>
  </r>
  <r>
    <s v="MD   "/>
    <s v="BIGARD LYON CORBAS            "/>
    <x v="0"/>
    <n v="127.83666669999999"/>
    <n v="9"/>
    <n v="0.24072470947999999"/>
    <n v="69960"/>
    <x v="45"/>
  </r>
  <r>
    <s v="M42"/>
    <s v="CASINO CG831 MONTCEAU EDI     "/>
    <x v="0"/>
    <n v="19.3704"/>
    <n v="17"/>
    <n v="1.2149238012600001"/>
    <n v="71000"/>
    <x v="46"/>
  </r>
  <r>
    <s v="MM   "/>
    <s v="SOUFFERANT VIANDES MARCIGNY 71"/>
    <x v="0"/>
    <n v="136.96250000000001"/>
    <n v="3"/>
    <n v="0.37653919869000002"/>
    <n v="71000"/>
    <x v="46"/>
  </r>
  <r>
    <s v="MD   "/>
    <s v="SOUFFERANT VIANDES MARCIGNY 71"/>
    <x v="0"/>
    <n v="192.8"/>
    <n v="4"/>
    <n v="0.34523729253000002"/>
    <n v="71000"/>
    <x v="46"/>
  </r>
  <r>
    <s v="MA   "/>
    <s v="SAVOIE GEL CHAMBERY           "/>
    <x v="0"/>
    <n v="201.15937500000001"/>
    <n v="7"/>
    <n v="9.2861692379999999E-2"/>
    <n v="73000"/>
    <x v="47"/>
  </r>
  <r>
    <s v="TA   "/>
    <s v="BOURAOUI ABDELHAK             "/>
    <x v="0"/>
    <n v="207.28555560000001"/>
    <n v="19"/>
    <n v="0.18085446627999999"/>
    <n v="73000"/>
    <x v="47"/>
  </r>
  <r>
    <s v="TA   "/>
    <s v="SAVOIE GEL CHAMBERY           "/>
    <x v="0"/>
    <n v="239.39388890000001"/>
    <n v="14"/>
    <n v="0.17800695739"/>
    <n v="73000"/>
    <x v="47"/>
  </r>
  <r>
    <s v="MA   "/>
    <s v="BOURAOUI ABDELHAK             "/>
    <x v="0"/>
    <n v="245.00388889999999"/>
    <n v="7"/>
    <n v="0.18865188081000001"/>
    <n v="73000"/>
    <x v="47"/>
  </r>
  <r>
    <s v="G    "/>
    <s v="BIE DU PRAZ COURCHEVEL        "/>
    <x v="0"/>
    <n v="51.42"/>
    <n v="1"/>
    <n v="1.0184753014400001"/>
    <n v="73120"/>
    <x v="47"/>
  </r>
  <r>
    <s v="G    "/>
    <s v="REST VALTHOGALOU ST MARTIN DE "/>
    <x v="0"/>
    <n v="73.239999999999995"/>
    <n v="1"/>
    <n v="0.54423812125000004"/>
    <n v="73440"/>
    <x v="47"/>
  </r>
  <r>
    <s v="TA   "/>
    <s v="LA BOUCHERIE LIMOUSINE        "/>
    <x v="0"/>
    <n v="41.123181799999998"/>
    <n v="13"/>
    <n v="0.37796642017999998"/>
    <n v="74000"/>
    <x v="48"/>
  </r>
  <r>
    <s v="GS   "/>
    <s v="CASINO CS922 PARIS FLANDRE EDI"/>
    <x v="0"/>
    <n v="19.758749999999999"/>
    <n v="14"/>
    <n v="0.30885050927000002"/>
    <n v="75000"/>
    <x v="49"/>
  </r>
  <r>
    <s v="GS   "/>
    <s v="CASINO CS370 PARIS/MONTP EDI  "/>
    <x v="0"/>
    <n v="19.891666699999998"/>
    <n v="4"/>
    <n v="0.818098031"/>
    <n v="75000"/>
    <x v="49"/>
  </r>
  <r>
    <s v="M42"/>
    <s v="CASINO CS370 PARIS/MONTP EDI  "/>
    <x v="0"/>
    <n v="20.34"/>
    <n v="3"/>
    <n v="1.3517600786599999"/>
    <n v="75000"/>
    <x v="49"/>
  </r>
  <r>
    <s v="M42"/>
    <s v="CASINO CS922 PARIS FLANDRE EDI"/>
    <x v="0"/>
    <n v="26.832000000000001"/>
    <n v="7"/>
    <n v="0.92123956470000001"/>
    <n v="75000"/>
    <x v="49"/>
  </r>
  <r>
    <s v="M42"/>
    <s v="CS272 PARIS ST DIDIER edi     "/>
    <x v="0"/>
    <n v="36.876666700000001"/>
    <n v="18"/>
    <n v="0.75910090692999999"/>
    <n v="75000"/>
    <x v="49"/>
  </r>
  <r>
    <s v="MDU  "/>
    <s v="CHAUVEL PARIS 17EME           "/>
    <x v="0"/>
    <n v="42.385624999999997"/>
    <n v="15"/>
    <n v="0.11594241365000001"/>
    <n v="75000"/>
    <x v="49"/>
  </r>
  <r>
    <s v="MDU  "/>
    <s v="GRANDE BOUCHERIE PONCELET PARI"/>
    <x v="0"/>
    <n v="45.9755556"/>
    <n v="9"/>
    <n v="9.8952744610000004E-2"/>
    <n v="75000"/>
    <x v="49"/>
  </r>
  <r>
    <s v="MDU  "/>
    <s v="MAMIE BURGER PARIS ST FIACRE  "/>
    <x v="0"/>
    <n v="73.483636399999995"/>
    <n v="17"/>
    <n v="9.7265192E-2"/>
    <n v="75000"/>
    <x v="49"/>
  </r>
  <r>
    <s v="MDU  "/>
    <s v="MAMIE BURGER PARIS OPERA      "/>
    <x v="0"/>
    <n v="87.320363599999993"/>
    <n v="17"/>
    <n v="9.1965427200000005E-2"/>
    <n v="75000"/>
    <x v="49"/>
  </r>
  <r>
    <s v="MDU  "/>
    <s v="GBND BIE NOUVELLE PARIS 18    "/>
    <x v="0"/>
    <n v="158.8077778"/>
    <n v="9"/>
    <n v="8.2884969249999996E-2"/>
    <n v="75000"/>
    <x v="49"/>
  </r>
  <r>
    <s v="MDU  "/>
    <s v="TRIBOLET ALAIN ANDRE PARIS 75 "/>
    <x v="0"/>
    <n v="261.3690909"/>
    <n v="10"/>
    <n v="8.0315889060000006E-2"/>
    <n v="75000"/>
    <x v="49"/>
  </r>
  <r>
    <s v="MDU  "/>
    <s v="ROB THE GOURMETS BRUXELLES    "/>
    <x v="0"/>
    <n v="276.89"/>
    <n v="5"/>
    <n v="8.5248515790000007E-2"/>
    <n v="75000"/>
    <x v="49"/>
  </r>
  <r>
    <s v="MDU  "/>
    <s v="BIE DE LA MONTAGNE PARIS 5    "/>
    <x v="0"/>
    <n v="97.4"/>
    <n v="1"/>
    <n v="8.7019164960000006E-2"/>
    <n v="75005"/>
    <x v="49"/>
  </r>
  <r>
    <s v="MDU  "/>
    <s v="BIE PARISIENNE DEBRAY PARIS 5E"/>
    <x v="0"/>
    <n v="183.5"/>
    <n v="1"/>
    <n v="8.2010899179999999E-2"/>
    <n v="75005"/>
    <x v="49"/>
  </r>
  <r>
    <s v="G    "/>
    <s v="AU PETIT SUISSE PARIS BC ODEON"/>
    <x v="0"/>
    <n v="32.21"/>
    <n v="1"/>
    <n v="1.7510090034200001"/>
    <n v="75006"/>
    <x v="49"/>
  </r>
  <r>
    <s v="G    "/>
    <s v="BRASSERIE AUX MINISTERES PARIS"/>
    <x v="0"/>
    <n v="48.56"/>
    <n v="1"/>
    <n v="1.2312602965399999"/>
    <n v="75007"/>
    <x v="49"/>
  </r>
  <r>
    <s v="MDU  "/>
    <s v="BIE MADELEINE MONTEIRO PARIS  "/>
    <x v="0"/>
    <n v="44.69"/>
    <n v="4"/>
    <n v="9.9617736999999998E-2"/>
    <n v="75008"/>
    <x v="49"/>
  </r>
  <r>
    <s v="MDU  "/>
    <s v="BIE DES ECOLES 75011 PARIS    "/>
    <x v="0"/>
    <n v="117.8"/>
    <n v="8"/>
    <n v="8.5164119979999994E-2"/>
    <n v="75011"/>
    <x v="49"/>
  </r>
  <r>
    <s v="MDU  "/>
    <s v="BIE DAUMESNIL DEBRAY PARIS 12E"/>
    <x v="0"/>
    <n v="192.5"/>
    <n v="1"/>
    <n v="8.1747186149999998E-2"/>
    <n v="75012"/>
    <x v="49"/>
  </r>
  <r>
    <s v="MDU  "/>
    <s v="BIE DU CARREFOUR GLACIERE PARI"/>
    <x v="0"/>
    <n v="82.756799999999998"/>
    <n v="9"/>
    <n v="9.6499139649999996E-2"/>
    <n v="75013"/>
    <x v="49"/>
  </r>
  <r>
    <s v="MDU  "/>
    <s v="BBR BIE LA SABLIERE PARIS14 75"/>
    <x v="0"/>
    <n v="640.38466670000003"/>
    <n v="15"/>
    <n v="7.7960468899999996E-2"/>
    <n v="75014"/>
    <x v="49"/>
  </r>
  <r>
    <s v="G    "/>
    <s v="REST O FIL ROUGE PARIS        "/>
    <x v="0"/>
    <n v="18.93"/>
    <n v="1"/>
    <n v="2.9793977812999999"/>
    <n v="75015"/>
    <x v="49"/>
  </r>
  <r>
    <s v="MDU  "/>
    <s v="BIE CAMBRONNE DEBRAY PARIS 15E"/>
    <x v="0"/>
    <n v="94.8"/>
    <n v="1"/>
    <n v="8.7324191280000005E-2"/>
    <n v="75015"/>
    <x v="49"/>
  </r>
  <r>
    <s v="MDU  "/>
    <s v="BIE NOUVELLE CONVENTION PARIS "/>
    <x v="0"/>
    <n v="95.4936364"/>
    <n v="8"/>
    <n v="9.8145045360000002E-2"/>
    <n v="75015"/>
    <x v="49"/>
  </r>
  <r>
    <s v="MDU  "/>
    <s v="BIE FALGUIERE PARIS           "/>
    <x v="0"/>
    <n v="249.8"/>
    <n v="1"/>
    <n v="8.0499065920000001E-2"/>
    <n v="75015"/>
    <x v="49"/>
  </r>
  <r>
    <s v="MDU  "/>
    <s v="AU BOEUF NIVERNAIS 75 PARIS   "/>
    <x v="0"/>
    <n v="92.253749999999997"/>
    <n v="8"/>
    <n v="8.7604388259999999E-2"/>
    <n v="75016"/>
    <x v="49"/>
  </r>
  <r>
    <s v="MDU  "/>
    <s v="BIE DU PARC MONCEAU PARIS 17  "/>
    <x v="0"/>
    <n v="57.018421099999998"/>
    <n v="7"/>
    <n v="0.11478192643"/>
    <n v="75017"/>
    <x v="49"/>
  </r>
  <r>
    <s v="MDU  "/>
    <s v="GRANDE BIE PLAINE MONCEAU PARI"/>
    <x v="0"/>
    <n v="66.265000000000001"/>
    <n v="17"/>
    <n v="9.8440325179999996E-2"/>
    <n v="75017"/>
    <x v="49"/>
  </r>
  <r>
    <s v="MGL  "/>
    <s v="BIE DES GOURMETS 75017 PARIS  "/>
    <x v="0"/>
    <n v="125.80214290000001"/>
    <n v="20"/>
    <n v="0.11593446058"/>
    <n v="75017"/>
    <x v="49"/>
  </r>
  <r>
    <s v="MDU  "/>
    <s v="BIE GINDRE DENIS PARIS        "/>
    <x v="0"/>
    <n v="27.12"/>
    <n v="1"/>
    <n v="0.73746312684000004"/>
    <n v="75018"/>
    <x v="49"/>
  </r>
  <r>
    <s v="MDU  "/>
    <s v="BIE GINDRE ORDENER DENIS PARIS"/>
    <x v="0"/>
    <n v="32.4332432"/>
    <n v="12"/>
    <n v="0.1058065215"/>
    <n v="75018"/>
    <x v="49"/>
  </r>
  <r>
    <s v="MDU  "/>
    <s v="EMSALEM VIANDES PARIS         "/>
    <x v="0"/>
    <n v="932.72500000000002"/>
    <n v="8"/>
    <n v="7.7451285209999998E-2"/>
    <n v="75019"/>
    <x v="49"/>
  </r>
  <r>
    <s v="TA   "/>
    <s v="DAVIGEL LYON                  "/>
    <x v="0"/>
    <n v="18.9733333"/>
    <n v="2"/>
    <n v="0.73822909345999999"/>
    <n v="76000"/>
    <x v="50"/>
  </r>
  <r>
    <s v="M42"/>
    <s v="CASINO CG836 TROCY EDI        "/>
    <x v="0"/>
    <n v="18.9223529"/>
    <n v="11"/>
    <n v="1.1709462820200001"/>
    <n v="77000"/>
    <x v="51"/>
  </r>
  <r>
    <s v="M42"/>
    <s v="CASINO CS119 NEMOURS EDI      "/>
    <x v="0"/>
    <n v="19.941428599999998"/>
    <n v="5"/>
    <n v="1.10392578265"/>
    <n v="77000"/>
    <x v="51"/>
  </r>
  <r>
    <s v="MDU  "/>
    <s v="BIE BRETTE BENOIT             "/>
    <x v="0"/>
    <n v="52.952631599999997"/>
    <n v="7"/>
    <n v="0.11052778054"/>
    <n v="77130"/>
    <x v="51"/>
  </r>
  <r>
    <s v="MGL  "/>
    <s v="BIE VERON JEAN-PAUL LE PIN    "/>
    <x v="0"/>
    <n v="233.97575760000001"/>
    <n v="12"/>
    <n v="0.27515243744000001"/>
    <n v="77181"/>
    <x v="51"/>
  </r>
  <r>
    <s v="MDU  "/>
    <s v="MIRABELLA CHELLES BIE GAMBETTA"/>
    <x v="0"/>
    <n v="80.305714300000005"/>
    <n v="7"/>
    <n v="8.9280250470000003E-2"/>
    <n v="77500"/>
    <x v="51"/>
  </r>
  <r>
    <s v="MDU  "/>
    <s v="AU BON BILLOT PAMFOU          "/>
    <x v="0"/>
    <n v="41.911250000000003"/>
    <n v="8"/>
    <n v="0.10113632974"/>
    <n v="77830"/>
    <x v="51"/>
  </r>
  <r>
    <s v="MDU  "/>
    <s v="LESTAS PASCAL VIROFLAY 78     "/>
    <x v="0"/>
    <n v="78.277500000000003"/>
    <n v="8"/>
    <n v="8.9619196659999997E-2"/>
    <n v="78000"/>
    <x v="52"/>
  </r>
  <r>
    <s v="MDU  "/>
    <s v="MAISON GIAMMATEI 78 AUFFARGIS "/>
    <x v="0"/>
    <n v="94.226666699999996"/>
    <n v="9"/>
    <n v="8.7374023240000001E-2"/>
    <n v="78000"/>
    <x v="52"/>
  </r>
  <r>
    <s v="MDU  "/>
    <s v="BIE BOULAY VERSAILLES         "/>
    <x v="0"/>
    <n v="139.18777779999999"/>
    <n v="9"/>
    <n v="8.3807113759999996E-2"/>
    <n v="78000"/>
    <x v="52"/>
  </r>
  <r>
    <s v="MDU  "/>
    <s v="BOUCHERIE ANDRE VERSAILLES    "/>
    <x v="0"/>
    <n v="168.57285709999999"/>
    <n v="7"/>
    <n v="8.2510317710000003E-2"/>
    <n v="78000"/>
    <x v="52"/>
  </r>
  <r>
    <s v="MDU  "/>
    <s v="BIES NIVERNAISES ST HONORE PAR"/>
    <x v="0"/>
    <n v="139.35"/>
    <n v="8"/>
    <n v="8.3797093650000001E-2"/>
    <n v="78008"/>
    <x v="52"/>
  </r>
  <r>
    <s v="MD   "/>
    <s v="SODEXO ANOV FRANCE BRIVE      "/>
    <x v="0"/>
    <n v="8.7633332999999993"/>
    <n v="3"/>
    <n v="0.52765310003999999"/>
    <n v="78043"/>
    <x v="52"/>
  </r>
  <r>
    <s v="MDU  "/>
    <s v="BIE TRIPIED RAMBOUILLET       "/>
    <x v="0"/>
    <n v="71.5485714"/>
    <n v="6"/>
    <n v="0.11033596891"/>
    <n v="78120"/>
    <x v="52"/>
  </r>
  <r>
    <s v="MDU  "/>
    <s v="BIES NIVERNAISES RUNGIS THIAIS"/>
    <x v="0"/>
    <n v="124.1725"/>
    <n v="12"/>
    <n v="8.471257502E-2"/>
    <n v="78158"/>
    <x v="52"/>
  </r>
  <r>
    <s v="M42"/>
    <s v="CASINO CS727 HARDRICOURT EDI  "/>
    <x v="0"/>
    <n v="16.5457143"/>
    <n v="9"/>
    <n v="1.5115480918699999"/>
    <n v="78250"/>
    <x v="52"/>
  </r>
  <r>
    <s v="G    "/>
    <s v="SOREST ALR MONTESSON          "/>
    <x v="0"/>
    <n v="101.98"/>
    <n v="1"/>
    <n v="0.63426161992999996"/>
    <n v="78360"/>
    <x v="52"/>
  </r>
  <r>
    <s v="MDU  "/>
    <s v="EURL GAEL - BIE DE L EGLISE   "/>
    <x v="0"/>
    <n v="60.963000000000001"/>
    <n v="8"/>
    <n v="0.10911919252000001"/>
    <n v="78390"/>
    <x v="52"/>
  </r>
  <r>
    <s v="MDU  "/>
    <s v="DUMONT ANDRESY BIE DU CENTRE  "/>
    <x v="0"/>
    <n v="73.281111100000004"/>
    <n v="17"/>
    <n v="9.6928368180000002E-2"/>
    <n v="78570"/>
    <x v="52"/>
  </r>
  <r>
    <s v="MDU  "/>
    <s v="BIE BEAU MARCHE MAGNANVILLE   "/>
    <x v="0"/>
    <n v="343.23277780000001"/>
    <n v="17"/>
    <n v="8.0017880099999994E-2"/>
    <n v="78711"/>
    <x v="52"/>
  </r>
  <r>
    <s v="MGL  "/>
    <s v="BOUCHERIE DU CENTRE HOUILLE   "/>
    <x v="0"/>
    <n v="167.92372549999999"/>
    <n v="18"/>
    <n v="0.21828246017"/>
    <n v="78800"/>
    <x v="52"/>
  </r>
  <r>
    <s v="MDU  "/>
    <s v="STE COK VOISINS LE BRETONNEUX "/>
    <x v="0"/>
    <n v="92.936666700000004"/>
    <n v="9"/>
    <n v="8.7523562439999994E-2"/>
    <n v="78960"/>
    <x v="52"/>
  </r>
  <r>
    <s v="MU   "/>
    <s v="ETS LOURDEL VAUCHELLES 80     "/>
    <x v="0"/>
    <n v="123.9141379"/>
    <n v="10"/>
    <n v="0.63167404570999997"/>
    <n v="80000"/>
    <x v="53"/>
  </r>
  <r>
    <s v="MU   "/>
    <s v="WIOTTE RUE METZ AMIENS BEFFROI"/>
    <x v="0"/>
    <n v="171.7743333"/>
    <n v="11"/>
    <n v="0.26887777181"/>
    <n v="80000"/>
    <x v="53"/>
  </r>
  <r>
    <s v="MD   "/>
    <s v="ETS LOURDEL VAUCHELLES 80     "/>
    <x v="0"/>
    <n v="172.01"/>
    <n v="2"/>
    <n v="0.40429335504000002"/>
    <n v="80000"/>
    <x v="53"/>
  </r>
  <r>
    <s v="MU   "/>
    <s v="WIOTTE RUE AU LIN AMIENS      "/>
    <x v="0"/>
    <n v="253.62700000000001"/>
    <n v="11"/>
    <n v="0.31142951395000001"/>
    <n v="80000"/>
    <x v="53"/>
  </r>
  <r>
    <s v="MU   "/>
    <s v="WIOTTE RUE ST FUSCIEN AMIENS  "/>
    <x v="0"/>
    <n v="254.40888889999999"/>
    <n v="13"/>
    <n v="0.30350420146000001"/>
    <n v="80000"/>
    <x v="53"/>
  </r>
  <r>
    <s v="MD   "/>
    <s v="SAUVAGE VIANDES FEUQUIERES    "/>
    <x v="0"/>
    <n v="100.3"/>
    <n v="1"/>
    <n v="0.41725822532000001"/>
    <n v="80210"/>
    <x v="53"/>
  </r>
  <r>
    <s v="MD   "/>
    <s v="SAUVAGE VIANDES STEACK HACHE  "/>
    <x v="0"/>
    <n v="156.59"/>
    <n v="2"/>
    <n v="0.40606999170000002"/>
    <n v="80210"/>
    <x v="53"/>
  </r>
  <r>
    <s v="MD   "/>
    <s v="STE GUY LAGACHE FRIAUCOURT    "/>
    <x v="0"/>
    <n v="184.33333329999999"/>
    <n v="3"/>
    <n v="0.40307233272999998"/>
    <n v="80940"/>
    <x v="53"/>
  </r>
  <r>
    <s v="G    "/>
    <s v="CASINO CS397 ALBI CANTEPAU EDI"/>
    <x v="0"/>
    <n v="19.260000000000002"/>
    <n v="1"/>
    <n v="0.33904465213000001"/>
    <n v="81000"/>
    <x v="54"/>
  </r>
  <r>
    <s v="RTD  "/>
    <s v="CASINO CS397 ALBI CANTEPAU EDI"/>
    <x v="0"/>
    <n v="42.9"/>
    <n v="2"/>
    <n v="0.17"/>
    <n v="81000"/>
    <x v="54"/>
  </r>
  <r>
    <s v="RTD  "/>
    <s v="AU MARCHE D ORIENT            "/>
    <x v="0"/>
    <n v="65.465555600000002"/>
    <n v="9"/>
    <n v="0.16999949082999999"/>
    <n v="81000"/>
    <x v="54"/>
  </r>
  <r>
    <s v="RTD  "/>
    <s v="TARVI ALBI                    "/>
    <x v="0"/>
    <n v="184.86692310000001"/>
    <n v="13"/>
    <n v="0.17000045771"/>
    <n v="81000"/>
    <x v="54"/>
  </r>
  <r>
    <s v="RTD  "/>
    <s v="GEANT CASINO CG826 ALBI EDI   "/>
    <x v="0"/>
    <n v="185.50923080000001"/>
    <n v="13"/>
    <n v="0.1700002488"/>
    <n v="81000"/>
    <x v="54"/>
  </r>
  <r>
    <s v="RTD  "/>
    <s v="COBEVIAL ALBI                 "/>
    <x v="0"/>
    <n v="207.73"/>
    <n v="1"/>
    <n v="0.16999951861000001"/>
    <n v="81000"/>
    <x v="54"/>
  </r>
  <r>
    <s v="RTD  "/>
    <s v="ZOO DES 3 VALLEES MONTREDON LA"/>
    <x v="0"/>
    <n v="1260.7"/>
    <n v="1"/>
    <n v="0.17"/>
    <n v="81000"/>
    <x v="54"/>
  </r>
  <r>
    <s v="RTD  "/>
    <s v="BAZAR TINERHIR GRAULHET       "/>
    <x v="0"/>
    <n v="257.3"/>
    <n v="6"/>
    <n v="0.17"/>
    <n v="81300"/>
    <x v="54"/>
  </r>
  <r>
    <s v="RTD  "/>
    <s v="G CASINO CG857 MONTAUBAN EDI  "/>
    <x v="0"/>
    <n v="15.31625"/>
    <n v="8"/>
    <n v="0.17000734513999999"/>
    <n v="82000"/>
    <x v="55"/>
  </r>
  <r>
    <s v="M42"/>
    <s v="CASINO CG804 CHAUMONT EDI     "/>
    <x v="0"/>
    <n v="28.792758599999999"/>
    <n v="19"/>
    <n v="0.90016407381999997"/>
    <n v="82000"/>
    <x v="55"/>
  </r>
  <r>
    <s v="RA   "/>
    <s v="AU POULET GRILLE CHEZ ASFOUR  "/>
    <x v="0"/>
    <n v="53.78"/>
    <n v="5"/>
    <n v="0.48177761250000001"/>
    <n v="83000"/>
    <x v="56"/>
  </r>
  <r>
    <s v="G    "/>
    <s v="SU(0166)CLERMONT L HERAULT PLA"/>
    <x v="0"/>
    <n v="87.04"/>
    <n v="1"/>
    <n v="0.32846966911999997"/>
    <n v="83000"/>
    <x v="56"/>
  </r>
  <r>
    <s v="RA   "/>
    <s v="ISLAM VIANDES AYMAN TOULON    "/>
    <x v="0"/>
    <n v="135.27925930000001"/>
    <n v="27"/>
    <n v="0.23140609001000001"/>
    <n v="83000"/>
    <x v="56"/>
  </r>
  <r>
    <s v="RA   "/>
    <s v="BIE HIDA SAVEURS DU HALAL TOUL"/>
    <x v="0"/>
    <n v="186.95571430000001"/>
    <n v="7"/>
    <n v="0.22078337880000001"/>
    <n v="83000"/>
    <x v="56"/>
  </r>
  <r>
    <s v="RA   "/>
    <s v="BIE MARWAN TOULON             "/>
    <x v="0"/>
    <n v="215.31"/>
    <n v="22"/>
    <n v="0.22441849173"/>
    <n v="83000"/>
    <x v="56"/>
  </r>
  <r>
    <s v="RA   "/>
    <s v="ARFOUD TOULON                 "/>
    <x v="0"/>
    <n v="226.56"/>
    <n v="23"/>
    <n v="0.22342368275999999"/>
    <n v="83000"/>
    <x v="56"/>
  </r>
  <r>
    <s v="RA   "/>
    <s v="DISTRIBUTION CASH HALAL TOULON"/>
    <x v="0"/>
    <n v="250.2021622"/>
    <n v="37"/>
    <n v="0.22222483873000001"/>
    <n v="83000"/>
    <x v="56"/>
  </r>
  <r>
    <s v="RA   "/>
    <s v="BIE LES PALMIERS TOULON       "/>
    <x v="0"/>
    <n v="140.06"/>
    <n v="17"/>
    <n v="0.23737599851999999"/>
    <n v="83100"/>
    <x v="56"/>
  </r>
  <r>
    <s v="RA   "/>
    <s v="ALIM BEAULIEU HOIWIR TOULON   "/>
    <x v="0"/>
    <n v="335.62777779999999"/>
    <n v="9"/>
    <n v="0.21833876815"/>
    <n v="83100"/>
    <x v="56"/>
  </r>
  <r>
    <s v="RA   "/>
    <s v="CARREF MARKET BANDOL          "/>
    <x v="0"/>
    <n v="73.703846200000001"/>
    <n v="13"/>
    <n v="0.35548296196000001"/>
    <n v="83150"/>
    <x v="56"/>
  </r>
  <r>
    <s v="RA   "/>
    <s v="BIE B M VIANDES TOULON        "/>
    <x v="0"/>
    <n v="109.7404545"/>
    <n v="22"/>
    <n v="0.25384191626000002"/>
    <n v="83200"/>
    <x v="56"/>
  </r>
  <r>
    <s v="RA   "/>
    <s v="BIE EL HOGGAR TOULON          "/>
    <x v="0"/>
    <n v="121.057"/>
    <n v="20"/>
    <n v="0.24888730102000001"/>
    <n v="83200"/>
    <x v="56"/>
  </r>
  <r>
    <s v="RA   "/>
    <s v="MAXIME HAL CAVALAIRE          "/>
    <x v="0"/>
    <n v="254.65600000000001"/>
    <n v="5"/>
    <n v="0.21931939557999999"/>
    <n v="83240"/>
    <x v="56"/>
  </r>
  <r>
    <s v="RA   "/>
    <s v="SOUK SAVEUR SARAWI DRAGUIGNAN "/>
    <x v="0"/>
    <n v="213.44"/>
    <n v="2"/>
    <n v="0.22008058471"/>
    <n v="83300"/>
    <x v="56"/>
  </r>
  <r>
    <s v="RA   "/>
    <s v="BOUCHERIE LE REGAL COGOLIN    "/>
    <x v="0"/>
    <n v="283.79928569999998"/>
    <n v="14"/>
    <n v="0.22061643163"/>
    <n v="83310"/>
    <x v="56"/>
  </r>
  <r>
    <s v="RA   "/>
    <s v="SAADA SALAMA HYERES           "/>
    <x v="0"/>
    <n v="131.59230769999999"/>
    <n v="13"/>
    <n v="0.25928099607999999"/>
    <n v="83400"/>
    <x v="56"/>
  </r>
  <r>
    <s v="RA   "/>
    <s v="SALAMA                        "/>
    <x v="0"/>
    <n v="220.6045"/>
    <n v="20"/>
    <n v="0.22154239827"/>
    <n v="83400"/>
    <x v="56"/>
  </r>
  <r>
    <s v="RA   "/>
    <s v="BIE BOUNOUAR SAADA HYERES     "/>
    <x v="0"/>
    <n v="271.36874999999998"/>
    <n v="40"/>
    <n v="0.21992565467"/>
    <n v="83400"/>
    <x v="56"/>
  </r>
  <r>
    <s v="RA   "/>
    <s v="MOUTAOUAKIL LA CROIX VALMER SA"/>
    <x v="0"/>
    <n v="254.50800000000001"/>
    <n v="20"/>
    <n v="0.2199838512"/>
    <n v="83420"/>
    <x v="56"/>
  </r>
  <r>
    <s v="RA   "/>
    <s v="BISMILAH                      "/>
    <x v="0"/>
    <n v="234.16"/>
    <n v="10"/>
    <n v="0.21967671677"/>
    <n v="83470"/>
    <x v="56"/>
  </r>
  <r>
    <s v="RA   "/>
    <s v="BIE DE LA TOUR LE MUY         "/>
    <x v="0"/>
    <n v="194.49625"/>
    <n v="8"/>
    <n v="0.22056145041"/>
    <n v="83490"/>
    <x v="56"/>
  </r>
  <r>
    <s v="RA   "/>
    <s v="BIE FCCS LA SEYNE SUR MER     "/>
    <x v="0"/>
    <n v="360.48250000000002"/>
    <n v="12"/>
    <n v="0.21812686238000001"/>
    <n v="83500"/>
    <x v="56"/>
  </r>
  <r>
    <s v="G    "/>
    <s v="LA TABLE DE POL LORGUES       "/>
    <x v="0"/>
    <n v="15.32"/>
    <n v="1"/>
    <n v="2.2389033942599998"/>
    <n v="83510"/>
    <x v="56"/>
  </r>
  <r>
    <s v="RA   "/>
    <s v="SAADA BOUCHERIE               "/>
    <x v="0"/>
    <n v="532.80100000000004"/>
    <n v="10"/>
    <n v="0.21720379653999999"/>
    <n v="83600"/>
    <x v="56"/>
  </r>
  <r>
    <s v="RA   "/>
    <s v="VARTRADE ST RAPHAEL           "/>
    <x v="0"/>
    <n v="152.74833330000001"/>
    <n v="12"/>
    <n v="0.25031478794000001"/>
    <n v="83704"/>
    <x v="56"/>
  </r>
  <r>
    <s v="RA   "/>
    <s v="CHEMAL SORGUES 84             "/>
    <x v="0"/>
    <n v="96.9808333"/>
    <n v="11"/>
    <n v="0.26540381690999998"/>
    <n v="84000"/>
    <x v="57"/>
  </r>
  <r>
    <s v="RA   "/>
    <s v="L HIRONDELLE 84 AVIGNON       "/>
    <x v="0"/>
    <n v="142.52090910000001"/>
    <n v="11"/>
    <n v="0.22573848813"/>
    <n v="84000"/>
    <x v="57"/>
  </r>
  <r>
    <s v="RA   "/>
    <s v="SARL EL SAID 84 AVIGNON       "/>
    <x v="0"/>
    <n v="144.515625"/>
    <n v="16"/>
    <n v="0.24252870580999999"/>
    <n v="84000"/>
    <x v="57"/>
  </r>
  <r>
    <s v="RA   "/>
    <s v="BIE ELNASR 84 AVIGNON         "/>
    <x v="0"/>
    <n v="209.62666669999999"/>
    <n v="9"/>
    <n v="0.23052251622"/>
    <n v="84000"/>
    <x v="57"/>
  </r>
  <r>
    <s v="RA   "/>
    <s v="MOMO CHEZ EL SAID AVIGNON     "/>
    <x v="0"/>
    <n v="212.69"/>
    <n v="5"/>
    <n v="0.22010531759999999"/>
    <n v="84000"/>
    <x v="57"/>
  </r>
  <r>
    <s v="RA   "/>
    <s v="EL BOUSNANI ET FILS           "/>
    <x v="0"/>
    <n v="258.72857140000002"/>
    <n v="14"/>
    <n v="0.22503036828"/>
    <n v="84120"/>
    <x v="57"/>
  </r>
  <r>
    <s v="RA   "/>
    <s v="AMANSOUR LE PONTET            "/>
    <x v="0"/>
    <n v="126.83374999999999"/>
    <n v="8"/>
    <n v="0.23995486217000001"/>
    <n v="84130"/>
    <x v="57"/>
  </r>
  <r>
    <s v="RA   "/>
    <s v="ALPHA VIANDES CARPENTRAS      "/>
    <x v="0"/>
    <n v="88.297272699999994"/>
    <n v="11"/>
    <n v="0.29601552605999998"/>
    <n v="84200"/>
    <x v="57"/>
  </r>
  <r>
    <s v="RA   "/>
    <s v="BIE DU VENTOUX CARPENTRAS     "/>
    <x v="0"/>
    <n v="355.06222220000001"/>
    <n v="9"/>
    <n v="0.21817177584"/>
    <n v="84200"/>
    <x v="57"/>
  </r>
  <r>
    <s v="RA   "/>
    <s v="JM TRAITEUR VEDENE            "/>
    <x v="0"/>
    <n v="45.32"/>
    <n v="1"/>
    <n v="0.57171226830999999"/>
    <n v="84270"/>
    <x v="57"/>
  </r>
  <r>
    <s v="RA   "/>
    <s v="BIE DURANCE CAVAILLON         "/>
    <x v="0"/>
    <n v="241.50555560000001"/>
    <n v="18"/>
    <n v="0.22630673322"/>
    <n v="84300"/>
    <x v="57"/>
  </r>
  <r>
    <s v="RA   "/>
    <s v="OMAR EL MOUSSAOUI APT         "/>
    <x v="0"/>
    <n v="217.05199999999999"/>
    <n v="5"/>
    <n v="0.22001179440999999"/>
    <n v="84400"/>
    <x v="57"/>
  </r>
  <r>
    <s v="RA   "/>
    <s v="MAXI MARKET SORGUES           "/>
    <x v="0"/>
    <n v="266.67"/>
    <n v="6"/>
    <n v="0.21913726078000001"/>
    <n v="84700"/>
    <x v="57"/>
  </r>
  <r>
    <s v="MD   "/>
    <s v="CTRE FRANCIS PLAINEMAISON     "/>
    <x v="0"/>
    <n v="241.42500000000001"/>
    <n v="8"/>
    <n v="0.20906751578999999"/>
    <n v="87003"/>
    <x v="58"/>
  </r>
  <r>
    <s v="MD   "/>
    <s v="CTRE F PLAINEMAISON STEAK HACH"/>
    <x v="0"/>
    <n v="1842.1789474"/>
    <n v="19"/>
    <n v="0.19783762934999999"/>
    <n v="87003"/>
    <x v="58"/>
  </r>
  <r>
    <s v="MM   "/>
    <s v="BOUCHERIE HARTEL 89           "/>
    <x v="0"/>
    <n v="130.5907143"/>
    <n v="9"/>
    <n v="0.28941020746000001"/>
    <n v="89630"/>
    <x v="59"/>
  </r>
  <r>
    <s v="MDU  "/>
    <s v="8 A HUIT IGNY MARGUERITE DISTR"/>
    <x v="0"/>
    <n v="68.1674194"/>
    <n v="10"/>
    <n v="0.11523336755999999"/>
    <n v="91000"/>
    <x v="60"/>
  </r>
  <r>
    <s v="MDU  "/>
    <s v="SARL BIE DU ROUILLON 91       "/>
    <x v="0"/>
    <n v="366.153211"/>
    <n v="35"/>
    <n v="7.7430137780000005E-2"/>
    <n v="91000"/>
    <x v="60"/>
  </r>
  <r>
    <s v="ML   "/>
    <s v="SARL BIE DU ROUILLON 91       "/>
    <x v="0"/>
    <n v="655.92499999999995"/>
    <n v="2"/>
    <n v="7.2120288140000002E-2"/>
    <n v="91000"/>
    <x v="60"/>
  </r>
  <r>
    <s v="MDU  "/>
    <s v="BIE DU HAUT PAVE 91 ETAMPES   "/>
    <x v="0"/>
    <n v="31.836666699999999"/>
    <n v="9"/>
    <n v="0.10893332868"/>
    <n v="91150"/>
    <x v="60"/>
  </r>
  <r>
    <s v="MDU  "/>
    <s v="BIE CHEVRY II GIF SUR YVETTE  "/>
    <x v="0"/>
    <n v="65.422142899999997"/>
    <n v="12"/>
    <n v="0.10265819422"/>
    <n v="91190"/>
    <x v="60"/>
  </r>
  <r>
    <s v="MD   "/>
    <s v="ROUILLON SAUVAGE STEACK HACHE "/>
    <x v="0"/>
    <n v="254.44444440000001"/>
    <n v="18"/>
    <n v="0.39841812227000001"/>
    <n v="91200"/>
    <x v="60"/>
  </r>
  <r>
    <s v="MU   "/>
    <s v="ROUILLON SAUVAGE STEACK HACHE "/>
    <x v="0"/>
    <n v="290.75920000000002"/>
    <n v="9"/>
    <n v="0.28349795981999998"/>
    <n v="91200"/>
    <x v="60"/>
  </r>
  <r>
    <s v="MGL  "/>
    <s v="SMJ JUVISY SUR ORGE           "/>
    <x v="0"/>
    <n v="56.980499999999999"/>
    <n v="21"/>
    <n v="0.29731019090999999"/>
    <n v="91260"/>
    <x v="60"/>
  </r>
  <r>
    <s v="MDU  "/>
    <s v="DOMAFRAIS MORANGIS            "/>
    <x v="0"/>
    <n v="12.38"/>
    <n v="1"/>
    <n v="0.49404954226999998"/>
    <n v="91420"/>
    <x v="60"/>
  </r>
  <r>
    <s v="MDU  "/>
    <s v="BIE BAY MORANGIS              "/>
    <x v="0"/>
    <n v="174.19136359999999"/>
    <n v="8"/>
    <n v="9.0649259829999995E-2"/>
    <n v="91420"/>
    <x v="60"/>
  </r>
  <r>
    <s v="MDU  "/>
    <s v="BIE EGLISE MARCOUSSIS         "/>
    <x v="0"/>
    <n v="88.773750000000007"/>
    <n v="8"/>
    <n v="8.7977395720000004E-2"/>
    <n v="91460"/>
    <x v="60"/>
  </r>
  <r>
    <s v="MDU  "/>
    <s v="SARL BOUCHERIE DE LA PLACE    "/>
    <x v="0"/>
    <n v="68.757727299999999"/>
    <n v="8"/>
    <n v="0.10099294625000001"/>
    <n v="91470"/>
    <x v="60"/>
  </r>
  <r>
    <s v="MDU  "/>
    <s v="SLV BIE DU PARC 92 NEUILLY/SEI"/>
    <x v="0"/>
    <n v="45.186428599999999"/>
    <n v="14"/>
    <n v="9.9346095280000005E-2"/>
    <n v="92000"/>
    <x v="61"/>
  </r>
  <r>
    <s v="MDU  "/>
    <s v="QUISQUATER &amp; CO DENDERMONDE   "/>
    <x v="0"/>
    <n v="85.3"/>
    <n v="1"/>
    <n v="8.8522860489999994E-2"/>
    <n v="92000"/>
    <x v="61"/>
  </r>
  <r>
    <s v="MD   "/>
    <s v="QUISQUATER &amp; CO DENDERMONDE   "/>
    <x v="0"/>
    <n v="89.083333300000007"/>
    <n v="9"/>
    <n v="0.26405363267999998"/>
    <n v="92000"/>
    <x v="61"/>
  </r>
  <r>
    <s v="MDU  "/>
    <s v="BIE DU MARCHE DES ESCUDIERS   "/>
    <x v="0"/>
    <n v="46.301250000000003"/>
    <n v="8"/>
    <n v="9.8795028930000001E-2"/>
    <n v="92100"/>
    <x v="61"/>
  </r>
  <r>
    <s v="MDU  "/>
    <s v="BIE PHILIPPE JOSEPH           "/>
    <x v="0"/>
    <n v="51.508076899999999"/>
    <n v="16"/>
    <n v="0.11103635726"/>
    <n v="92150"/>
    <x v="61"/>
  </r>
  <r>
    <s v="MDU  "/>
    <s v="GBS SURESNES                  "/>
    <x v="0"/>
    <n v="119.22333329999999"/>
    <n v="9"/>
    <n v="8.5055125300000006E-2"/>
    <n v="92150"/>
    <x v="61"/>
  </r>
  <r>
    <s v="MDU  "/>
    <s v="Be PLACE STALINGRA MEUDON 92  "/>
    <x v="0"/>
    <n v="74.311578900000001"/>
    <n v="18"/>
    <n v="9.7982416380000006E-2"/>
    <n v="92190"/>
    <x v="61"/>
  </r>
  <r>
    <s v="MDU  "/>
    <s v="SARL DU CHATEAU               "/>
    <x v="0"/>
    <n v="54.831111100000001"/>
    <n v="9"/>
    <n v="9.5291940229999997E-2"/>
    <n v="92200"/>
    <x v="61"/>
  </r>
  <r>
    <s v="MDU  "/>
    <s v="POSSIMATO ST CLOUD BIE FOCH   "/>
    <x v="0"/>
    <n v="155.22666670000001"/>
    <n v="9"/>
    <n v="8.3034606499999997E-2"/>
    <n v="92210"/>
    <x v="61"/>
  </r>
  <r>
    <s v="MDU  "/>
    <s v="DU HAMEL COLOMBES             "/>
    <x v="0"/>
    <n v="75.364444399999996"/>
    <n v="9"/>
    <n v="9.0133376579999994E-2"/>
    <n v="92600"/>
    <x v="61"/>
  </r>
  <r>
    <s v="MDU  "/>
    <s v="GENERALE BOUCHERIE ASNIERES/  "/>
    <x v="0"/>
    <n v="92.1088235"/>
    <n v="16"/>
    <n v="9.1818288260000006E-2"/>
    <n v="92600"/>
    <x v="61"/>
  </r>
  <r>
    <s v="MDU  "/>
    <s v="FASMAN COLOMBES               "/>
    <x v="0"/>
    <n v="152.63736840000001"/>
    <n v="18"/>
    <n v="8.351269435E-2"/>
    <n v="92700"/>
    <x v="61"/>
  </r>
  <r>
    <s v="M42"/>
    <s v="CS528 CHAVILLE EDI            "/>
    <x v="0"/>
    <n v="16.224736799999999"/>
    <n v="12"/>
    <n v="1.5592564959299999"/>
    <n v="92730"/>
    <x v="61"/>
  </r>
  <r>
    <s v="RA   "/>
    <s v="KACHER MONTREUIL SOUS BOIS    "/>
    <x v="0"/>
    <n v="40.6"/>
    <n v="1"/>
    <n v="0.63817733990000003"/>
    <n v="93100"/>
    <x v="62"/>
  </r>
  <r>
    <s v="MGL  "/>
    <s v="KACHER MONTREUIL SOUS BOIS    "/>
    <x v="0"/>
    <n v="43.0296296"/>
    <n v="10"/>
    <n v="0.34543294886999998"/>
    <n v="93100"/>
    <x v="62"/>
  </r>
  <r>
    <s v="MDU  "/>
    <s v="BOUCHERIES ILE FRAN. ROMAIVILL"/>
    <x v="0"/>
    <n v="83.3919231"/>
    <n v="24"/>
    <n v="9.472601571E-2"/>
    <n v="93230"/>
    <x v="62"/>
  </r>
  <r>
    <s v="MDU  "/>
    <s v="BIE DE L EGLISE 92 COURBEVOIE "/>
    <x v="0"/>
    <n v="72.563783799999996"/>
    <n v="12"/>
    <n v="0.13255216286999999"/>
    <n v="93340"/>
    <x v="62"/>
  </r>
  <r>
    <s v="RTD  "/>
    <s v="CASINO CS589 VILENEUVE/LOT EDI"/>
    <x v="0"/>
    <n v="19.16"/>
    <n v="5"/>
    <n v="0.17"/>
    <n v="94000"/>
    <x v="63"/>
  </r>
  <r>
    <s v="MDU  "/>
    <s v="STE HUGUENIN RUNGIS 94        "/>
    <x v="0"/>
    <n v="283.54846149999997"/>
    <n v="37"/>
    <n v="7.7882856370000003E-2"/>
    <n v="94000"/>
    <x v="63"/>
  </r>
  <r>
    <s v="MDU  "/>
    <s v="BIE RUBLON PATRICK FONTENAY   "/>
    <x v="0"/>
    <n v="74.858750000000001"/>
    <n v="8"/>
    <n v="9.0226593420000001E-2"/>
    <n v="94120"/>
    <x v="63"/>
  </r>
  <r>
    <s v="MDU  "/>
    <s v="BIE DU BALTARD NOGENT/MARNE   "/>
    <x v="0"/>
    <n v="65.137272699999997"/>
    <n v="11"/>
    <n v="0.15289621451999999"/>
    <n v="94130"/>
    <x v="63"/>
  </r>
  <r>
    <s v="MDU  "/>
    <s v="METZGER RUNGIS                "/>
    <x v="0"/>
    <n v="188.7816176"/>
    <n v="43"/>
    <n v="8.3885325009999998E-2"/>
    <n v="94150"/>
    <x v="63"/>
  </r>
  <r>
    <s v="MDU  "/>
    <s v="BIE CHASSINEAU IVRY           "/>
    <x v="0"/>
    <n v="505.6"/>
    <n v="3"/>
    <n v="7.8392888539999997E-2"/>
    <n v="94200"/>
    <x v="63"/>
  </r>
  <r>
    <s v="MDU  "/>
    <s v="BIE HERRAULT PATRICK CHARENTON"/>
    <x v="0"/>
    <n v="34.4"/>
    <n v="5"/>
    <n v="0.10657751938"/>
    <n v="94220"/>
    <x v="63"/>
  </r>
  <r>
    <s v="MDU  "/>
    <s v="BOUCHERIE VOLTAIRE 94 VINCENNE"/>
    <x v="0"/>
    <n v="91.444444399999995"/>
    <n v="9"/>
    <n v="8.7709194010000005E-2"/>
    <n v="94300"/>
    <x v="63"/>
  </r>
  <r>
    <s v="MDU  "/>
    <s v="BIE DULONGCOURTY VINCENNES    "/>
    <x v="0"/>
    <n v="205.49489800000001"/>
    <n v="16"/>
    <n v="8.7847257740000004E-2"/>
    <n v="94300"/>
    <x v="63"/>
  </r>
  <r>
    <s v="MD   "/>
    <s v="BIE MGDP INVESTISSEMENT VILLIE"/>
    <x v="0"/>
    <n v="3979.37"/>
    <n v="9"/>
    <n v="0.22979165043999999"/>
    <n v="94350"/>
    <x v="63"/>
  </r>
  <r>
    <s v="MDU  "/>
    <s v="BIE DE LA GARE SUCY EN BRIE   "/>
    <x v="0"/>
    <n v="172.93"/>
    <n v="3"/>
    <n v="8.2349955340000003E-2"/>
    <n v="94370"/>
    <x v="63"/>
  </r>
  <r>
    <s v="MDU  "/>
    <s v="POMONA TERRE AZUR RUNGIS      "/>
    <x v="0"/>
    <n v="46.183888899999999"/>
    <n v="18"/>
    <n v="9.8854418530000002E-2"/>
    <n v="94538"/>
    <x v="63"/>
  </r>
  <r>
    <s v="MDU  "/>
    <s v="SODEXO CRECHES DE PARIS       "/>
    <x v="0"/>
    <n v="441.61"/>
    <n v="2"/>
    <n v="7.869122831E-2"/>
    <n v="94538"/>
    <x v="63"/>
  </r>
  <r>
    <s v="MD   "/>
    <s v="OVIMPEX                       "/>
    <x v="0"/>
    <n v="626.45333330000005"/>
    <n v="9"/>
    <n v="0.23399047193"/>
    <n v="94619"/>
    <x v="63"/>
  </r>
  <r>
    <s v="MD   "/>
    <s v="EURODIS RUNGIS(AGNEAUX)       "/>
    <x v="0"/>
    <n v="264.50428570000003"/>
    <n v="35"/>
    <n v="0.24080139128"/>
    <n v="94657"/>
    <x v="63"/>
  </r>
  <r>
    <s v="MDU  "/>
    <s v="BIE NALLET ARMEL 95 ARGENTEUIL"/>
    <x v="0"/>
    <n v="164.7161538"/>
    <n v="13"/>
    <n v="8.2650028880000004E-2"/>
    <n v="95100"/>
    <x v="64"/>
  </r>
  <r>
    <s v="MDU  "/>
    <s v="BIE DE LA VALLEE SOISY        "/>
    <x v="0"/>
    <n v="95.894000000000005"/>
    <n v="10"/>
    <n v="8.7182722589999997E-2"/>
    <n v="95230"/>
    <x v="64"/>
  </r>
  <r>
    <s v="MDU  "/>
    <s v="BIE GRANDE RUE L ISLE ADAM    "/>
    <x v="0"/>
    <n v="115.6483333"/>
    <n v="17"/>
    <n v="0.14835412593"/>
    <n v="95290"/>
    <x v="64"/>
  </r>
  <r>
    <s v="MDU  "/>
    <s v="GEPI HALLES ST OUEN L AUMONE  "/>
    <x v="0"/>
    <n v="261.12534879999998"/>
    <n v="14"/>
    <n v="8.6878350320000006E-2"/>
    <n v="95310"/>
    <x v="64"/>
  </r>
  <r>
    <s v="MDU  "/>
    <s v="SARL BOUCHERIE D AUVERS       "/>
    <x v="0"/>
    <n v="83.648947399999997"/>
    <n v="7"/>
    <n v="0.11001679953"/>
    <n v="95430"/>
    <x v="64"/>
  </r>
  <r>
    <s v="MDU  "/>
    <s v="BIE D AUTREFOIS EZANVILLE 95  "/>
    <x v="0"/>
    <n v="30.500645200000001"/>
    <n v="10"/>
    <n v="0.16220809713000001"/>
    <n v="95460"/>
    <x v="64"/>
  </r>
  <r>
    <s v="MDU  "/>
    <s v="BIE LENORMAND                 "/>
    <x v="0"/>
    <n v="145.07124999999999"/>
    <n v="8"/>
    <n v="8.3510114280000006E-2"/>
    <n v="95520"/>
    <x v="64"/>
  </r>
  <r>
    <s v="MDU  "/>
    <s v="SICA VIANDES PAYS ST PIERRE 97"/>
    <x v="0"/>
    <n v="144.5733333"/>
    <n v="9"/>
    <n v="8.3532130299999993E-2"/>
    <n v="97000"/>
    <x v="65"/>
  </r>
  <r>
    <s v="MA   "/>
    <s v="MAISON TANZILLI MIONS         "/>
    <x v="0"/>
    <n v="27.090555599999998"/>
    <n v="7"/>
    <n v="0.55971125648999998"/>
    <n v="697803"/>
    <x v="45"/>
  </r>
  <r>
    <s v="TA   "/>
    <s v="MAISON TANZILLI MIONS         "/>
    <x v="0"/>
    <n v="33.947777799999997"/>
    <n v="10"/>
    <n v="0.45822014205"/>
    <n v="697803"/>
    <x v="45"/>
  </r>
  <r>
    <s v="TA   "/>
    <s v="LA FERME DE COLLONGES 01      "/>
    <x v="1"/>
    <n v="166.06666670000001"/>
    <n v="4"/>
    <n v="0.17810116418999999"/>
    <n v="1000"/>
    <x v="0"/>
  </r>
  <r>
    <s v="MM   "/>
    <s v="CASINO CG341 OYONNAX EDI      "/>
    <x v="1"/>
    <n v="18.0227273"/>
    <n v="8"/>
    <n v="0.67376040353"/>
    <n v="1100"/>
    <x v="0"/>
  </r>
  <r>
    <s v="M42  "/>
    <s v="CASINO CG341 OYONNAX EDI      "/>
    <x v="1"/>
    <n v="18.524565200000001"/>
    <n v="28"/>
    <n v="1.2754321523700001"/>
    <n v="1100"/>
    <x v="0"/>
  </r>
  <r>
    <s v="MA   "/>
    <s v="I D FRAIS MONTAGNAT           "/>
    <x v="1"/>
    <n v="28.47"/>
    <n v="1"/>
    <n v="0.53199859501000002"/>
    <n v="1250"/>
    <x v="0"/>
  </r>
  <r>
    <s v="TA   "/>
    <s v="I D FRAIS MONTAGNAT           "/>
    <x v="1"/>
    <n v="53.015000000000001"/>
    <n v="2"/>
    <n v="0.19815146656999999"/>
    <n v="1250"/>
    <x v="0"/>
  </r>
  <r>
    <s v="TA   "/>
    <s v="GESLER HOTONNES               "/>
    <x v="1"/>
    <n v="290.041875"/>
    <n v="50"/>
    <n v="0.17895998854"/>
    <n v="1260"/>
    <x v="0"/>
  </r>
  <r>
    <s v="MA   "/>
    <s v="GESLER HOTONNES               "/>
    <x v="1"/>
    <n v="315.00802470000002"/>
    <n v="41"/>
    <n v="0.21251804285000001"/>
    <n v="1260"/>
    <x v="0"/>
  </r>
  <r>
    <s v="RA   "/>
    <s v="LABEL-VIE MARKET NIMES        "/>
    <x v="1"/>
    <n v="238.60911759999999"/>
    <n v="68"/>
    <n v="0.22101591206999999"/>
    <n v="3000"/>
    <x v="1"/>
  </r>
  <r>
    <s v="RA   "/>
    <s v="CASINO CS624 FORCALQUIER EDI  "/>
    <x v="1"/>
    <n v="18.456190500000002"/>
    <n v="21"/>
    <n v="1.40386500851"/>
    <n v="4300"/>
    <x v="2"/>
  </r>
  <r>
    <s v="RA   "/>
    <s v="L ETOILE VERTE NICE 06        "/>
    <x v="1"/>
    <n v="376.85714289999999"/>
    <n v="7"/>
    <n v="0.2211884003"/>
    <n v="6000"/>
    <x v="3"/>
  </r>
  <r>
    <s v="RA   "/>
    <s v="BIE IBTISSMA LE CANNET        "/>
    <x v="1"/>
    <n v="249.1518519"/>
    <n v="54"/>
    <n v="0.22481856967"/>
    <n v="6110"/>
    <x v="3"/>
  </r>
  <r>
    <s v="RA   "/>
    <s v="BIE STEPHANE CAGNES/MER       "/>
    <x v="1"/>
    <n v="377.51"/>
    <n v="9"/>
    <n v="0.21800070050000001"/>
    <n v="6110"/>
    <x v="3"/>
  </r>
  <r>
    <s v="G    "/>
    <s v="METRO CANNES 27               "/>
    <x v="1"/>
    <n v="37.39"/>
    <n v="1"/>
    <n v="0.97619684407999996"/>
    <n v="6150"/>
    <x v="3"/>
  </r>
  <r>
    <s v="G    "/>
    <s v="VILLE DE NICE LOT VEAU        "/>
    <x v="1"/>
    <n v="1.98"/>
    <n v="1"/>
    <n v="18.434343434340001"/>
    <n v="6200"/>
    <x v="3"/>
  </r>
  <r>
    <s v="G    "/>
    <s v="VILLE NICE SURGELES VEAU BIO  "/>
    <x v="1"/>
    <n v="259.42"/>
    <n v="2"/>
    <n v="0.41050420168000001"/>
    <n v="6200"/>
    <x v="3"/>
  </r>
  <r>
    <s v="RA   "/>
    <s v="LECLERC NICE NIKAIADIS trad   "/>
    <x v="1"/>
    <n v="97.321052600000002"/>
    <n v="38"/>
    <n v="0.27585014331000002"/>
    <n v="6201"/>
    <x v="3"/>
  </r>
  <r>
    <s v="RA   "/>
    <s v="BIGARD NICE SA                "/>
    <x v="1"/>
    <n v="91.357142899999999"/>
    <n v="10"/>
    <n v="0.28353166536000002"/>
    <n v="6296"/>
    <x v="3"/>
  </r>
  <r>
    <s v="RA   "/>
    <s v="BIE CHARC ITALIENNE NICE      "/>
    <x v="1"/>
    <n v="224.3"/>
    <n v="1"/>
    <n v="0.21987962550000001"/>
    <n v="6300"/>
    <x v="3"/>
  </r>
  <r>
    <s v="RA   "/>
    <s v="AMALO BIE L ETOILE VERTE NICE "/>
    <x v="1"/>
    <n v="299.1333333"/>
    <n v="6"/>
    <n v="0.22292734567"/>
    <n v="6300"/>
    <x v="3"/>
  </r>
  <r>
    <s v="RA   "/>
    <s v="ITRAN CANNES                  "/>
    <x v="1"/>
    <n v="98.121333300000003"/>
    <n v="15"/>
    <n v="0.28062466877999998"/>
    <n v="6400"/>
    <x v="3"/>
  </r>
  <r>
    <s v="RA   "/>
    <s v="LIBAC ST MARTIN VESUBIE       "/>
    <x v="1"/>
    <n v="278.46166670000002"/>
    <n v="6"/>
    <n v="0.21897149219000001"/>
    <n v="6450"/>
    <x v="3"/>
  </r>
  <r>
    <s v="RA   "/>
    <s v="INTERMARCHE MENTON LR         "/>
    <x v="1"/>
    <n v="114.25404760000001"/>
    <n v="42"/>
    <n v="0.24492515635000001"/>
    <n v="6500"/>
    <x v="3"/>
  </r>
  <r>
    <s v="RA   "/>
    <s v="INTERMARCHE MENTON STANDART   "/>
    <x v="1"/>
    <n v="172.00333330000001"/>
    <n v="3"/>
    <n v="0.22126702971000001"/>
    <n v="6500"/>
    <x v="3"/>
  </r>
  <r>
    <s v="RA   "/>
    <s v="GUILLOT VIANDES MENTON        "/>
    <x v="1"/>
    <n v="176.78666670000001"/>
    <n v="12"/>
    <n v="0.22837176635000001"/>
    <n v="6500"/>
    <x v="3"/>
  </r>
  <r>
    <s v="RA   "/>
    <s v="CHEZ LOUFTI VALBONNE CIRTA    "/>
    <x v="1"/>
    <n v="138.57900000000001"/>
    <n v="10"/>
    <n v="0.22269607949"/>
    <n v="6560"/>
    <x v="3"/>
  </r>
  <r>
    <s v="TI   "/>
    <s v="ALDO QUAGLIOTTI               "/>
    <x v="1"/>
    <n v="1322.55"/>
    <n v="2"/>
    <n v="0.24615099618"/>
    <n v="10113"/>
    <x v="4"/>
  </r>
  <r>
    <s v="RTD  "/>
    <s v="CASINO CS933 NARBONNE EDI     "/>
    <x v="1"/>
    <n v="14.4161538"/>
    <n v="13"/>
    <n v="0.17000160077000001"/>
    <n v="11100"/>
    <x v="5"/>
  </r>
  <r>
    <s v="CAD  "/>
    <s v="EURL MEUNIER MILLAU 12        "/>
    <x v="1"/>
    <n v="6.34"/>
    <n v="1"/>
    <n v="0.15"/>
    <n v="12000"/>
    <x v="6"/>
  </r>
  <r>
    <s v="MDU  "/>
    <s v="VENTES DIVERS ARSAC           "/>
    <x v="1"/>
    <n v="30.91"/>
    <n v="1"/>
    <n v="0.10995362881"/>
    <n v="12000"/>
    <x v="6"/>
  </r>
  <r>
    <s v="MO   "/>
    <s v="VENTES DIVERS ARSAC           "/>
    <x v="1"/>
    <n v="35.799999999999997"/>
    <n v="1"/>
    <n v="0.47326815641999997"/>
    <n v="12000"/>
    <x v="6"/>
  </r>
  <r>
    <s v="RV   "/>
    <s v="VENTES CLIENTS DIVERS         "/>
    <x v="1"/>
    <n v="35.86"/>
    <n v="2"/>
    <n v="0.47308979363999998"/>
    <n v="12000"/>
    <x v="6"/>
  </r>
  <r>
    <s v="G    "/>
    <s v="VENTES CLIENTS DIVERS         "/>
    <x v="1"/>
    <n v="36.79"/>
    <n v="1"/>
    <n v="0.82631149769000001"/>
    <n v="12000"/>
    <x v="6"/>
  </r>
  <r>
    <s v="RTD  "/>
    <s v="G CASINO CG851 DECAZEVILLE EDI"/>
    <x v="1"/>
    <n v="64.459999999999994"/>
    <n v="3"/>
    <n v="0.17000206846999999"/>
    <n v="12000"/>
    <x v="6"/>
  </r>
  <r>
    <s v="RT   "/>
    <s v="VENTES DIVERS ARSAC           "/>
    <x v="1"/>
    <n v="123"/>
    <n v="1"/>
    <n v="0.17"/>
    <n v="12000"/>
    <x v="6"/>
  </r>
  <r>
    <s v="MDU  "/>
    <s v="REST L ENTRACTE DES GOBELINS  "/>
    <x v="1"/>
    <n v="236.72"/>
    <n v="1"/>
    <n v="8.0736735379999994E-2"/>
    <n v="12000"/>
    <x v="6"/>
  </r>
  <r>
    <s v="RA   "/>
    <s v="VENTES DIVERS ARSAC           "/>
    <x v="1"/>
    <n v="390.71"/>
    <n v="1"/>
    <n v="0.21790586368000001"/>
    <n v="12000"/>
    <x v="6"/>
  </r>
  <r>
    <s v="RA   "/>
    <s v="BEA CARNI Y BOVES             "/>
    <x v="1"/>
    <n v="509.15"/>
    <n v="1"/>
    <n v="0.21728763626"/>
    <n v="12012"/>
    <x v="6"/>
  </r>
  <r>
    <s v="TI   "/>
    <s v="SACAR SANT ALBANO STURA       "/>
    <x v="1"/>
    <n v="1067.7818182000001"/>
    <n v="11"/>
    <n v="0.25183507015000001"/>
    <n v="12040"/>
    <x v="6"/>
  </r>
  <r>
    <s v="RTD  "/>
    <s v="GEANT CASINO CG335 MILLAU EDI "/>
    <x v="1"/>
    <n v="48.145882399999998"/>
    <n v="17"/>
    <n v="0.17000048871000001"/>
    <n v="12100"/>
    <x v="6"/>
  </r>
  <r>
    <s v="G    "/>
    <s v="BILDE THIERRY                 "/>
    <x v="1"/>
    <n v="13.3"/>
    <n v="1"/>
    <n v="1.22330827068"/>
    <n v="12110"/>
    <x v="6"/>
  </r>
  <r>
    <s v="MDU  "/>
    <s v="BOUGEARD THIERRY VERSAILLES 78"/>
    <x v="1"/>
    <n v="167.15"/>
    <n v="19"/>
    <n v="8.1569531690000002E-2"/>
    <n v="12110"/>
    <x v="6"/>
  </r>
  <r>
    <s v="G    "/>
    <s v="AU BEL HORIZON SEBRAZAC       "/>
    <x v="1"/>
    <n v="64.510000000000005"/>
    <n v="1"/>
    <n v="0.28383196404"/>
    <n v="12190"/>
    <x v="6"/>
  </r>
  <r>
    <s v="G    "/>
    <s v="RELAIS DE FARROU              "/>
    <x v="1"/>
    <n v="18.91"/>
    <n v="2"/>
    <n v="0.86039132734000001"/>
    <n v="12200"/>
    <x v="6"/>
  </r>
  <r>
    <s v="RTD  "/>
    <s v="PRADALIE DAVID                "/>
    <x v="1"/>
    <n v="48.862857099999999"/>
    <n v="7"/>
    <n v="0.17000058472999999"/>
    <n v="12200"/>
    <x v="6"/>
  </r>
  <r>
    <s v="G    "/>
    <s v="HOTEL REST BERGERIE DU LARZAC "/>
    <x v="1"/>
    <n v="5"/>
    <n v="1"/>
    <n v="3.254"/>
    <n v="12230"/>
    <x v="6"/>
  </r>
  <r>
    <s v="G    "/>
    <s v="RELAIS LARZAC CAFETARIA       "/>
    <x v="1"/>
    <n v="5.4233333000000004"/>
    <n v="3"/>
    <n v="3"/>
    <n v="12230"/>
    <x v="6"/>
  </r>
  <r>
    <s v="G    "/>
    <s v="AUBERGE DU PERE ROUSSEL LA COU"/>
    <x v="1"/>
    <n v="27.94"/>
    <n v="1"/>
    <n v="0.58231925554999997"/>
    <n v="12230"/>
    <x v="6"/>
  </r>
  <r>
    <s v="RA   "/>
    <s v="CHAUCHARD PONT DE SALARS      "/>
    <x v="1"/>
    <n v="6.6666667000000004"/>
    <n v="3"/>
    <n v="3.8864999999999998"/>
    <n v="12290"/>
    <x v="6"/>
  </r>
  <r>
    <s v="RA   "/>
    <s v="BOUCHERIE JEAN LOUIS CHAUCHARD"/>
    <x v="1"/>
    <n v="18.279375000000002"/>
    <n v="16"/>
    <n v="1.41744452422"/>
    <n v="12290"/>
    <x v="6"/>
  </r>
  <r>
    <s v="MA   "/>
    <s v="ROLLAND ARS SUR FORMANS       "/>
    <x v="1"/>
    <n v="40.853333300000003"/>
    <n v="3"/>
    <n v="0.41124347257999999"/>
    <n v="12340"/>
    <x v="6"/>
  </r>
  <r>
    <s v="G    "/>
    <s v="LINARD LANUEJOULS             "/>
    <x v="1"/>
    <n v="7.4"/>
    <n v="1"/>
    <n v="7.6216216216200001"/>
    <n v="12350"/>
    <x v="6"/>
  </r>
  <r>
    <s v="G    "/>
    <s v="BIE HUC PHILIPPE CAMARES      "/>
    <x v="1"/>
    <n v="123.9"/>
    <n v="1"/>
    <n v="0.20338983051000001"/>
    <n v="12360"/>
    <x v="6"/>
  </r>
  <r>
    <s v="RTD  "/>
    <s v="FONTANILLES MONTFRANC         "/>
    <x v="1"/>
    <n v="105.7530769"/>
    <n v="13"/>
    <n v="0.17000123654999999"/>
    <n v="12380"/>
    <x v="6"/>
  </r>
  <r>
    <s v="G    "/>
    <s v="HOTEL-RESTAURANT DU PONT-NEUF "/>
    <x v="1"/>
    <n v="25.106000000000002"/>
    <n v="5"/>
    <n v="0.66430335378000005"/>
    <n v="12400"/>
    <x v="6"/>
  </r>
  <r>
    <s v="CAD  "/>
    <s v="GAMEL ET FILS VILLEFRANCHE PAN"/>
    <x v="1"/>
    <n v="185.5"/>
    <n v="1"/>
    <n v="0.15"/>
    <n v="12430"/>
    <x v="6"/>
  </r>
  <r>
    <s v="G    "/>
    <s v="L AUBERGE DE CASTELNAU        "/>
    <x v="1"/>
    <n v="14.63"/>
    <n v="1"/>
    <n v="1.1120984278899999"/>
    <n v="12500"/>
    <x v="6"/>
  </r>
  <r>
    <s v="G    "/>
    <s v="L AUBERGE AVEYRONNAISE        "/>
    <x v="1"/>
    <n v="27.358000000000001"/>
    <n v="5"/>
    <n v="2.0615542071799999"/>
    <n v="12500"/>
    <x v="6"/>
  </r>
  <r>
    <s v="RV   "/>
    <s v="RESTAURANT LE BISTROT DU PORT "/>
    <x v="1"/>
    <n v="18.58625"/>
    <n v="16"/>
    <n v="0.85463043917000003"/>
    <n v="12510"/>
    <x v="6"/>
  </r>
  <r>
    <s v="G    "/>
    <s v="SARL BALDY                    "/>
    <x v="1"/>
    <n v="48.532499999999999"/>
    <n v="4"/>
    <n v="0.35625611702999999"/>
    <n v="12540"/>
    <x v="6"/>
  </r>
  <r>
    <s v="G    "/>
    <s v="EHPAD MUR DE BARREZ           "/>
    <x v="1"/>
    <n v="18.002500000000001"/>
    <n v="4"/>
    <n v="0.93209276489000004"/>
    <n v="12600"/>
    <x v="6"/>
  </r>
  <r>
    <s v="G    "/>
    <s v="BIE GALY PIERRE 12 NAUCELLE   "/>
    <x v="1"/>
    <n v="5.3"/>
    <n v="1"/>
    <n v="3.06981132075"/>
    <n v="12800"/>
    <x v="6"/>
  </r>
  <r>
    <s v="G    "/>
    <s v="VENTES AU COMPTANT PE         "/>
    <x v="1"/>
    <n v="6.88"/>
    <n v="1"/>
    <n v="4.9854651162800003"/>
    <n v="12850"/>
    <x v="6"/>
  </r>
  <r>
    <s v="RTD  "/>
    <s v="CASINO CG846 ONET LE CHAT EDI "/>
    <x v="1"/>
    <n v="104.3804348"/>
    <n v="23"/>
    <n v="0.16999979172999999"/>
    <n v="12850"/>
    <x v="6"/>
  </r>
  <r>
    <s v="MDU  "/>
    <s v="HALLES DE L AVEYRON HERBLAY   "/>
    <x v="1"/>
    <n v="685.34725100000003"/>
    <n v="67"/>
    <n v="6.6384575099999996E-2"/>
    <n v="12850"/>
    <x v="6"/>
  </r>
  <r>
    <s v="RA   "/>
    <s v="MARRA RAPHAEL MARSEILLE 13    "/>
    <x v="1"/>
    <n v="92.249555599999994"/>
    <n v="45"/>
    <n v="0.29113033968000002"/>
    <n v="13000"/>
    <x v="7"/>
  </r>
  <r>
    <s v="RA   "/>
    <s v="SARL OUJDA 13 MIRAMAS         "/>
    <x v="1"/>
    <n v="120.9556"/>
    <n v="25"/>
    <n v="0.26216793599999999"/>
    <n v="13000"/>
    <x v="7"/>
  </r>
  <r>
    <s v="RA   "/>
    <s v="LA GAZELLE D OR MARSEILLE     "/>
    <x v="1"/>
    <n v="127.175"/>
    <n v="8"/>
    <n v="0.24157558481999999"/>
    <n v="13000"/>
    <x v="7"/>
  </r>
  <r>
    <s v="RA   "/>
    <s v="CASINO CG854 MARSEIL V LIV DIR"/>
    <x v="1"/>
    <n v="176.9"/>
    <n v="1"/>
    <n v="0.22109666478000001"/>
    <n v="13000"/>
    <x v="7"/>
  </r>
  <r>
    <s v="RA   "/>
    <s v="MARSEILLE MEAT COMPAGNY       "/>
    <x v="1"/>
    <n v="360.95549019999999"/>
    <n v="51"/>
    <n v="0.22045964062000001"/>
    <n v="13000"/>
    <x v="7"/>
  </r>
  <r>
    <s v="RA   "/>
    <s v="NOOR MARSEILLE                "/>
    <x v="1"/>
    <n v="393.30272730000002"/>
    <n v="11"/>
    <n v="0.21788975876"/>
    <n v="13000"/>
    <x v="7"/>
  </r>
  <r>
    <s v="RA   "/>
    <s v="CMVI MARSEILLE                "/>
    <x v="1"/>
    <n v="452.48730769999997"/>
    <n v="26"/>
    <n v="0.21754872852000001"/>
    <n v="13000"/>
    <x v="7"/>
  </r>
  <r>
    <s v="RA   "/>
    <s v="LK ALIMENTATION MARSEILLE     "/>
    <x v="1"/>
    <n v="110.4696"/>
    <n v="25"/>
    <n v="0.26139933520000003"/>
    <n v="13001"/>
    <x v="7"/>
  </r>
  <r>
    <s v="RA   "/>
    <s v="BIE PROVENCALE DU COQ D OR    "/>
    <x v="1"/>
    <n v="113.0366667"/>
    <n v="3"/>
    <n v="0.23800831588999999"/>
    <n v="13001"/>
    <x v="7"/>
  </r>
  <r>
    <s v="RA   "/>
    <s v="BIE NOOR MARSEILLE            "/>
    <x v="1"/>
    <n v="578.77125000000001"/>
    <n v="24"/>
    <n v="0.21704940999"/>
    <n v="13001"/>
    <x v="7"/>
  </r>
  <r>
    <s v="RA   "/>
    <s v="ASSAADA MARSEILLE SAADA       "/>
    <x v="1"/>
    <n v="144.6670968"/>
    <n v="31"/>
    <n v="0.22642708064"/>
    <n v="13003"/>
    <x v="7"/>
  </r>
  <r>
    <s v="RA   "/>
    <s v="MORONIE VIANDES MARSEILLE     "/>
    <x v="1"/>
    <n v="971.20620689999998"/>
    <n v="29"/>
    <n v="0.21659560916000001"/>
    <n v="13003"/>
    <x v="7"/>
  </r>
  <r>
    <s v="RA   "/>
    <s v="BIE MERLIN BERNARD 13 MARSEILL"/>
    <x v="1"/>
    <n v="23.914285700000001"/>
    <n v="41"/>
    <n v="1.0834528076500001"/>
    <n v="13005"/>
    <x v="7"/>
  </r>
  <r>
    <s v="G    "/>
    <s v="RESTAURANT AXIS 13006 MARSEILL"/>
    <x v="1"/>
    <n v="16.41"/>
    <n v="3"/>
    <n v="1.8366849482000001"/>
    <n v="13006"/>
    <x v="7"/>
  </r>
  <r>
    <s v="G    "/>
    <s v="URBAN KITCHEN MARSEILLE       "/>
    <x v="1"/>
    <n v="20.54"/>
    <n v="5"/>
    <n v="1.4849074975700001"/>
    <n v="13006"/>
    <x v="7"/>
  </r>
  <r>
    <s v="RA   "/>
    <s v="REST LE BOUCHER MARSEILLE     "/>
    <x v="1"/>
    <n v="107.3609091"/>
    <n v="32"/>
    <n v="0.27658788962000003"/>
    <n v="13009"/>
    <x v="7"/>
  </r>
  <r>
    <s v="RA   "/>
    <s v="BIE MAROUX MARSEILLE          "/>
    <x v="1"/>
    <n v="42.0403333"/>
    <n v="29"/>
    <n v="0.61631290585999998"/>
    <n v="13012"/>
    <x v="7"/>
  </r>
  <r>
    <s v="RA   "/>
    <s v="AMALE MARSEILLE 13            "/>
    <x v="1"/>
    <n v="886.02243239999996"/>
    <n v="37"/>
    <n v="0.21643317553999999"/>
    <n v="13013"/>
    <x v="7"/>
  </r>
  <r>
    <s v="TM   "/>
    <s v="DEDE VIANDES                  "/>
    <x v="1"/>
    <n v="496.2"/>
    <n v="49"/>
    <n v="0.1028687113"/>
    <n v="13014"/>
    <x v="7"/>
  </r>
  <r>
    <s v="RA   "/>
    <s v="DEDE VIANDES                  "/>
    <x v="1"/>
    <n v="612.476"/>
    <n v="5"/>
    <n v="0.22082530581000001"/>
    <n v="13014"/>
    <x v="7"/>
  </r>
  <r>
    <s v="RA   "/>
    <s v="ABATTOIRS DE PROVENCE MARSEILL"/>
    <x v="1"/>
    <n v="411.23"/>
    <n v="2"/>
    <n v="0.21776621355"/>
    <n v="13015"/>
    <x v="7"/>
  </r>
  <r>
    <s v="RA   "/>
    <s v="PHOCEENNE DES VIANDES HALLAL  "/>
    <x v="1"/>
    <n v="420.6625641"/>
    <n v="78"/>
    <n v="0.21906827080999999"/>
    <n v="13015"/>
    <x v="7"/>
  </r>
  <r>
    <s v="TI   "/>
    <s v="VERCELLI FORMIGLIANA 921      "/>
    <x v="1"/>
    <n v="1061.6555556000001"/>
    <n v="18"/>
    <n v="0.24741504358999999"/>
    <n v="13030"/>
    <x v="7"/>
  </r>
  <r>
    <s v="RA   "/>
    <s v="BIE CHEZ NIHAL AIX EN PROVENCE"/>
    <x v="1"/>
    <n v="48.533124999999998"/>
    <n v="16"/>
    <n v="0.53517185427000002"/>
    <n v="13090"/>
    <x v="7"/>
  </r>
  <r>
    <s v="RA   "/>
    <s v="MANSOUR BENSAID AIX EN PROVENC"/>
    <x v="1"/>
    <n v="66.873333299999999"/>
    <n v="3"/>
    <n v="0.38113348618999998"/>
    <n v="13090"/>
    <x v="7"/>
  </r>
  <r>
    <s v="RA   "/>
    <s v="MADINA BOUCHERIE              "/>
    <x v="1"/>
    <n v="629.00421879999999"/>
    <n v="63"/>
    <n v="0.21768971641000001"/>
    <n v="13090"/>
    <x v="7"/>
  </r>
  <r>
    <s v="RA   "/>
    <s v="AIX TRAITS DE SAVEURS AIX     "/>
    <x v="1"/>
    <n v="206.4745455"/>
    <n v="44"/>
    <n v="0.22684647458000001"/>
    <n v="13100"/>
    <x v="7"/>
  </r>
  <r>
    <s v="RA   "/>
    <s v="BIE ST JEAN PORT DE BOUC      "/>
    <x v="1"/>
    <n v="108.59714289999999"/>
    <n v="7"/>
    <n v="0.25073009023999998"/>
    <n v="13110"/>
    <x v="7"/>
  </r>
  <r>
    <s v="RA   "/>
    <s v="BIE ADELIN M RODRIGUES 13     "/>
    <x v="1"/>
    <n v="194.73"/>
    <n v="2"/>
    <n v="0.22055410054999999"/>
    <n v="13130"/>
    <x v="7"/>
  </r>
  <r>
    <s v="RA   "/>
    <s v="BIE CHARCUTERIE YADINE MIRAMAS"/>
    <x v="1"/>
    <n v="129.8357895"/>
    <n v="19"/>
    <n v="0.25364671164000002"/>
    <n v="13140"/>
    <x v="7"/>
  </r>
  <r>
    <s v="RA   "/>
    <s v="BIE SOUSS MIRAMAS OURIKA      "/>
    <x v="1"/>
    <n v="214.04338240000001"/>
    <n v="68"/>
    <n v="0.22291722059999999"/>
    <n v="13140"/>
    <x v="7"/>
  </r>
  <r>
    <s v="RA   "/>
    <s v="NOCOR SARL                    "/>
    <x v="1"/>
    <n v="180.15387100000001"/>
    <n v="31"/>
    <n v="0.22768654752"/>
    <n v="13150"/>
    <x v="7"/>
  </r>
  <r>
    <s v="RA   "/>
    <s v="BIE BARRIOL ARLES 13          "/>
    <x v="1"/>
    <n v="260.54000000000002"/>
    <n v="5"/>
    <n v="0.21922468718999999"/>
    <n v="13200"/>
    <x v="7"/>
  </r>
  <r>
    <s v="RV   "/>
    <s v="L AMARINE ST REMY DE PROVENCE "/>
    <x v="1"/>
    <n v="17.676666699999998"/>
    <n v="6"/>
    <n v="0.88987365642000005"/>
    <n v="13210"/>
    <x v="7"/>
  </r>
  <r>
    <s v="RV   "/>
    <s v="HOTEL IMAGE ST REMY DE PROVENC"/>
    <x v="1"/>
    <n v="68.760000000000005"/>
    <n v="1"/>
    <n v="0.31486329261000001"/>
    <n v="13210"/>
    <x v="7"/>
  </r>
  <r>
    <s v="G    "/>
    <s v="STE HOTELIERE DE VALRUGUES ST "/>
    <x v="1"/>
    <n v="79.953333299999997"/>
    <n v="3"/>
    <n v="0.41149003584999999"/>
    <n v="13210"/>
    <x v="7"/>
  </r>
  <r>
    <s v="RA   "/>
    <s v="FRANCK BIE SALON DE PROVENCE  "/>
    <x v="1"/>
    <n v="58.15"/>
    <n v="2"/>
    <n v="0.44557179708"/>
    <n v="13300"/>
    <x v="7"/>
  </r>
  <r>
    <s v="RA   "/>
    <s v="BIE LES 2 FRERES 13 SALON DE P"/>
    <x v="1"/>
    <n v="85.821428600000004"/>
    <n v="49"/>
    <n v="0.31567088758"/>
    <n v="13300"/>
    <x v="7"/>
  </r>
  <r>
    <s v="RA   "/>
    <s v="BIE ESSALAM SALON DE PROVENCE "/>
    <x v="1"/>
    <n v="104.60425530000001"/>
    <n v="47"/>
    <n v="0.27260536164999999"/>
    <n v="13300"/>
    <x v="7"/>
  </r>
  <r>
    <s v="RA   "/>
    <s v="BIE DHIF 13 SALON DE PROVENCE "/>
    <x v="1"/>
    <n v="188.4033962"/>
    <n v="53"/>
    <n v="0.22600131392"/>
    <n v="13300"/>
    <x v="7"/>
  </r>
  <r>
    <s v="RA   "/>
    <s v="AMD BOUCHERIE COQUIERES AUBAGN"/>
    <x v="1"/>
    <n v="209.7"/>
    <n v="1"/>
    <n v="0.22015736766999999"/>
    <n v="13400"/>
    <x v="7"/>
  </r>
  <r>
    <s v="RA   "/>
    <s v="COMPTOIR BIE LES COQUIERES AUB"/>
    <x v="1"/>
    <n v="245.4"/>
    <n v="1"/>
    <n v="0.21947432762999999"/>
    <n v="13400"/>
    <x v="7"/>
  </r>
  <r>
    <s v="RA   "/>
    <s v="CARREFOUR EXPRESS MARTIGUES   "/>
    <x v="1"/>
    <n v="99.060434799999996"/>
    <n v="23"/>
    <n v="0.26521096037000003"/>
    <n v="13500"/>
    <x v="7"/>
  </r>
  <r>
    <s v="RA   "/>
    <s v="BIE LE LIMOUSIN MARTIGUES     "/>
    <x v="1"/>
    <n v="164.90447370000001"/>
    <n v="38"/>
    <n v="0.23417640515999999"/>
    <n v="13500"/>
    <x v="7"/>
  </r>
  <r>
    <s v="RA   "/>
    <s v="OUBDIL MARIGNANE              "/>
    <x v="1"/>
    <n v="255.1101515"/>
    <n v="66"/>
    <n v="0.22240410708"/>
    <n v="13700"/>
    <x v="7"/>
  </r>
  <r>
    <s v="TI   "/>
    <s v="CARNI BOTALLA MONGRANDO       "/>
    <x v="1"/>
    <n v="1145.9000000000001"/>
    <n v="1"/>
    <n v="0.24791517584"/>
    <n v="13888"/>
    <x v="7"/>
  </r>
  <r>
    <s v="TI   "/>
    <s v="TIMOSSI SAVIGNO               "/>
    <x v="1"/>
    <n v="1244.2"/>
    <n v="1"/>
    <n v="0.24766757755999999"/>
    <n v="16010"/>
    <x v="8"/>
  </r>
  <r>
    <s v="TI   "/>
    <s v="GESTIGULLIO Y SRL RAPALLO     "/>
    <x v="1"/>
    <n v="2070.2640000000001"/>
    <n v="20"/>
    <n v="0.24617964181999999"/>
    <n v="16035"/>
    <x v="8"/>
  </r>
  <r>
    <s v="TI   "/>
    <s v="CARBONE GIACOMO FRANCO ECSAS  "/>
    <x v="1"/>
    <n v="531.34368419999998"/>
    <n v="19"/>
    <n v="0.29992788887999999"/>
    <n v="16143"/>
    <x v="8"/>
  </r>
  <r>
    <s v="P    "/>
    <s v="NEREVIA                       "/>
    <x v="1"/>
    <n v="9424.27"/>
    <n v="2"/>
    <n v="7.4276309999999998E-2"/>
    <n v="17510"/>
    <x v="9"/>
  </r>
  <r>
    <s v="RA   "/>
    <s v="METRO LES PENNES MIRABEAU 18  "/>
    <x v="1"/>
    <n v="96.2985714"/>
    <n v="7"/>
    <n v="0.2747422451"/>
    <n v="18000"/>
    <x v="10"/>
  </r>
  <r>
    <s v="TI   "/>
    <s v="2L SRL ARMA DI TAGGIA         "/>
    <x v="1"/>
    <n v="868.91666669999995"/>
    <n v="6"/>
    <n v="0.25063162942"/>
    <n v="18011"/>
    <x v="10"/>
  </r>
  <r>
    <s v="MD   "/>
    <s v="SARL EXO PRODUITS 19 BRIVE    "/>
    <x v="1"/>
    <n v="81.735576899999998"/>
    <n v="51"/>
    <n v="0.20996929591999999"/>
    <n v="19000"/>
    <x v="11"/>
  </r>
  <r>
    <s v="MDU  "/>
    <s v="ROYAL VOLAILLE PARIS 19       "/>
    <x v="1"/>
    <n v="931.33970590000001"/>
    <n v="40"/>
    <n v="7.5318319120000005E-2"/>
    <n v="19000"/>
    <x v="11"/>
  </r>
  <r>
    <s v="TI   "/>
    <s v="VIGNALE GIORGIO SRL           "/>
    <x v="1"/>
    <n v="672.26187500000003"/>
    <n v="16"/>
    <n v="0.29204876448"/>
    <n v="19035"/>
    <x v="11"/>
  </r>
  <r>
    <s v="MD   "/>
    <s v="AL BARAKA BRIVE LA GAILLARDE  "/>
    <x v="1"/>
    <n v="91.194999999999993"/>
    <n v="12"/>
    <n v="0.20601092896000001"/>
    <n v="19100"/>
    <x v="11"/>
  </r>
  <r>
    <s v="MD   "/>
    <s v="VIANDES DE CORREZE BRIVE      "/>
    <x v="1"/>
    <n v="111.23375"/>
    <n v="16"/>
    <n v="0.19985503500999999"/>
    <n v="19240"/>
    <x v="11"/>
  </r>
  <r>
    <s v="RA   "/>
    <s v="BIE AZHOUR MOHAMED AJACCIO    "/>
    <x v="1"/>
    <n v="122.1"/>
    <n v="23"/>
    <n v="0.23154613111"/>
    <n v="20090"/>
    <x v="12"/>
  </r>
  <r>
    <s v="RA   "/>
    <s v="ALBA ALIMENTATION BIE ARTISANA"/>
    <x v="1"/>
    <n v="240.75444440000001"/>
    <n v="9"/>
    <n v="0.21955011792000001"/>
    <n v="20213"/>
    <x v="12"/>
  </r>
  <r>
    <s v="RA   "/>
    <s v="SODIFAL SA BASTIA             "/>
    <x v="1"/>
    <n v="81.016666700000002"/>
    <n v="3"/>
    <n v="0.31981073853000003"/>
    <n v="20600"/>
    <x v="12"/>
  </r>
  <r>
    <s v="RA   "/>
    <s v="SODIGAV BASTIA                "/>
    <x v="1"/>
    <n v="177.02850000000001"/>
    <n v="20"/>
    <n v="0.23911686536000001"/>
    <n v="20600"/>
    <x v="12"/>
  </r>
  <r>
    <s v="RA   "/>
    <s v="SUPER SOUK FURIANI            "/>
    <x v="1"/>
    <n v="243.7894737"/>
    <n v="18"/>
    <n v="0.21949460275999999"/>
    <n v="20600"/>
    <x v="12"/>
  </r>
  <r>
    <s v="TI   "/>
    <s v="MOLTENI CARNI CANNAGO LENTAT  "/>
    <x v="1"/>
    <n v="1758.9"/>
    <n v="1"/>
    <n v="0.24479845357999999"/>
    <n v="20823"/>
    <x v="12"/>
  </r>
  <r>
    <s v="TI   "/>
    <s v="MONTRASIO CARNI MERONE 934    "/>
    <x v="1"/>
    <n v="452.7"/>
    <n v="4"/>
    <n v="0.33233929755000002"/>
    <n v="22046"/>
    <x v="13"/>
  </r>
  <r>
    <s v="TI   "/>
    <s v="UBOLDI CARNI FENEGRO          "/>
    <x v="1"/>
    <n v="806.6"/>
    <n v="8"/>
    <n v="0.25832165881000002"/>
    <n v="22070"/>
    <x v="13"/>
  </r>
  <r>
    <s v="TI   "/>
    <s v="BUZZI S.P.A. GIUSSANO ITALIE  "/>
    <x v="1"/>
    <n v="2089.83"/>
    <n v="20"/>
    <n v="0.2461670088"/>
    <n v="22078"/>
    <x v="13"/>
  </r>
  <r>
    <s v="MD   "/>
    <s v="METRO PERIGUEUX 24            "/>
    <x v="1"/>
    <n v="36.905000000000001"/>
    <n v="2"/>
    <n v="0.28073431784000002"/>
    <n v="24000"/>
    <x v="14"/>
  </r>
  <r>
    <s v="MD   "/>
    <s v="SA BELOT FRERES               "/>
    <x v="1"/>
    <n v="193.69565220000001"/>
    <n v="23"/>
    <n v="0.36669113355999999"/>
    <n v="25000"/>
    <x v="15"/>
  </r>
  <r>
    <s v="TA   "/>
    <s v="ROUDAUT LECLERC ST PAUL ROMANS"/>
    <x v="1"/>
    <n v="72.050526300000001"/>
    <n v="8"/>
    <n v="0.11325970079"/>
    <n v="26750"/>
    <x v="16"/>
  </r>
  <r>
    <s v="TI   "/>
    <s v="NUOVA SCHINO DOMODOSSOLA 916  "/>
    <x v="1"/>
    <n v="826.02857140000003"/>
    <n v="7"/>
    <n v="0.2472688596"/>
    <n v="28845"/>
    <x v="17"/>
  </r>
  <r>
    <s v="G    "/>
    <s v="METRO VAUX EN VELIN 30        "/>
    <x v="1"/>
    <n v="13.03"/>
    <n v="1"/>
    <n v="2.6323867996899999"/>
    <n v="30000"/>
    <x v="18"/>
  </r>
  <r>
    <s v="G    "/>
    <s v="NIMES PASSION FROID SOD       "/>
    <x v="1"/>
    <n v="77.5"/>
    <n v="1"/>
    <n v="0.42451612903000002"/>
    <n v="30000"/>
    <x v="18"/>
  </r>
  <r>
    <s v="RV   "/>
    <s v="NIMES PASSION FROID SOD       "/>
    <x v="1"/>
    <n v="107.6533333"/>
    <n v="3"/>
    <n v="0.19209809264"/>
    <n v="30000"/>
    <x v="18"/>
  </r>
  <r>
    <s v="RA   "/>
    <s v="L OASIS 30 NIMES              "/>
    <x v="1"/>
    <n v="118.3623077"/>
    <n v="13"/>
    <n v="0.25503441193999998"/>
    <n v="30000"/>
    <x v="18"/>
  </r>
  <r>
    <s v="RA   "/>
    <s v="BIE YOUSRA NIMES              "/>
    <x v="1"/>
    <n v="125.6925"/>
    <n v="8"/>
    <n v="0.24810847903"/>
    <n v="30000"/>
    <x v="18"/>
  </r>
  <r>
    <s v="RA   "/>
    <s v="BIE DES JONQUILLES NIMES 30   "/>
    <x v="1"/>
    <n v="183.2"/>
    <n v="4"/>
    <n v="0.22088700873"/>
    <n v="30000"/>
    <x v="18"/>
  </r>
  <r>
    <s v="RA   "/>
    <s v="EURO DISCOUNT FRAIS ALES 30   "/>
    <x v="1"/>
    <n v="395.84326090000002"/>
    <n v="46"/>
    <n v="0.21787345561999999"/>
    <n v="30000"/>
    <x v="18"/>
  </r>
  <r>
    <s v="RA   "/>
    <s v="BIE 3.6.9. NIMES AISSA        "/>
    <x v="1"/>
    <n v="672.42558140000006"/>
    <n v="43"/>
    <n v="0.21924663575"/>
    <n v="30000"/>
    <x v="18"/>
  </r>
  <r>
    <s v="RA   "/>
    <s v="GUY PIERRE  ALES              "/>
    <x v="1"/>
    <n v="77.580689699999994"/>
    <n v="58"/>
    <n v="0.33367172776999998"/>
    <n v="30100"/>
    <x v="18"/>
  </r>
  <r>
    <s v="RA   "/>
    <s v="CIRTA ALES                    "/>
    <x v="1"/>
    <n v="148.84916670000001"/>
    <n v="48"/>
    <n v="0.24185305034999999"/>
    <n v="30100"/>
    <x v="18"/>
  </r>
  <r>
    <s v="RA   "/>
    <s v="HYPER U ALES                  "/>
    <x v="1"/>
    <n v="171.1394737"/>
    <n v="38"/>
    <n v="0.22272323282000001"/>
    <n v="30100"/>
    <x v="18"/>
  </r>
  <r>
    <s v="G    "/>
    <s v="LE MAZET ANDUZE REST LE CABANO"/>
    <x v="1"/>
    <n v="15.295999999999999"/>
    <n v="5"/>
    <n v="1.97044979079"/>
    <n v="30140"/>
    <x v="18"/>
  </r>
  <r>
    <s v="RA   "/>
    <s v="SARL DU SUD BEAUCAIRE         "/>
    <x v="1"/>
    <n v="198.07065220000001"/>
    <n v="46"/>
    <n v="0.22482315818000001"/>
    <n v="30300"/>
    <x v="18"/>
  </r>
  <r>
    <s v="G    "/>
    <s v="SU (130) VERGEZE PLAT         "/>
    <x v="1"/>
    <n v="46.316666699999999"/>
    <n v="3"/>
    <n v="0.68960057575"/>
    <n v="30310"/>
    <x v="18"/>
  </r>
  <r>
    <s v="RA   "/>
    <s v="CLAUZIER CONNAUX              "/>
    <x v="1"/>
    <n v="67.068620699999997"/>
    <n v="28"/>
    <n v="0.38529504007999998"/>
    <n v="30330"/>
    <x v="18"/>
  </r>
  <r>
    <s v="RA   "/>
    <s v="GOUT ET SAVEURS ST GILLES     "/>
    <x v="1"/>
    <n v="57.897804899999997"/>
    <n v="41"/>
    <n v="0.45518638813000001"/>
    <n v="30800"/>
    <x v="18"/>
  </r>
  <r>
    <s v="RV   "/>
    <s v="AGLOTIZI 30900 NIMES          "/>
    <x v="1"/>
    <n v="199.74"/>
    <n v="1"/>
    <n v="0.12346049865"/>
    <n v="30900"/>
    <x v="18"/>
  </r>
  <r>
    <s v="RA   "/>
    <s v="BIE ABDERRAHMAN NIMES         "/>
    <x v="1"/>
    <n v="225.70724139999999"/>
    <n v="29"/>
    <n v="0.21983054031999999"/>
    <n v="30900"/>
    <x v="18"/>
  </r>
  <r>
    <s v="RA   "/>
    <s v="AGLOTIZI 30900 NIMES          "/>
    <x v="1"/>
    <n v="275.28806450000002"/>
    <n v="31"/>
    <n v="0.2190117566"/>
    <n v="30900"/>
    <x v="18"/>
  </r>
  <r>
    <s v="RA   "/>
    <s v="LOHOUM NIMES                  "/>
    <x v="1"/>
    <n v="1156.1053333"/>
    <n v="15"/>
    <n v="0.21616092650999999"/>
    <n v="30900"/>
    <x v="18"/>
  </r>
  <r>
    <s v="G    "/>
    <s v="LA TABLE D EMILE TOULOUSE     "/>
    <x v="1"/>
    <n v="9.5500000000000007"/>
    <n v="3"/>
    <n v="3.1560209424100001"/>
    <n v="31000"/>
    <x v="19"/>
  </r>
  <r>
    <s v="RTD  "/>
    <s v="CASINO CS902 BONNEFOY EDI     "/>
    <x v="1"/>
    <n v="14.326000000000001"/>
    <n v="4"/>
    <n v="0.16999860393999999"/>
    <n v="31000"/>
    <x v="19"/>
  </r>
  <r>
    <s v="RTD  "/>
    <s v="CASINO CS909 TLSE L UNION EDI "/>
    <x v="1"/>
    <n v="14.53"/>
    <n v="10"/>
    <n v="0.16999311769"/>
    <n v="31000"/>
    <x v="19"/>
  </r>
  <r>
    <s v="RTD  "/>
    <s v="CASINO CS919 LA CEPIERE EDI   "/>
    <x v="1"/>
    <n v="14.99"/>
    <n v="4"/>
    <n v="0.17001334223"/>
    <n v="31000"/>
    <x v="19"/>
  </r>
  <r>
    <s v="G    "/>
    <s v="CASINO CS902 BONNEFOY EDI     "/>
    <x v="1"/>
    <n v="15.0525"/>
    <n v="8"/>
    <n v="0.33898854011000001"/>
    <n v="31000"/>
    <x v="19"/>
  </r>
  <r>
    <s v="M42"/>
    <s v="SPAR MONTIGNAC TL761 EDI      "/>
    <x v="1"/>
    <n v="17.746666699999999"/>
    <n v="2"/>
    <n v="1.3076821938400001"/>
    <n v="31000"/>
    <x v="19"/>
  </r>
  <r>
    <s v="G    "/>
    <s v="SPAR MONTIGNAC TL761 EDI      "/>
    <x v="1"/>
    <n v="19.5"/>
    <n v="2"/>
    <n v="2.1369230769200001"/>
    <n v="31000"/>
    <x v="19"/>
  </r>
  <r>
    <s v="MM   "/>
    <s v="SPAR MONTIGNAC TL761 EDI      "/>
    <x v="1"/>
    <n v="19.66"/>
    <n v="2"/>
    <n v="1.1935401831100001"/>
    <n v="31000"/>
    <x v="19"/>
  </r>
  <r>
    <s v="RT   "/>
    <s v="TRIPERIE GASCONNE TOULOUSE    "/>
    <x v="1"/>
    <n v="24.243181799999999"/>
    <n v="32"/>
    <n v="0.17"/>
    <n v="31000"/>
    <x v="19"/>
  </r>
  <r>
    <s v="MM   "/>
    <s v="CASINO CS551 SALAISE/SANNE EDI"/>
    <x v="1"/>
    <n v="35.071538500000003"/>
    <n v="13"/>
    <n v="0.34155462461000002"/>
    <n v="31000"/>
    <x v="19"/>
  </r>
  <r>
    <s v="RTD  "/>
    <s v="CASINO CS907 DEMOISELLE EDI   "/>
    <x v="1"/>
    <n v="43.147058800000003"/>
    <n v="17"/>
    <n v="0.17000272664999999"/>
    <n v="31000"/>
    <x v="19"/>
  </r>
  <r>
    <s v="M42"/>
    <s v="CASINO CS551 SALAISE/SANNE EDI"/>
    <x v="1"/>
    <n v="49.136481500000002"/>
    <n v="37"/>
    <n v="0.61543433444999995"/>
    <n v="31000"/>
    <x v="19"/>
  </r>
  <r>
    <s v="G    "/>
    <s v="REST LA TERRISSE TOULOUSE     "/>
    <x v="1"/>
    <n v="50.627499999999998"/>
    <n v="4"/>
    <n v="0.63088242555999996"/>
    <n v="31000"/>
    <x v="19"/>
  </r>
  <r>
    <s v="RT   "/>
    <s v="QUICK D ORIENT TOULOUSE       "/>
    <x v="1"/>
    <n v="75.758333300000004"/>
    <n v="12"/>
    <n v="0.17000109998999999"/>
    <n v="31000"/>
    <x v="19"/>
  </r>
  <r>
    <s v="RT   "/>
    <s v="BADECHE CHERIF TOULOUSE       "/>
    <x v="1"/>
    <n v="95.900689700000001"/>
    <n v="29"/>
    <n v="0.17000057531000001"/>
    <n v="31000"/>
    <x v="19"/>
  </r>
  <r>
    <s v="RT   "/>
    <s v="LE PALMIER PELISSIER TOULOUSE "/>
    <x v="1"/>
    <n v="97.266666700000002"/>
    <n v="9"/>
    <n v="0.16999885767"/>
    <n v="31000"/>
    <x v="19"/>
  </r>
  <r>
    <s v="RT   "/>
    <s v="LA MAISON DE L AGNEAU VICTOR H"/>
    <x v="1"/>
    <n v="118.786"/>
    <n v="20"/>
    <n v="0.16999983162999999"/>
    <n v="31000"/>
    <x v="19"/>
  </r>
  <r>
    <s v="RT   "/>
    <s v="L ORANAISE TOULOUSE           "/>
    <x v="1"/>
    <n v="135.9727273"/>
    <n v="33"/>
    <n v="0.17"/>
    <n v="31000"/>
    <x v="19"/>
  </r>
  <r>
    <s v="RT   "/>
    <s v="MARSSA TOULOUSE MINIMES       "/>
    <x v="1"/>
    <n v="152.84809519999999"/>
    <n v="21"/>
    <n v="0.17000009346"/>
    <n v="31000"/>
    <x v="19"/>
  </r>
  <r>
    <s v="RTD  "/>
    <s v="TRIPERIE JULIEN CARMAUX       "/>
    <x v="1"/>
    <n v="168.53062499999999"/>
    <n v="16"/>
    <n v="0.16999988873999999"/>
    <n v="31000"/>
    <x v="19"/>
  </r>
  <r>
    <s v="RT   "/>
    <s v="SARL PROXIM HALAL             "/>
    <x v="1"/>
    <n v="179.71333329999999"/>
    <n v="45"/>
    <n v="0.17"/>
    <n v="31000"/>
    <x v="19"/>
  </r>
  <r>
    <s v="RT   "/>
    <s v="VILLE YOAN TOULOUSE           "/>
    <x v="1"/>
    <n v="211.45"/>
    <n v="2"/>
    <n v="0.17"/>
    <n v="31000"/>
    <x v="19"/>
  </r>
  <r>
    <s v="RT   "/>
    <s v="BIE LE CRYSTAL TOULOUSE       "/>
    <x v="1"/>
    <n v="211.61090909999999"/>
    <n v="51"/>
    <n v="0.17"/>
    <n v="31000"/>
    <x v="19"/>
  </r>
  <r>
    <s v="RT   "/>
    <s v="SARL EL BAHIA TOULOUSE        "/>
    <x v="1"/>
    <n v="214.10499999999999"/>
    <n v="30"/>
    <n v="0.17000007784000001"/>
    <n v="31000"/>
    <x v="19"/>
  </r>
  <r>
    <s v="RT   "/>
    <s v="SARL LA VEDETTE 31            "/>
    <x v="1"/>
    <n v="252.12470590000001"/>
    <n v="51"/>
    <n v="0.17000006222"/>
    <n v="31000"/>
    <x v="19"/>
  </r>
  <r>
    <s v="RA   "/>
    <s v="MARCHE PROVENCAL TOULON MUSSE "/>
    <x v="1"/>
    <n v="300.15014489999999"/>
    <n v="69"/>
    <n v="0.21966774117000001"/>
    <n v="31000"/>
    <x v="19"/>
  </r>
  <r>
    <s v="RT   "/>
    <s v="EL BAHIA RUE DU LOT TLSE 31   "/>
    <x v="1"/>
    <n v="323.0342857"/>
    <n v="34"/>
    <n v="0.17"/>
    <n v="31000"/>
    <x v="19"/>
  </r>
  <r>
    <s v="RT   "/>
    <s v="BOUCHERIE EL RAHMA            "/>
    <x v="1"/>
    <n v="352.85957450000001"/>
    <n v="47"/>
    <n v="0.17"/>
    <n v="31000"/>
    <x v="19"/>
  </r>
  <r>
    <s v="RT   "/>
    <s v="DISCOUNT HALAL TOULOUSE       "/>
    <x v="1"/>
    <n v="439.8"/>
    <n v="1"/>
    <n v="0.17"/>
    <n v="31000"/>
    <x v="19"/>
  </r>
  <r>
    <s v="RT   "/>
    <s v="QUICK BURGER                  "/>
    <x v="1"/>
    <n v="37.966250000000002"/>
    <n v="8"/>
    <n v="0.16999967076"/>
    <n v="31100"/>
    <x v="19"/>
  </r>
  <r>
    <s v="RT   "/>
    <s v="SARL EL FETH                  "/>
    <x v="1"/>
    <n v="68.666666699999993"/>
    <n v="38"/>
    <n v="0.17"/>
    <n v="31100"/>
    <x v="19"/>
  </r>
  <r>
    <s v="RT   "/>
    <s v="SARL IKRAM HALAL              "/>
    <x v="1"/>
    <n v="82.128205100000002"/>
    <n v="38"/>
    <n v="0.17"/>
    <n v="31100"/>
    <x v="19"/>
  </r>
  <r>
    <s v="RT   "/>
    <s v="MARSSA                        "/>
    <x v="1"/>
    <n v="117.8544828"/>
    <n v="29"/>
    <n v="0.17000011704000001"/>
    <n v="31100"/>
    <x v="19"/>
  </r>
  <r>
    <s v="RT   "/>
    <s v="ZIANE TOULOUSE                "/>
    <x v="1"/>
    <n v="207.8486111"/>
    <n v="36"/>
    <n v="0.17000006681999999"/>
    <n v="31100"/>
    <x v="19"/>
  </r>
  <r>
    <s v="RTD  "/>
    <s v="AGROVIA SARL                  "/>
    <x v="1"/>
    <n v="25.266153800000001"/>
    <n v="12"/>
    <n v="0.16999939110000001"/>
    <n v="31130"/>
    <x v="19"/>
  </r>
  <r>
    <s v="RTD  "/>
    <s v="G CASINO CG845 FENOUILLET EDI "/>
    <x v="1"/>
    <n v="28.208823500000001"/>
    <n v="17"/>
    <n v="0.16999895736000001"/>
    <n v="31150"/>
    <x v="19"/>
  </r>
  <r>
    <s v="RTD  "/>
    <s v="SOVIVO BRUGUIERES STEACK HACHE"/>
    <x v="1"/>
    <n v="2321.9055555999998"/>
    <n v="18"/>
    <n v="0.17"/>
    <n v="31150"/>
    <x v="19"/>
  </r>
  <r>
    <s v="RTD  "/>
    <s v="BETEILLE PIERRE REVEL         "/>
    <x v="1"/>
    <n v="133"/>
    <n v="2"/>
    <n v="0.17"/>
    <n v="31250"/>
    <x v="19"/>
  </r>
  <r>
    <s v="RT   "/>
    <s v="CARREFOUR CHRISDIS CUGNAUX    "/>
    <x v="1"/>
    <n v="173.21799999999999"/>
    <n v="5"/>
    <n v="0.17000080822999999"/>
    <n v="31270"/>
    <x v="19"/>
  </r>
  <r>
    <s v="RT   "/>
    <s v="NORBERT TRIPERIE TOULOUSE     "/>
    <x v="1"/>
    <n v="62.317073200000003"/>
    <n v="41"/>
    <n v="0.17"/>
    <n v="31300"/>
    <x v="19"/>
  </r>
  <r>
    <s v="RT   "/>
    <s v="SULTAN TOULOUSE KIKIH         "/>
    <x v="1"/>
    <n v="122.9558974"/>
    <n v="39"/>
    <n v="0.17000029194999999"/>
    <n v="31300"/>
    <x v="19"/>
  </r>
  <r>
    <s v="RT   "/>
    <s v="BOUCHERIE DES FONTAINES       "/>
    <x v="1"/>
    <n v="250.42722219999999"/>
    <n v="54"/>
    <n v="0.17000030319000001"/>
    <n v="31300"/>
    <x v="19"/>
  </r>
  <r>
    <s v="RT   "/>
    <s v="YAZID TOULOUSE EL MORCHID     "/>
    <x v="1"/>
    <n v="460.01086959999998"/>
    <n v="46"/>
    <n v="0.17"/>
    <n v="31400"/>
    <x v="19"/>
  </r>
  <r>
    <s v="RT   "/>
    <s v="HAMZA MURET                   "/>
    <x v="1"/>
    <n v="156.78399999999999"/>
    <n v="5"/>
    <n v="0.16999948974000001"/>
    <n v="31600"/>
    <x v="19"/>
  </r>
  <r>
    <s v="RT   "/>
    <s v="BIE OCCITANE CORNEBARRIEU     "/>
    <x v="1"/>
    <n v="174.315"/>
    <n v="20"/>
    <n v="0.17"/>
    <n v="31700"/>
    <x v="19"/>
  </r>
  <r>
    <s v="RTD  "/>
    <s v="SODEXO AIRBUS TRAINING R02    "/>
    <x v="1"/>
    <n v="40.020000000000003"/>
    <n v="1"/>
    <n v="0.169990005"/>
    <n v="31707"/>
    <x v="19"/>
  </r>
  <r>
    <s v="RTD  "/>
    <s v="SODEXO AIRBUS HEAD BLAGNAC R01"/>
    <x v="1"/>
    <n v="100.57"/>
    <n v="1"/>
    <n v="0.17000099432999999"/>
    <n v="31707"/>
    <x v="19"/>
  </r>
  <r>
    <s v="RTD  "/>
    <s v="VM COURTAGE SAMATAN           "/>
    <x v="1"/>
    <n v="66.366666699999996"/>
    <n v="3"/>
    <n v="0.17"/>
    <n v="31880"/>
    <x v="19"/>
  </r>
  <r>
    <s v="RA   "/>
    <s v="METRO NICE 32                 "/>
    <x v="1"/>
    <n v="63.621000000000002"/>
    <n v="10"/>
    <n v="0.40725546596000001"/>
    <n v="32000"/>
    <x v="20"/>
  </r>
  <r>
    <s v="G    "/>
    <s v="FARBOS GIMONT                 "/>
    <x v="1"/>
    <n v="68.117999999999995"/>
    <n v="5"/>
    <n v="0.47452949294000002"/>
    <n v="32000"/>
    <x v="20"/>
  </r>
  <r>
    <s v="RA   "/>
    <s v="FARBOS GIMONT                 "/>
    <x v="1"/>
    <n v="143.93199999999999"/>
    <n v="5"/>
    <n v="0.23626017841999999"/>
    <n v="32000"/>
    <x v="20"/>
  </r>
  <r>
    <s v="RTD  "/>
    <s v="FARBOS GIMONT                 "/>
    <x v="1"/>
    <n v="147.54538460000001"/>
    <n v="13"/>
    <n v="0.16999932224"/>
    <n v="32000"/>
    <x v="20"/>
  </r>
  <r>
    <s v="TT   "/>
    <s v="FARBOS GIMONT                 "/>
    <x v="1"/>
    <n v="155"/>
    <n v="3"/>
    <n v="0.21683870967999999"/>
    <n v="32000"/>
    <x v="20"/>
  </r>
  <r>
    <s v="G    "/>
    <s v="CASINO CS914 TALENCE EDI      "/>
    <x v="1"/>
    <n v="19.350000000000001"/>
    <n v="8"/>
    <n v="2.15348837209"/>
    <n v="33000"/>
    <x v="21"/>
  </r>
  <r>
    <s v="G    "/>
    <s v="CASINO CS796 ARCACHON MER EDI "/>
    <x v="1"/>
    <n v="19.84"/>
    <n v="5"/>
    <n v="0.33902217742000001"/>
    <n v="33120"/>
    <x v="21"/>
  </r>
  <r>
    <s v="RTD  "/>
    <s v="CASINO CS796 ARCACHON MER EDI "/>
    <x v="1"/>
    <n v="24.1325"/>
    <n v="4"/>
    <n v="0.17000932353000001"/>
    <n v="33120"/>
    <x v="21"/>
  </r>
  <r>
    <s v="M42"/>
    <s v="CS595 MONTUSSAN edi           "/>
    <x v="1"/>
    <n v="18.0727273"/>
    <n v="7"/>
    <n v="1.4059859154900001"/>
    <n v="33450"/>
    <x v="21"/>
  </r>
  <r>
    <s v="MM   "/>
    <s v="CS595 MONTUSSAN edi           "/>
    <x v="1"/>
    <n v="18.38"/>
    <n v="4"/>
    <n v="0.42245647443000001"/>
    <n v="33450"/>
    <x v="21"/>
  </r>
  <r>
    <s v="G    "/>
    <s v="CS595 MONTUSSAN edi           "/>
    <x v="1"/>
    <n v="18.984000000000002"/>
    <n v="5"/>
    <n v="2.1950063211100002"/>
    <n v="33450"/>
    <x v="21"/>
  </r>
  <r>
    <s v="G    "/>
    <s v="CS755 IZON edi                "/>
    <x v="1"/>
    <n v="19.373999999999999"/>
    <n v="5"/>
    <n v="2.15082068752"/>
    <n v="33450"/>
    <x v="21"/>
  </r>
  <r>
    <s v="MM   "/>
    <s v="CS755 IZON edi                "/>
    <x v="1"/>
    <n v="19.437142900000001"/>
    <n v="6"/>
    <n v="0.76991033367999995"/>
    <n v="33450"/>
    <x v="21"/>
  </r>
  <r>
    <s v="M42"/>
    <s v="CS755 IZON edi                "/>
    <x v="1"/>
    <n v="23.523499999999999"/>
    <n v="12"/>
    <n v="1.11144174974"/>
    <n v="33450"/>
    <x v="21"/>
  </r>
  <r>
    <s v="G    "/>
    <s v="SPECIALITES DE SALAISONS BRACH"/>
    <x v="1"/>
    <n v="73.584999999999994"/>
    <n v="4"/>
    <n v="0.52616022286999997"/>
    <n v="33480"/>
    <x v="21"/>
  </r>
  <r>
    <s v="RTD  "/>
    <s v="CASINO CS697  ANDERNOS EDI    "/>
    <x v="1"/>
    <n v="19.378"/>
    <n v="14"/>
    <n v="0.16999690371000001"/>
    <n v="33510"/>
    <x v="21"/>
  </r>
  <r>
    <s v="MM   "/>
    <s v="CASINO CS748  MERIGNAC EDI    "/>
    <x v="1"/>
    <n v="19.136666699999999"/>
    <n v="5"/>
    <n v="0.84052429890000002"/>
    <n v="33689"/>
    <x v="21"/>
  </r>
  <r>
    <s v="G    "/>
    <s v="CASINO CS748  MERIGNAC EDI    "/>
    <x v="1"/>
    <n v="22.696000000000002"/>
    <n v="5"/>
    <n v="1.8360063447299999"/>
    <n v="33689"/>
    <x v="21"/>
  </r>
  <r>
    <s v="M42"/>
    <s v="CASINO CS748  MERIGNAC EDI    "/>
    <x v="1"/>
    <n v="25.030625000000001"/>
    <n v="11"/>
    <n v="0.98738045894000004"/>
    <n v="33689"/>
    <x v="21"/>
  </r>
  <r>
    <s v="M42"/>
    <s v="CASINO CS759 MERIGNAC Y EDI   "/>
    <x v="1"/>
    <n v="72.954999999999998"/>
    <n v="2"/>
    <n v="0.58149201562999997"/>
    <n v="33689"/>
    <x v="21"/>
  </r>
  <r>
    <s v="M    "/>
    <s v="DOUNIA HALLAL BORDEAUX        "/>
    <x v="1"/>
    <n v="134.5651685"/>
    <n v="28"/>
    <n v="0.19525922029000001"/>
    <n v="33800"/>
    <x v="21"/>
  </r>
  <r>
    <s v="RA   "/>
    <s v="DOUNIA NIMES                  "/>
    <x v="1"/>
    <n v="174.0166667"/>
    <n v="18"/>
    <n v="0.22387861953999999"/>
    <n v="33800"/>
    <x v="21"/>
  </r>
  <r>
    <s v="RTD  "/>
    <s v="CASINO CS812  MONTPELLIER EDI "/>
    <x v="1"/>
    <n v="19.464117600000002"/>
    <n v="16"/>
    <n v="0.17000211551"/>
    <n v="34000"/>
    <x v="22"/>
  </r>
  <r>
    <s v="RV   "/>
    <s v="BRASSERIE LE THEATRE 34 MONTPE"/>
    <x v="1"/>
    <n v="20.438867900000002"/>
    <n v="53"/>
    <n v="0.76961209681999998"/>
    <n v="34000"/>
    <x v="22"/>
  </r>
  <r>
    <s v="RV   "/>
    <s v="AU BONHEUR DES TARTES MONTPELL"/>
    <x v="1"/>
    <n v="20.832000000000001"/>
    <n v="20"/>
    <n v="0.75508832564999995"/>
    <n v="34000"/>
    <x v="22"/>
  </r>
  <r>
    <s v="RV   "/>
    <s v="RESTAURANT O COING            "/>
    <x v="1"/>
    <n v="20.843529400000001"/>
    <n v="17"/>
    <n v="0.75467065529999999"/>
    <n v="34000"/>
    <x v="22"/>
  </r>
  <r>
    <s v="RTD  "/>
    <s v="CASINO CS961 MONTPELLIER EDI  "/>
    <x v="1"/>
    <n v="22.46875"/>
    <n v="16"/>
    <n v="0.17"/>
    <n v="34000"/>
    <x v="22"/>
  </r>
  <r>
    <s v="RV   "/>
    <s v="HOTEL MERCURE MONTPELLIER     "/>
    <x v="1"/>
    <n v="22.517812500000002"/>
    <n v="32"/>
    <n v="0.70884161150000002"/>
    <n v="34000"/>
    <x v="22"/>
  </r>
  <r>
    <s v="RV   "/>
    <s v="RESTAURANT L ORACLE 34 MONTPEL"/>
    <x v="1"/>
    <n v="23.913333300000001"/>
    <n v="18"/>
    <n v="0.66926865533000002"/>
    <n v="34000"/>
    <x v="22"/>
  </r>
  <r>
    <s v="RV   "/>
    <s v="LE PETIT JARDIN MONTPELLIER   "/>
    <x v="1"/>
    <n v="25.623999999999999"/>
    <n v="25"/>
    <n v="0.62930065564000004"/>
    <n v="34000"/>
    <x v="22"/>
  </r>
  <r>
    <s v="RV   "/>
    <s v="COMPTOIR DE L ARC MONTPEL 34  "/>
    <x v="1"/>
    <n v="25.7545"/>
    <n v="19"/>
    <n v="0.62035760741000001"/>
    <n v="34000"/>
    <x v="22"/>
  </r>
  <r>
    <s v="G    "/>
    <s v="CASINO CG815 CLERMONT F EDI   "/>
    <x v="1"/>
    <n v="31.24"/>
    <n v="8"/>
    <n v="1.34391005122"/>
    <n v="34000"/>
    <x v="22"/>
  </r>
  <r>
    <s v="MM   "/>
    <s v="CASINO CG815 CLERMONT F EDI   "/>
    <x v="1"/>
    <n v="31.404285699999999"/>
    <n v="6"/>
    <n v="0.59089751171000005"/>
    <n v="34000"/>
    <x v="22"/>
  </r>
  <r>
    <s v="G    "/>
    <s v="REST CAFE DES NEGOCIANTS 34   "/>
    <x v="1"/>
    <n v="35.49"/>
    <n v="1"/>
    <n v="0.73795435334000004"/>
    <n v="34000"/>
    <x v="22"/>
  </r>
  <r>
    <s v="RA   "/>
    <s v="CG810 MONTPEL AUTOedi         "/>
    <x v="1"/>
    <n v="35.533888900000001"/>
    <n v="18"/>
    <n v="0.72916308375000005"/>
    <n v="34000"/>
    <x v="22"/>
  </r>
  <r>
    <s v="G    "/>
    <s v="RESTAURANT L ORACLE 34 MONTPEL"/>
    <x v="1"/>
    <n v="36.729999999999997"/>
    <n v="1"/>
    <n v="0.71304111080999999"/>
    <n v="34000"/>
    <x v="22"/>
  </r>
  <r>
    <s v="RV   "/>
    <s v="BRASSERIE SCHOLLER MONTPELLIER"/>
    <x v="1"/>
    <n v="39.479310300000002"/>
    <n v="58"/>
    <n v="0.4400427985"/>
    <n v="34000"/>
    <x v="22"/>
  </r>
  <r>
    <s v="RV   "/>
    <s v="DUFFAU FREDERIC MONTPELLIER   "/>
    <x v="1"/>
    <n v="39.666082500000002"/>
    <n v="95"/>
    <n v="0.43210980322999998"/>
    <n v="34000"/>
    <x v="22"/>
  </r>
  <r>
    <s v="M42"/>
    <s v="CASINO CG815 CLERMONT F EDI   "/>
    <x v="1"/>
    <n v="39.9870588"/>
    <n v="12"/>
    <n v="0.67410779958"/>
    <n v="34000"/>
    <x v="22"/>
  </r>
  <r>
    <s v="RV   "/>
    <s v="REST CAFE DES NEGOCIANTS 34   "/>
    <x v="1"/>
    <n v="43.004166699999999"/>
    <n v="12"/>
    <n v="0.40786745470000002"/>
    <n v="34000"/>
    <x v="22"/>
  </r>
  <r>
    <s v="G    "/>
    <s v="LES 3 BRASSEURS 34 MONTPELLIER"/>
    <x v="1"/>
    <n v="60.813333299999996"/>
    <n v="3"/>
    <n v="0.46091865819"/>
    <n v="34000"/>
    <x v="22"/>
  </r>
  <r>
    <s v="RA   "/>
    <s v="L ENCAS 34 LUNEL              "/>
    <x v="1"/>
    <n v="143.96777779999999"/>
    <n v="18"/>
    <n v="0.23819064450999999"/>
    <n v="34000"/>
    <x v="22"/>
  </r>
  <r>
    <s v="RA   "/>
    <s v="BIE ST CLEMENT 34 MONTPELLIER "/>
    <x v="1"/>
    <n v="159.7363636"/>
    <n v="11"/>
    <n v="0.22491491661999999"/>
    <n v="34000"/>
    <x v="22"/>
  </r>
  <r>
    <s v="RA   "/>
    <s v="BAB ELMANSOUR MONTPELLIER     "/>
    <x v="1"/>
    <n v="161.2223529"/>
    <n v="17"/>
    <n v="0.23854559651000001"/>
    <n v="34000"/>
    <x v="22"/>
  </r>
  <r>
    <s v="RA   "/>
    <s v="BIE TAHA MONTPELLIER          "/>
    <x v="1"/>
    <n v="240.41153850000001"/>
    <n v="26"/>
    <n v="0.22164813541"/>
    <n v="34000"/>
    <x v="22"/>
  </r>
  <r>
    <s v="RA   "/>
    <s v="DESTOCK MARKET 34 MONTPELLIER "/>
    <x v="1"/>
    <n v="338.69749999999999"/>
    <n v="40"/>
    <n v="0.21883221754000001"/>
    <n v="34000"/>
    <x v="22"/>
  </r>
  <r>
    <s v="RA   "/>
    <s v="ERRACHIDIA MONTPELLIER 34     "/>
    <x v="1"/>
    <n v="387.07888889999998"/>
    <n v="18"/>
    <n v="0.21890685504999999"/>
    <n v="34000"/>
    <x v="22"/>
  </r>
  <r>
    <s v="RV   "/>
    <s v="BRIAULT MONTPELLIER           "/>
    <x v="1"/>
    <n v="42.336666700000002"/>
    <n v="3"/>
    <n v="0.44185497205000002"/>
    <n v="34070"/>
    <x v="22"/>
  </r>
  <r>
    <s v="RA   "/>
    <s v="BOUCHERIE LE ROYAUME MONTPEL  "/>
    <x v="1"/>
    <n v="237.68333329999999"/>
    <n v="33"/>
    <n v="0.22261348497"/>
    <n v="34070"/>
    <x v="22"/>
  </r>
  <r>
    <s v="RA   "/>
    <s v="BIE LE ROYAUME TIJANI SETE    "/>
    <x v="1"/>
    <n v="364.56041670000002"/>
    <n v="24"/>
    <n v="0.22110224071000001"/>
    <n v="34070"/>
    <x v="22"/>
  </r>
  <r>
    <s v="RA   "/>
    <s v="BOUCHERIE ALIM ATLAS          "/>
    <x v="1"/>
    <n v="144.46789469999999"/>
    <n v="37"/>
    <n v="0.22385705802"/>
    <n v="34080"/>
    <x v="22"/>
  </r>
  <r>
    <s v="RA   "/>
    <s v="LES DELICES D OR MONTPELLIER  "/>
    <x v="1"/>
    <n v="229.00454550000001"/>
    <n v="44"/>
    <n v="0.22972023183000001"/>
    <n v="34080"/>
    <x v="22"/>
  </r>
  <r>
    <s v="RA   "/>
    <s v="BOUCHERIE MEDITERRANEENNE     "/>
    <x v="1"/>
    <n v="260.948125"/>
    <n v="16"/>
    <n v="0.22879762980000001"/>
    <n v="34080"/>
    <x v="22"/>
  </r>
  <r>
    <s v="RV   "/>
    <s v="LE FONTENOY MONTPELLIER       "/>
    <x v="1"/>
    <n v="24.513750000000002"/>
    <n v="8"/>
    <n v="0.65427566161999995"/>
    <n v="34090"/>
    <x v="22"/>
  </r>
  <r>
    <s v="RV   "/>
    <s v="REST LE MARIE-JEAN SETE       "/>
    <x v="1"/>
    <n v="9.3744999999999994"/>
    <n v="20"/>
    <n v="1.6779561576599999"/>
    <n v="34200"/>
    <x v="22"/>
  </r>
  <r>
    <s v="RV   "/>
    <s v="LA OLA                        "/>
    <x v="1"/>
    <n v="13.77"/>
    <n v="1"/>
    <n v="1.1423384168499999"/>
    <n v="34200"/>
    <x v="22"/>
  </r>
  <r>
    <s v="RV   "/>
    <s v="CC SETE SODEXO SFR 101015     "/>
    <x v="1"/>
    <n v="122.3116667"/>
    <n v="6"/>
    <n v="0.18520991455999999"/>
    <n v="34200"/>
    <x v="22"/>
  </r>
  <r>
    <s v="RA   "/>
    <s v="EL BARAKA SETE                "/>
    <x v="1"/>
    <n v="184.36805559999999"/>
    <n v="36"/>
    <n v="0.2262408377"/>
    <n v="34200"/>
    <x v="22"/>
  </r>
  <r>
    <s v="RA   "/>
    <s v="SARL O.T.M                    "/>
    <x v="1"/>
    <n v="315.20578949999998"/>
    <n v="38"/>
    <n v="0.22383263399"/>
    <n v="34200"/>
    <x v="22"/>
  </r>
  <r>
    <s v="RV   "/>
    <s v="REST L ENVIE GRAU D AGDE CLEMS"/>
    <x v="1"/>
    <n v="9.6"/>
    <n v="8"/>
    <n v="1.6385416666699999"/>
    <n v="34300"/>
    <x v="22"/>
  </r>
  <r>
    <s v="RV   "/>
    <s v="MAIRIE AGDE 34                "/>
    <x v="1"/>
    <n v="32.5"/>
    <n v="2"/>
    <n v="0.48399999999999999"/>
    <n v="34300"/>
    <x v="22"/>
  </r>
  <r>
    <s v="RA   "/>
    <s v="BONIFACE LOUIS SARL           "/>
    <x v="1"/>
    <n v="87.86"/>
    <n v="1"/>
    <n v="0.29490097882999999"/>
    <n v="34400"/>
    <x v="22"/>
  </r>
  <r>
    <s v="RA   "/>
    <s v="INTERMARCHE LUNEL             "/>
    <x v="1"/>
    <n v="197.4109091"/>
    <n v="11"/>
    <n v="0.22048979517"/>
    <n v="34400"/>
    <x v="22"/>
  </r>
  <r>
    <s v="RA   "/>
    <s v="CARREFOUR SALAMERO SERIGNAN   "/>
    <x v="1"/>
    <n v="488.05399999999997"/>
    <n v="5"/>
    <n v="0.21738045380000001"/>
    <n v="34410"/>
    <x v="22"/>
  </r>
  <r>
    <s v="RTD  "/>
    <s v="CS309 BEZIERS RIQUET edi      "/>
    <x v="1"/>
    <n v="27.4128571"/>
    <n v="6"/>
    <n v="0.17000364792"/>
    <n v="34500"/>
    <x v="22"/>
  </r>
  <r>
    <s v="RTD  "/>
    <s v="CASINO CS953 BEZIERS EDI      "/>
    <x v="1"/>
    <n v="28.231428600000001"/>
    <n v="20"/>
    <n v="0.17000303613000001"/>
    <n v="34500"/>
    <x v="22"/>
  </r>
  <r>
    <s v="RTD  "/>
    <s v="GEANT CASINO CG811 BEZIERS EDI"/>
    <x v="1"/>
    <n v="99.87"/>
    <n v="7"/>
    <n v="0.16999957087000001"/>
    <n v="34500"/>
    <x v="22"/>
  </r>
  <r>
    <s v="RA   "/>
    <s v="CARREFOUR SOHERDIS BEDARIEUX  "/>
    <x v="1"/>
    <n v="138.8233333"/>
    <n v="3"/>
    <n v="0.23645880856000001"/>
    <n v="34600"/>
    <x v="22"/>
  </r>
  <r>
    <s v="G    "/>
    <s v="RESTAURANT DE LA PAIX         "/>
    <x v="1"/>
    <n v="17.23"/>
    <n v="3"/>
    <n v="1.52002321532"/>
    <n v="34700"/>
    <x v="22"/>
  </r>
  <r>
    <s v="RA   "/>
    <s v="bieO - BIE SAINT ANTOINE      "/>
    <x v="1"/>
    <n v="58.310400000000001"/>
    <n v="25"/>
    <n v="0.44126810997999999"/>
    <n v="34830"/>
    <x v="22"/>
  </r>
  <r>
    <s v="RV   "/>
    <s v="REST LE KALYSTA LE CRES       "/>
    <x v="1"/>
    <n v="21.13"/>
    <n v="4"/>
    <n v="0.74443918599000003"/>
    <n v="34920"/>
    <x v="22"/>
  </r>
  <r>
    <s v="RV   "/>
    <s v="REST LE BRASERO LATTES        "/>
    <x v="1"/>
    <n v="59.96"/>
    <n v="1"/>
    <n v="0.30353569046000001"/>
    <n v="34970"/>
    <x v="22"/>
  </r>
  <r>
    <s v="MDU  "/>
    <s v="BOUCHERIE VASSEUR             "/>
    <x v="1"/>
    <n v="54.032857100000001"/>
    <n v="18"/>
    <n v="0.12124956302000001"/>
    <n v="37130"/>
    <x v="23"/>
  </r>
  <r>
    <s v="RTD  "/>
    <s v="CASINO CS906 LES MINIMES EDI  "/>
    <x v="1"/>
    <n v="18.5242857"/>
    <n v="7"/>
    <n v="0.17001619496000001"/>
    <n v="37520"/>
    <x v="23"/>
  </r>
  <r>
    <s v="MA   "/>
    <s v="BIGARD ST EGREVE              "/>
    <x v="1"/>
    <n v="111.4086667"/>
    <n v="26"/>
    <n v="0.23489435291999999"/>
    <n v="38120"/>
    <x v="24"/>
  </r>
  <r>
    <s v="TA   "/>
    <s v="BIGARD ST EGREVE              "/>
    <x v="1"/>
    <n v="119.92023260000001"/>
    <n v="30"/>
    <n v="0.21028105892000001"/>
    <n v="38120"/>
    <x v="24"/>
  </r>
  <r>
    <s v="MA   "/>
    <s v="LECLERC CHATTE ISERE LR       "/>
    <x v="1"/>
    <n v="43.15"/>
    <n v="2"/>
    <n v="0.32179026650999998"/>
    <n v="38160"/>
    <x v="24"/>
  </r>
  <r>
    <s v="TA   "/>
    <s v="LECLERC CHATTE ISERE LR       "/>
    <x v="1"/>
    <n v="44.559384600000001"/>
    <n v="41"/>
    <n v="0.21090575756999999"/>
    <n v="38160"/>
    <x v="24"/>
  </r>
  <r>
    <s v="TA   "/>
    <s v="ISERE DISTRIBUTION SA         "/>
    <x v="1"/>
    <n v="83.723333299999993"/>
    <n v="56"/>
    <n v="0.19453374208999999"/>
    <n v="38160"/>
    <x v="24"/>
  </r>
  <r>
    <s v="MA   "/>
    <s v="ISERE DISTRIBUTION SA         "/>
    <x v="1"/>
    <n v="91.284999999999997"/>
    <n v="2"/>
    <n v="0.28170564715000002"/>
    <n v="38160"/>
    <x v="24"/>
  </r>
  <r>
    <s v="MA   "/>
    <s v="ALPAGEL GRENOBLE ECHIROLLES   "/>
    <x v="1"/>
    <n v="33.375882400000002"/>
    <n v="13"/>
    <n v="0.45656779287999999"/>
    <n v="38433"/>
    <x v="24"/>
  </r>
  <r>
    <s v="TA   "/>
    <s v="DOISNEAU PERE ET FILS LE BOURG"/>
    <x v="1"/>
    <n v="35.884999999999998"/>
    <n v="2"/>
    <n v="0.29274069945999998"/>
    <n v="38520"/>
    <x v="24"/>
  </r>
  <r>
    <s v="MA   "/>
    <s v="GAYET PONTCHARRA              "/>
    <x v="1"/>
    <n v="126.83210529999999"/>
    <n v="8"/>
    <n v="0.21078383773000001"/>
    <n v="38530"/>
    <x v="24"/>
  </r>
  <r>
    <s v="TA   "/>
    <s v="GAYET PONTCHARRA              "/>
    <x v="1"/>
    <n v="186.55375000000001"/>
    <n v="20"/>
    <n v="0.16430474683999999"/>
    <n v="38530"/>
    <x v="24"/>
  </r>
  <r>
    <s v="TA   "/>
    <s v="BF VIANDES FONTAINE           "/>
    <x v="1"/>
    <n v="83.67"/>
    <n v="6"/>
    <n v="0.24062729429999999"/>
    <n v="38600"/>
    <x v="24"/>
  </r>
  <r>
    <s v="MA   "/>
    <s v="BF VIANDES FONTAINE           "/>
    <x v="1"/>
    <n v="127.7305405"/>
    <n v="18"/>
    <n v="0.28018950366000001"/>
    <n v="38600"/>
    <x v="24"/>
  </r>
  <r>
    <s v="TI   "/>
    <s v="SCHEUCHER-ITALIA SRL BOLOGNA  "/>
    <x v="1"/>
    <n v="1163.3352632000001"/>
    <n v="19"/>
    <n v="0.24722379438"/>
    <n v="40054"/>
    <x v="25"/>
  </r>
  <r>
    <s v="M42"/>
    <s v="G CASINO CG830 MONTHIEU EDI   "/>
    <x v="1"/>
    <n v="19.940000000000001"/>
    <n v="1"/>
    <n v="1.60050150451"/>
    <n v="42000"/>
    <x v="26"/>
  </r>
  <r>
    <s v="RTD  "/>
    <s v="CASINO CS219 GRABELS EDI      "/>
    <x v="1"/>
    <n v="14.193"/>
    <n v="10"/>
    <n v="0.16999929543"/>
    <n v="42008"/>
    <x v="26"/>
  </r>
  <r>
    <s v="RTD  "/>
    <s v="CASINO CS588 FLEURANCE EDI    "/>
    <x v="1"/>
    <n v="14.3233333"/>
    <n v="3"/>
    <n v="0.17002559925999999"/>
    <n v="42008"/>
    <x v="26"/>
  </r>
  <r>
    <s v="RTD  "/>
    <s v="CASINO CS590 MOISSAC EDI      "/>
    <x v="1"/>
    <n v="14.45"/>
    <n v="1"/>
    <n v="0.17003460208000001"/>
    <n v="42008"/>
    <x v="26"/>
  </r>
  <r>
    <s v="G    "/>
    <s v="CASINO CS588 FLEURANCE EDI    "/>
    <x v="1"/>
    <n v="14.556666699999999"/>
    <n v="3"/>
    <n v="0.33895122509999998"/>
    <n v="42008"/>
    <x v="26"/>
  </r>
  <r>
    <s v="RTD  "/>
    <s v="CASINO CS582 H SERRES TLSE EDI"/>
    <x v="1"/>
    <n v="14.67"/>
    <n v="2"/>
    <n v="0.17000681663"/>
    <n v="42008"/>
    <x v="26"/>
  </r>
  <r>
    <s v="M42"/>
    <s v="G CASINO CG334 ANDRE CUBZ EDI "/>
    <x v="1"/>
    <n v="15.244545499999999"/>
    <n v="8"/>
    <n v="1.3423459955899999"/>
    <n v="42008"/>
    <x v="26"/>
  </r>
  <r>
    <s v="G    "/>
    <s v="G CASINO CG334 ANDRE CUBZ EDI "/>
    <x v="1"/>
    <n v="15.7766667"/>
    <n v="3"/>
    <n v="2.6412423410099999"/>
    <n v="42008"/>
    <x v="26"/>
  </r>
  <r>
    <s v="MM   "/>
    <s v="G CASINO CG334 ANDRE CUBZ EDI "/>
    <x v="1"/>
    <n v="16.725000000000001"/>
    <n v="2"/>
    <n v="0.43931240657999998"/>
    <n v="42008"/>
    <x v="26"/>
  </r>
  <r>
    <s v="MM   "/>
    <s v="CASINO CG206 CHASSE/RHON EDI  "/>
    <x v="1"/>
    <n v="17.7854545"/>
    <n v="9"/>
    <n v="0.67887446330000001"/>
    <n v="42008"/>
    <x v="26"/>
  </r>
  <r>
    <s v="MM   "/>
    <s v="G CASINO CG311 LA RICAMARI EDI"/>
    <x v="1"/>
    <n v="18.2075"/>
    <n v="4"/>
    <n v="0.42387752299999998"/>
    <n v="42008"/>
    <x v="26"/>
  </r>
  <r>
    <s v="RTD  "/>
    <s v="G CASINO CG827 TARBES EDI     "/>
    <x v="1"/>
    <n v="18.989090900000001"/>
    <n v="21"/>
    <n v="0.16999952126000001"/>
    <n v="42008"/>
    <x v="26"/>
  </r>
  <r>
    <s v="M42  "/>
    <s v="CASINO CG206 CHASSE/RHON EDI  "/>
    <x v="1"/>
    <n v="20.040263199999998"/>
    <n v="21"/>
    <n v="1.17520123961"/>
    <n v="42008"/>
    <x v="26"/>
  </r>
  <r>
    <s v="M42"/>
    <s v="G CASINO CG311 LA RICAMARI EDI"/>
    <x v="1"/>
    <n v="20.0848485"/>
    <n v="23"/>
    <n v="1.1403168376599999"/>
    <n v="42008"/>
    <x v="26"/>
  </r>
  <r>
    <s v="RTD  "/>
    <s v="CS876 SALLELES D AUDE EDI     "/>
    <x v="1"/>
    <n v="20.352"/>
    <n v="5"/>
    <n v="0.16999803459000001"/>
    <n v="42008"/>
    <x v="26"/>
  </r>
  <r>
    <s v="G    "/>
    <s v="CS876 SALLELES D AUDE EDI     "/>
    <x v="1"/>
    <n v="22.281428600000002"/>
    <n v="7"/>
    <n v="1.35269603129"/>
    <n v="42008"/>
    <x v="26"/>
  </r>
  <r>
    <s v="RA   "/>
    <s v="CASINO CG316 MONTELIMAR EDI   "/>
    <x v="1"/>
    <n v="24.551428600000001"/>
    <n v="7"/>
    <n v="1.0553357383899999"/>
    <n v="42008"/>
    <x v="26"/>
  </r>
  <r>
    <s v="GS   "/>
    <s v="CS132 VILLENEUVE/YONNE edi    "/>
    <x v="1"/>
    <n v="27.033333299999999"/>
    <n v="23"/>
    <n v="0.36118372380000002"/>
    <n v="42008"/>
    <x v="26"/>
  </r>
  <r>
    <s v="MDU  "/>
    <s v="CASINO CS272 ST DIDIER LIV DIR"/>
    <x v="1"/>
    <n v="28.37"/>
    <n v="1"/>
    <n v="0.11299494771"/>
    <n v="42008"/>
    <x v="26"/>
  </r>
  <r>
    <s v="M42"/>
    <s v="CS132 VILLENEUVE/YONNE edi    "/>
    <x v="1"/>
    <n v="29.030666700000001"/>
    <n v="10"/>
    <n v="0.91363845128999999"/>
    <n v="42008"/>
    <x v="26"/>
  </r>
  <r>
    <s v="MM   "/>
    <s v="G CASINO CG880 VILLENAVE EDI  "/>
    <x v="1"/>
    <n v="30.01"/>
    <n v="5"/>
    <n v="0.64791736087999996"/>
    <n v="42008"/>
    <x v="26"/>
  </r>
  <r>
    <s v="RA   "/>
    <s v="CASINO CG738 MPT ODYSEUM EDI  "/>
    <x v="1"/>
    <n v="30.054285700000001"/>
    <n v="55"/>
    <n v="0.86210666413000003"/>
    <n v="42008"/>
    <x v="26"/>
  </r>
  <r>
    <s v="MM   "/>
    <s v="CS132 VILLENEUVE/YONNE edi    "/>
    <x v="1"/>
    <n v="31.355"/>
    <n v="2"/>
    <n v="0.35214479349"/>
    <n v="42008"/>
    <x v="26"/>
  </r>
  <r>
    <s v="M42"/>
    <s v="G CASINO CG880 VILLENAVE EDI  "/>
    <x v="1"/>
    <n v="35.447499999999998"/>
    <n v="10"/>
    <n v="0.87691480357999996"/>
    <n v="42008"/>
    <x v="26"/>
  </r>
  <r>
    <s v="G    "/>
    <s v="G CASINO CG880 VILLENAVE EDI  "/>
    <x v="1"/>
    <n v="47.145714300000002"/>
    <n v="7"/>
    <n v="0.91427792254999996"/>
    <n v="42008"/>
    <x v="26"/>
  </r>
  <r>
    <s v="RA   "/>
    <s v="CASINO CG222 NIME COSTIERE EDI"/>
    <x v="1"/>
    <n v="90.053214299999993"/>
    <n v="56"/>
    <n v="0.32217994122999999"/>
    <n v="42008"/>
    <x v="26"/>
  </r>
  <r>
    <s v="RA   "/>
    <s v="CS768 CASINO ST DIONIZY EDI   "/>
    <x v="1"/>
    <n v="136.28461540000001"/>
    <n v="52"/>
    <n v="0.23963424958999999"/>
    <n v="42008"/>
    <x v="26"/>
  </r>
  <r>
    <s v="RA   "/>
    <s v="CASINO CS219 GRABELS LIV DIR  "/>
    <x v="1"/>
    <n v="176.25"/>
    <n v="1"/>
    <n v="0.22114042552999999"/>
    <n v="42008"/>
    <x v="26"/>
  </r>
  <r>
    <s v="M    "/>
    <s v="G CASINO CG880 VILLENAVE LIV D"/>
    <x v="1"/>
    <n v="252.03333330000001"/>
    <n v="2"/>
    <n v="0.15087422299"/>
    <n v="42008"/>
    <x v="26"/>
  </r>
  <r>
    <s v="G    "/>
    <s v="CUISINE CENTRALE PESSAC       "/>
    <x v="1"/>
    <n v="730.98"/>
    <n v="2"/>
    <n v="0.34149497934"/>
    <n v="42008"/>
    <x v="26"/>
  </r>
  <r>
    <s v="GS   "/>
    <s v="CASINO CS530 BRIOUDE EDI      "/>
    <x v="1"/>
    <n v="18.284736800000001"/>
    <n v="13"/>
    <n v="0.29619181946000001"/>
    <n v="43100"/>
    <x v="27"/>
  </r>
  <r>
    <s v="M42"/>
    <s v="CASINO CS530 BRIOUDE EDI      "/>
    <x v="1"/>
    <n v="18.351111100000001"/>
    <n v="6"/>
    <n v="1.3044199564100001"/>
    <n v="43100"/>
    <x v="27"/>
  </r>
  <r>
    <s v="MM   "/>
    <s v="CASINO CS530 BRIOUDE EDI      "/>
    <x v="1"/>
    <n v="22.192499999999999"/>
    <n v="4"/>
    <n v="0.39318463445000001"/>
    <n v="43100"/>
    <x v="27"/>
  </r>
  <r>
    <s v="T    "/>
    <s v="SALAISON DE PRADELLES PRADELLE"/>
    <x v="1"/>
    <n v="158.2222222"/>
    <n v="8"/>
    <n v="7.6931179779999997E-2"/>
    <n v="43420"/>
    <x v="27"/>
  </r>
  <r>
    <s v="RA   "/>
    <s v="CASINO CG313 VALS PRES EDI    "/>
    <x v="1"/>
    <n v="13.59"/>
    <n v="1"/>
    <n v="1.9065489330400001"/>
    <n v="43750"/>
    <x v="27"/>
  </r>
  <r>
    <s v="G    "/>
    <s v="BOUCHERIE LEBEAU CHAPELLE 44  "/>
    <x v="1"/>
    <n v="87.67"/>
    <n v="4"/>
    <n v="0.56372761492000001"/>
    <n v="44000"/>
    <x v="66"/>
  </r>
  <r>
    <s v="G    "/>
    <s v="LE JARDIN DU PAVILLON ORLEANS "/>
    <x v="1"/>
    <n v="30.114999999999998"/>
    <n v="4"/>
    <n v="1.72397476341"/>
    <n v="45000"/>
    <x v="28"/>
  </r>
  <r>
    <s v="MDU  "/>
    <s v="SAFIR BAZAR 45 PITHIVIERS     "/>
    <x v="1"/>
    <n v="229.8"/>
    <n v="3"/>
    <n v="0.11636858138"/>
    <n v="45300"/>
    <x v="28"/>
  </r>
  <r>
    <s v="MO   "/>
    <s v="SAFIR BAZAR 45 PITHIVIERS     "/>
    <x v="1"/>
    <n v="404.19407410000002"/>
    <n v="19"/>
    <n v="0.33515784497000001"/>
    <n v="45300"/>
    <x v="28"/>
  </r>
  <r>
    <s v="MD   "/>
    <s v="DESTREL GRAMAT 46             "/>
    <x v="1"/>
    <n v="813.26666669999997"/>
    <n v="3"/>
    <n v="0.19998196572999999"/>
    <n v="46000"/>
    <x v="29"/>
  </r>
  <r>
    <s v="G    "/>
    <s v="FOYER ESTELLE DES CARMES FIGEA"/>
    <x v="1"/>
    <n v="19.647500000000001"/>
    <n v="4"/>
    <n v="1.87911948085"/>
    <n v="46100"/>
    <x v="29"/>
  </r>
  <r>
    <s v="G    "/>
    <s v="AUBERGE DE LAPARROT CORN      "/>
    <x v="1"/>
    <n v="22.396666700000001"/>
    <n v="3"/>
    <n v="1.6484595922"/>
    <n v="46100"/>
    <x v="29"/>
  </r>
  <r>
    <s v="MD   "/>
    <s v="ERIC PAYROT SAINT-CERE        "/>
    <x v="1"/>
    <n v="247.16666670000001"/>
    <n v="3"/>
    <n v="0.18443155764999999"/>
    <n v="46400"/>
    <x v="29"/>
  </r>
  <r>
    <s v="RTD  "/>
    <s v="CASINO CS594 VALENCE AGEN EDI "/>
    <x v="1"/>
    <n v="14.145"/>
    <n v="4"/>
    <n v="0.17000706964000001"/>
    <n v="47000"/>
    <x v="30"/>
  </r>
  <r>
    <s v="G    "/>
    <s v="CASINO CS594 VALENCE AGEN EDI "/>
    <x v="1"/>
    <n v="14.935"/>
    <n v="4"/>
    <n v="0.33913625711000001"/>
    <n v="47000"/>
    <x v="30"/>
  </r>
  <r>
    <s v="RTD  "/>
    <s v="CASINO CS592 PASSAGE AGEN EDI "/>
    <x v="1"/>
    <n v="20.213125000000002"/>
    <n v="15"/>
    <n v="0.16999783556"/>
    <n v="47000"/>
    <x v="30"/>
  </r>
  <r>
    <s v="RTD  "/>
    <s v="CASINO CS591 FUMEL EDI        "/>
    <x v="1"/>
    <n v="20.864999999999998"/>
    <n v="2"/>
    <n v="0.16999760363999999"/>
    <n v="47000"/>
    <x v="30"/>
  </r>
  <r>
    <s v="RTD  "/>
    <s v="CASINO CS842 AGEN EDI         "/>
    <x v="1"/>
    <n v="23.692499999999999"/>
    <n v="4"/>
    <n v="0.17001160705000001"/>
    <n v="47000"/>
    <x v="30"/>
  </r>
  <r>
    <s v="G    "/>
    <s v="CASINO CS591 FUMEL EDI        "/>
    <x v="1"/>
    <n v="24.46"/>
    <n v="4"/>
    <n v="0.33891046607000003"/>
    <n v="47000"/>
    <x v="30"/>
  </r>
  <r>
    <s v="G    "/>
    <s v="CASINO CS842 AGEN EDI         "/>
    <x v="1"/>
    <n v="40.1"/>
    <n v="2"/>
    <n v="0.33892768080000002"/>
    <n v="47000"/>
    <x v="30"/>
  </r>
  <r>
    <s v="TI   "/>
    <s v="ELLECARNI Y SRL               "/>
    <x v="1"/>
    <n v="693.58947369999999"/>
    <n v="19"/>
    <n v="0.26199147076000001"/>
    <n v="47035"/>
    <x v="30"/>
  </r>
  <r>
    <s v="RTD  "/>
    <s v="CASINO CS706 MONTFLANQUIN EDI "/>
    <x v="1"/>
    <n v="19.328888899999999"/>
    <n v="9"/>
    <n v="0.16999885031"/>
    <n v="47150"/>
    <x v="30"/>
  </r>
  <r>
    <s v="TI   "/>
    <s v="MARR RIMINI                   "/>
    <x v="1"/>
    <n v="969.68499999999995"/>
    <n v="19"/>
    <n v="0.24774632999000001"/>
    <n v="47900"/>
    <x v="30"/>
  </r>
  <r>
    <s v="MJ   "/>
    <s v="JA GASTRONOMIE ST BARTHELEMY D"/>
    <x v="1"/>
    <n v="151.45051280000001"/>
    <n v="76"/>
    <n v="0.24042782021"/>
    <n v="49124"/>
    <x v="31"/>
  </r>
  <r>
    <s v="TI   "/>
    <s v="SALUMIFICIO GERINI PONTASSIEVE"/>
    <x v="1"/>
    <n v="785.02499999999998"/>
    <n v="4"/>
    <n v="0.24821311423"/>
    <n v="50065"/>
    <x v="32"/>
  </r>
  <r>
    <s v="TI   "/>
    <s v="BORGO CARNI SRL BUGGIANO      "/>
    <x v="1"/>
    <n v="1356.05"/>
    <n v="8"/>
    <n v="0.24743335423000001"/>
    <n v="51011"/>
    <x v="67"/>
  </r>
  <r>
    <s v="TI   "/>
    <s v="VAL MAUL CAVRIGLIA ITALIE     "/>
    <x v="1"/>
    <n v="528.6"/>
    <n v="1"/>
    <n v="0.28461975027999997"/>
    <n v="52022"/>
    <x v="33"/>
  </r>
  <r>
    <s v="G    "/>
    <s v="PRO A PRO SODEGER CHATEAU GONT"/>
    <x v="1"/>
    <n v="915.02"/>
    <n v="1"/>
    <n v="0.38967454263000001"/>
    <n v="53204"/>
    <x v="34"/>
  </r>
  <r>
    <s v="M    "/>
    <s v="VALLANCE NANCY 54             "/>
    <x v="1"/>
    <n v="160.0586792"/>
    <n v="18"/>
    <n v="0.23493376838999999"/>
    <n v="54000"/>
    <x v="35"/>
  </r>
  <r>
    <s v="M    "/>
    <s v="VALLANCE ST MAX 54            "/>
    <x v="1"/>
    <n v="184.1565152"/>
    <n v="22"/>
    <n v="0.21897784576000001"/>
    <n v="54000"/>
    <x v="35"/>
  </r>
  <r>
    <s v="TI   "/>
    <s v="CARNI SPECIALI CUOR GHIVIZZANO"/>
    <x v="1"/>
    <n v="244.25"/>
    <n v="14"/>
    <n v="0.61387922211000001"/>
    <n v="55025"/>
    <x v="36"/>
  </r>
  <r>
    <s v="TI   "/>
    <s v="L ANTICA NORCINERIA Y GHIVIZZA"/>
    <x v="1"/>
    <n v="843.18529409999996"/>
    <n v="17"/>
    <n v="0.26097508398000002"/>
    <n v="55053"/>
    <x v="36"/>
  </r>
  <r>
    <s v="MJ   "/>
    <s v="METRO POITIERS 56             "/>
    <x v="1"/>
    <n v="32.43"/>
    <n v="1"/>
    <n v="0.14609929078"/>
    <n v="56000"/>
    <x v="37"/>
  </r>
  <r>
    <s v="TI   "/>
    <s v="VALDERA CARNI SRL             "/>
    <x v="1"/>
    <n v="586.81500000000005"/>
    <n v="20"/>
    <n v="0.27757163672000001"/>
    <n v="56035"/>
    <x v="37"/>
  </r>
  <r>
    <s v="TI   "/>
    <s v="GERIBA SRL MONTEMURLO         "/>
    <x v="1"/>
    <n v="382.92700000000002"/>
    <n v="20"/>
    <n v="0.40384185497000002"/>
    <n v="59013"/>
    <x v="38"/>
  </r>
  <r>
    <s v="TI   "/>
    <s v="GERIBA MONTEMURLO             "/>
    <x v="1"/>
    <n v="1125.687619"/>
    <n v="21"/>
    <n v="0.25301267711999997"/>
    <n v="59013"/>
    <x v="38"/>
  </r>
  <r>
    <s v="MU   "/>
    <s v="LESAGE ET FILS 59 CHEMY       "/>
    <x v="1"/>
    <n v="185.08226669999999"/>
    <n v="28"/>
    <n v="0.28075111823999999"/>
    <n v="59147"/>
    <x v="38"/>
  </r>
  <r>
    <s v="MU   "/>
    <s v="CATRICE BENOIT BOUSBECOUE 59  "/>
    <x v="1"/>
    <n v="33.624000000000002"/>
    <n v="9"/>
    <n v="1.8151796335999999"/>
    <n v="59166"/>
    <x v="38"/>
  </r>
  <r>
    <s v="G    "/>
    <s v="CODIFRAIS LONGUEUIL STE MARIE "/>
    <x v="1"/>
    <n v="237.4722222"/>
    <n v="9"/>
    <n v="0.51923546614000005"/>
    <n v="60126"/>
    <x v="39"/>
  </r>
  <r>
    <s v="MU   "/>
    <s v="BSNC BOULOGNE SUR MER         "/>
    <x v="1"/>
    <n v="356.21"/>
    <n v="1"/>
    <n v="0.17412668556999999"/>
    <n v="62200"/>
    <x v="68"/>
  </r>
  <r>
    <s v="G    "/>
    <s v="CASINO CS737 BEAUM LOMA LIVDIR"/>
    <x v="1"/>
    <n v="20.72"/>
    <n v="1"/>
    <n v="1.6081081081099999"/>
    <n v="63000"/>
    <x v="40"/>
  </r>
  <r>
    <s v="RTD  "/>
    <s v="CASINO CS737 BEAUMONT LOM EDI "/>
    <x v="1"/>
    <n v="20.745000000000001"/>
    <n v="2"/>
    <n v="0.16999276933999999"/>
    <n v="63000"/>
    <x v="40"/>
  </r>
  <r>
    <s v="G    "/>
    <s v="CASINO CS737 BEAUMONT LOM EDI "/>
    <x v="1"/>
    <n v="28.254285700000001"/>
    <n v="7"/>
    <n v="0.33905854990000001"/>
    <n v="63000"/>
    <x v="40"/>
  </r>
  <r>
    <s v="MM   "/>
    <s v="BIE DRIFEL CLERMONT FERRAND   "/>
    <x v="1"/>
    <n v="42.0129412"/>
    <n v="12"/>
    <n v="0.41411609867999999"/>
    <n v="63000"/>
    <x v="40"/>
  </r>
  <r>
    <s v="MM   "/>
    <s v="VIDAL GILBERT ISSOIRE 63      "/>
    <x v="1"/>
    <n v="108.8843636"/>
    <n v="39"/>
    <n v="0.37080939912999999"/>
    <n v="63000"/>
    <x v="40"/>
  </r>
  <r>
    <s v="MM   "/>
    <s v="MR THIERRY CASTAUD CEBAZAT 63 "/>
    <x v="1"/>
    <n v="112.8642105"/>
    <n v="41"/>
    <n v="0.36294786779999999"/>
    <n v="63000"/>
    <x v="40"/>
  </r>
  <r>
    <s v="RC   "/>
    <s v="VIDAL GILBERT ISSOIRE 63      "/>
    <x v="1"/>
    <n v="118.24"/>
    <n v="1"/>
    <n v="0.53535182679000004"/>
    <n v="63000"/>
    <x v="40"/>
  </r>
  <r>
    <s v="M42"/>
    <s v="SALAISONS DU SANCY BESSE 63   "/>
    <x v="1"/>
    <n v="209.38"/>
    <n v="1"/>
    <n v="0.26749450758999999"/>
    <n v="63000"/>
    <x v="40"/>
  </r>
  <r>
    <s v="RC   "/>
    <s v="MR THIERRY CASTAUD CEBAZAT 63 "/>
    <x v="1"/>
    <n v="218.47"/>
    <n v="1"/>
    <n v="0.28974229871000001"/>
    <n v="63000"/>
    <x v="40"/>
  </r>
  <r>
    <s v="MM   "/>
    <s v="SALAISONS DU SANCY BESSE 63   "/>
    <x v="1"/>
    <n v="453.17399999999998"/>
    <n v="3"/>
    <n v="0.23994977646999999"/>
    <n v="63000"/>
    <x v="40"/>
  </r>
  <r>
    <s v="MM   "/>
    <s v="BIE VENDEENNE DUGAST 63 CHAMAL"/>
    <x v="1"/>
    <n v="76.007118599999998"/>
    <n v="43"/>
    <n v="0.22584860472000001"/>
    <n v="63400"/>
    <x v="40"/>
  </r>
  <r>
    <s v="RC   "/>
    <s v="BIE VENDEENNE DUGAST 63 CHAMAL"/>
    <x v="1"/>
    <n v="77.44"/>
    <n v="1"/>
    <n v="0.81740702479000005"/>
    <n v="63400"/>
    <x v="40"/>
  </r>
  <r>
    <s v="RTD  "/>
    <s v="GEANT CASINO CG853 LONS EDI   "/>
    <x v="1"/>
    <n v="17.941428599999998"/>
    <n v="14"/>
    <n v="0.16999761126999999"/>
    <n v="64000"/>
    <x v="41"/>
  </r>
  <r>
    <s v="RTD  "/>
    <s v="CASINO CS904 PAU CH GAULLE EDI"/>
    <x v="1"/>
    <n v="22.008571400000001"/>
    <n v="7"/>
    <n v="0.17000519278000001"/>
    <n v="64000"/>
    <x v="41"/>
  </r>
  <r>
    <s v="G    "/>
    <s v="CASINO CS904 PAU CH GAULLE EDI"/>
    <x v="1"/>
    <n v="23.344999999999999"/>
    <n v="6"/>
    <n v="0.33905904191000003"/>
    <n v="64000"/>
    <x v="41"/>
  </r>
  <r>
    <s v="G    "/>
    <s v="BIE NOTRE DAME LESCAR         "/>
    <x v="1"/>
    <n v="43.436666700000004"/>
    <n v="3"/>
    <n v="0.88373877676000001"/>
    <n v="64230"/>
    <x v="41"/>
  </r>
  <r>
    <s v="RTD  "/>
    <s v="GEANT CASINO CG890 ANGLET EDI "/>
    <x v="1"/>
    <n v="16.331428599999999"/>
    <n v="14"/>
    <n v="0.17000087474"/>
    <n v="64600"/>
    <x v="41"/>
  </r>
  <r>
    <s v="TT   "/>
    <s v="BIE DES HALLES TARBES OUBAALI "/>
    <x v="1"/>
    <n v="375.4210526"/>
    <n v="18"/>
    <n v="0.20330996775999999"/>
    <n v="65000"/>
    <x v="42"/>
  </r>
  <r>
    <s v="RTD  "/>
    <s v="CASINO CS368 BOLQUERE EDI     "/>
    <x v="1"/>
    <n v="36.321111100000003"/>
    <n v="9"/>
    <n v="0.17000214139"/>
    <n v="66210"/>
    <x v="43"/>
  </r>
  <r>
    <s v="G    "/>
    <s v="TRADEO BURNHAUPT 68           "/>
    <x v="1"/>
    <n v="56.3333333"/>
    <n v="3"/>
    <n v="0.69568047337000005"/>
    <n v="68000"/>
    <x v="44"/>
  </r>
  <r>
    <s v="RA   "/>
    <s v="TRADEO BURNHAUPT 68           "/>
    <x v="1"/>
    <n v="209.87"/>
    <n v="1"/>
    <n v="0.22019821794"/>
    <n v="68000"/>
    <x v="44"/>
  </r>
  <r>
    <s v="MM   "/>
    <s v="TRADEO BURNHAUPT 68           "/>
    <x v="1"/>
    <n v="400.09"/>
    <n v="1"/>
    <n v="0.20931790347000001"/>
    <n v="68000"/>
    <x v="44"/>
  </r>
  <r>
    <s v="M    "/>
    <s v="TRADEO BURNHAUPT 68           "/>
    <x v="1"/>
    <n v="526.47611110000003"/>
    <n v="5"/>
    <n v="9.2209312020000003E-2"/>
    <n v="68000"/>
    <x v="44"/>
  </r>
  <r>
    <s v="MD   "/>
    <s v="TRADEO BURNHAUPT 68           "/>
    <x v="1"/>
    <n v="575.16833329999997"/>
    <n v="6"/>
    <n v="0.25803750205999998"/>
    <n v="68000"/>
    <x v="44"/>
  </r>
  <r>
    <s v="G    "/>
    <s v="REST LE CHAUDRON CHAVANNES/L E"/>
    <x v="1"/>
    <n v="38"/>
    <n v="4"/>
    <n v="1.17013157895"/>
    <n v="68210"/>
    <x v="44"/>
  </r>
  <r>
    <s v="MM   "/>
    <s v="CASINO CG879 VILLEUF/SAONE EDI"/>
    <x v="1"/>
    <n v="18.185454499999999"/>
    <n v="8"/>
    <n v="0.66722155568999997"/>
    <n v="69000"/>
    <x v="45"/>
  </r>
  <r>
    <s v="M42"/>
    <s v="CASINO CG879 VILLEUF/SAONE EDI"/>
    <x v="1"/>
    <n v="20.920857099999999"/>
    <n v="22"/>
    <n v="1.13024596097"/>
    <n v="69000"/>
    <x v="45"/>
  </r>
  <r>
    <s v="TA   "/>
    <s v="BIE CHARC LA MUROISE ST BONNET"/>
    <x v="1"/>
    <n v="36.159999999999997"/>
    <n v="2"/>
    <n v="0.29051438053"/>
    <n v="69000"/>
    <x v="45"/>
  </r>
  <r>
    <s v="MA   "/>
    <s v="BIE CHARC LA MUROISE ST BONNET"/>
    <x v="1"/>
    <n v="43.361538500000002"/>
    <n v="5"/>
    <n v="0.34964874933000001"/>
    <n v="69000"/>
    <x v="45"/>
  </r>
  <r>
    <s v="MA   "/>
    <s v="DUCCI LYON                    "/>
    <x v="1"/>
    <n v="203.96761900000001"/>
    <n v="11"/>
    <n v="0.20542453050000001"/>
    <n v="69002"/>
    <x v="45"/>
  </r>
  <r>
    <s v="TA   "/>
    <s v="DUCCI LYON                    "/>
    <x v="1"/>
    <n v="245.5937931"/>
    <n v="24"/>
    <n v="0.18353406662999999"/>
    <n v="69002"/>
    <x v="45"/>
  </r>
  <r>
    <s v="MA   "/>
    <s v="PHILAUD LYON                  "/>
    <x v="1"/>
    <n v="52.458888899999998"/>
    <n v="7"/>
    <n v="0.32825704784999998"/>
    <n v="69006"/>
    <x v="45"/>
  </r>
  <r>
    <s v="TA   "/>
    <s v="PHILAUD LYON                  "/>
    <x v="1"/>
    <n v="151.05333329999999"/>
    <n v="2"/>
    <n v="0.21253861770999999"/>
    <n v="69006"/>
    <x v="45"/>
  </r>
  <r>
    <s v="TA   "/>
    <s v="REST LES 2 DAUPHINS VILLEURBAN"/>
    <x v="1"/>
    <n v="56.61"/>
    <n v="4"/>
    <n v="0.22268150503"/>
    <n v="69100"/>
    <x v="45"/>
  </r>
  <r>
    <s v="MA   "/>
    <s v="REST LES 2 DAUPHINS VILLEURBAN"/>
    <x v="1"/>
    <n v="75.832999999999998"/>
    <n v="7"/>
    <n v="0.25450529452999998"/>
    <n v="69100"/>
    <x v="45"/>
  </r>
  <r>
    <s v="MA   "/>
    <s v="SOPACEL ST ROMAIN DE POPEY    "/>
    <x v="1"/>
    <n v="268.8"/>
    <n v="1"/>
    <n v="0.21901971726"/>
    <n v="69490"/>
    <x v="45"/>
  </r>
  <r>
    <s v="MD   "/>
    <s v="SOPACEL ST ROMAIN DE POPEY    "/>
    <x v="1"/>
    <n v="405.65"/>
    <n v="2"/>
    <n v="0.22401207938000001"/>
    <n v="69490"/>
    <x v="45"/>
  </r>
  <r>
    <s v="MA   "/>
    <s v="BRON VIANDE BRON              "/>
    <x v="1"/>
    <n v="368.21"/>
    <n v="5"/>
    <n v="0.22479454659000001"/>
    <n v="69500"/>
    <x v="45"/>
  </r>
  <r>
    <s v="TA   "/>
    <s v="BRON VIANDE BRON              "/>
    <x v="1"/>
    <n v="401.85"/>
    <n v="10"/>
    <n v="0.10506308323999999"/>
    <n v="69500"/>
    <x v="45"/>
  </r>
  <r>
    <s v="MD   "/>
    <s v="SODELY BRIGNAIS               "/>
    <x v="1"/>
    <n v="311.64659569999998"/>
    <n v="47"/>
    <n v="0.22633452103000001"/>
    <n v="69530"/>
    <x v="45"/>
  </r>
  <r>
    <s v="MA   "/>
    <s v="SODELY BRIGNAIS               "/>
    <x v="1"/>
    <n v="470.21"/>
    <n v="1"/>
    <n v="0.21652559495000001"/>
    <n v="69530"/>
    <x v="45"/>
  </r>
  <r>
    <s v="MA   "/>
    <s v="GAUTHEY GIVORS                "/>
    <x v="1"/>
    <n v="125.99"/>
    <n v="2"/>
    <n v="0.24109849988000001"/>
    <n v="69700"/>
    <x v="45"/>
  </r>
  <r>
    <s v="TA   "/>
    <s v="GAUTHEY GIVORS                "/>
    <x v="1"/>
    <n v="398.66666670000001"/>
    <n v="2"/>
    <n v="0.20765050166999999"/>
    <n v="69700"/>
    <x v="45"/>
  </r>
  <r>
    <s v="G    "/>
    <s v="PASSION FROID RHONE ALPES AUVE"/>
    <x v="1"/>
    <n v="50.43"/>
    <n v="1"/>
    <n v="0.72080111044999995"/>
    <n v="69805"/>
    <x v="45"/>
  </r>
  <r>
    <s v="TA   "/>
    <s v="BIE TRAITEUR MAISON ROBERT    "/>
    <x v="1"/>
    <n v="37.006666699999997"/>
    <n v="2"/>
    <n v="0.37849036209999998"/>
    <n v="69890"/>
    <x v="45"/>
  </r>
  <r>
    <s v="MA   "/>
    <s v="COBOLY                        "/>
    <x v="1"/>
    <n v="18.159047600000001"/>
    <n v="10"/>
    <n v="0.78964965646999996"/>
    <n v="69960"/>
    <x v="45"/>
  </r>
  <r>
    <s v="TA   "/>
    <s v="COBOLY                        "/>
    <x v="1"/>
    <n v="24.732500000000002"/>
    <n v="16"/>
    <n v="0.64804840363000005"/>
    <n v="69960"/>
    <x v="45"/>
  </r>
  <r>
    <s v="MA   "/>
    <s v="BIGARD LYON CORBAS            "/>
    <x v="1"/>
    <n v="82.742000000000004"/>
    <n v="3"/>
    <n v="0.25824128012000003"/>
    <n v="69960"/>
    <x v="45"/>
  </r>
  <r>
    <s v="MD   "/>
    <s v="BIGARD LYON CORBAS            "/>
    <x v="1"/>
    <n v="101.79695649999999"/>
    <n v="23"/>
    <n v="0.24696561355999999"/>
    <n v="69960"/>
    <x v="45"/>
  </r>
  <r>
    <s v="MM   "/>
    <s v="CASINO CG831 MONTCEAU EDI     "/>
    <x v="1"/>
    <n v="17.662500000000001"/>
    <n v="9"/>
    <n v="0.66011323425000001"/>
    <n v="71000"/>
    <x v="46"/>
  </r>
  <r>
    <s v="M42"/>
    <s v="CASINO CG831 MONTCEAU EDI     "/>
    <x v="1"/>
    <n v="18.926976700000001"/>
    <n v="25"/>
    <n v="1.2523271815799999"/>
    <n v="71000"/>
    <x v="46"/>
  </r>
  <r>
    <s v="MM   "/>
    <s v="SOUFFERANT VIANDES MARCIGNY 71"/>
    <x v="1"/>
    <n v="144.4975"/>
    <n v="9"/>
    <n v="0.39220805435"/>
    <n v="71000"/>
    <x v="46"/>
  </r>
  <r>
    <s v="MD   "/>
    <s v="SOUFFERANT VIANDES MARCIGNY 71"/>
    <x v="1"/>
    <n v="218.84444439999999"/>
    <n v="9"/>
    <n v="0.34331336311999999"/>
    <n v="71000"/>
    <x v="46"/>
  </r>
  <r>
    <s v="MA   "/>
    <s v="SAVOIE GEL CHAMBERY           "/>
    <x v="1"/>
    <n v="161.39074070000001"/>
    <n v="16"/>
    <n v="7.8232034059999997E-2"/>
    <n v="73000"/>
    <x v="47"/>
  </r>
  <r>
    <s v="TA   "/>
    <s v="BOURAOUI ABDELHAK             "/>
    <x v="1"/>
    <n v="168.17018179999999"/>
    <n v="43"/>
    <n v="0.17499113452000001"/>
    <n v="73000"/>
    <x v="47"/>
  </r>
  <r>
    <s v="TA   "/>
    <s v="SAVOIE GEL CHAMBERY           "/>
    <x v="1"/>
    <n v="169.57384619999999"/>
    <n v="31"/>
    <n v="0.17307942383"/>
    <n v="73000"/>
    <x v="47"/>
  </r>
  <r>
    <s v="MA   "/>
    <s v="BOURAOUI ABDELHAK             "/>
    <x v="1"/>
    <n v="241.28864859999999"/>
    <n v="20"/>
    <n v="0.20624574358"/>
    <n v="73000"/>
    <x v="47"/>
  </r>
  <r>
    <s v="G    "/>
    <s v="BIE DU PRAZ COURCHEVEL        "/>
    <x v="1"/>
    <n v="145.9533333"/>
    <n v="6"/>
    <n v="0.57505138628999997"/>
    <n v="73120"/>
    <x v="47"/>
  </r>
  <r>
    <s v="G    "/>
    <s v="REST VALTHOGALOU ST MARTIN DE "/>
    <x v="1"/>
    <n v="85.41"/>
    <n v="4"/>
    <n v="0.46669008312999999"/>
    <n v="73440"/>
    <x v="47"/>
  </r>
  <r>
    <s v="TA   "/>
    <s v="LA BOUCHERIE LIMOUSINE        "/>
    <x v="1"/>
    <n v="39.856944400000003"/>
    <n v="20"/>
    <n v="0.38744816530999998"/>
    <n v="74000"/>
    <x v="48"/>
  </r>
  <r>
    <s v="MA   "/>
    <s v="LA BOUCHERIE LIMOUSINE        "/>
    <x v="1"/>
    <n v="40.825000000000003"/>
    <n v="3"/>
    <n v="0.36711982037000002"/>
    <n v="74000"/>
    <x v="48"/>
  </r>
  <r>
    <s v="RA   "/>
    <s v="CG339 ANNEMASSE edi           "/>
    <x v="1"/>
    <n v="31.692499999999999"/>
    <n v="4"/>
    <n v="0.81754358286999995"/>
    <n v="74100"/>
    <x v="48"/>
  </r>
  <r>
    <s v="G    "/>
    <s v="METRO VILLE LA GRAND          "/>
    <x v="1"/>
    <n v="124.6"/>
    <n v="1"/>
    <n v="0.48562600320999999"/>
    <n v="74100"/>
    <x v="48"/>
  </r>
  <r>
    <s v="M42"/>
    <s v="CASINO CS370 PARIS/MONTP EDI  "/>
    <x v="1"/>
    <n v="19.807692299999999"/>
    <n v="7"/>
    <n v="1.53470291262"/>
    <n v="75000"/>
    <x v="49"/>
  </r>
  <r>
    <s v="MM   "/>
    <s v="CASINO CS922 PARIS FLANDRE EDI"/>
    <x v="1"/>
    <n v="20.28"/>
    <n v="2"/>
    <n v="0.40660749506999999"/>
    <n v="75000"/>
    <x v="49"/>
  </r>
  <r>
    <s v="GS   "/>
    <s v="CASINO CS922 PARIS FLANDRE EDI"/>
    <x v="1"/>
    <n v="21.772558100000001"/>
    <n v="33"/>
    <n v="0.47244237466"/>
    <n v="75000"/>
    <x v="49"/>
  </r>
  <r>
    <s v="GS   "/>
    <s v="CASINO CS370 PARIS/MONTP EDI  "/>
    <x v="1"/>
    <n v="23.4575"/>
    <n v="16"/>
    <n v="0.69373690007"/>
    <n v="75000"/>
    <x v="49"/>
  </r>
  <r>
    <s v="M42"/>
    <s v="CASINO CS922 PARIS FLANDRE EDI"/>
    <x v="1"/>
    <n v="25.07"/>
    <n v="12"/>
    <n v="0.99753322277000001"/>
    <n v="75000"/>
    <x v="49"/>
  </r>
  <r>
    <s v="MM   "/>
    <s v="CASINO CS370 PARIS/MONTP EDI  "/>
    <x v="1"/>
    <n v="26.73"/>
    <n v="3"/>
    <n v="0.36936026935999999"/>
    <n v="75000"/>
    <x v="49"/>
  </r>
  <r>
    <s v="M42"/>
    <s v="CS272 PARIS ST DIDIER edi     "/>
    <x v="1"/>
    <n v="33.334081599999998"/>
    <n v="30"/>
    <n v="0.83778017228000001"/>
    <n v="75000"/>
    <x v="49"/>
  </r>
  <r>
    <s v="MM   "/>
    <s v="CS272 PARIS ST DIDIER edi     "/>
    <x v="1"/>
    <n v="34.003571399999998"/>
    <n v="14"/>
    <n v="0.34437979204000002"/>
    <n v="75000"/>
    <x v="49"/>
  </r>
  <r>
    <s v="MDU  "/>
    <s v="CHAUVEL PARIS 17EME           "/>
    <x v="1"/>
    <n v="36.872999999999998"/>
    <n v="41"/>
    <n v="0.15297028538999999"/>
    <n v="75000"/>
    <x v="49"/>
  </r>
  <r>
    <s v="MDU  "/>
    <s v="GRANDE BOUCHERIE PONCELET PARI"/>
    <x v="1"/>
    <n v="40.962222199999999"/>
    <n v="15"/>
    <n v="0.14201884302000001"/>
    <n v="75000"/>
    <x v="49"/>
  </r>
  <r>
    <s v="MM   "/>
    <s v="CASINO CS921 PARIS ITALIE EDI "/>
    <x v="1"/>
    <n v="67.872857100000004"/>
    <n v="7"/>
    <n v="0.29861295279"/>
    <n v="75000"/>
    <x v="49"/>
  </r>
  <r>
    <s v="GS   "/>
    <s v="CASINO CS921 PARIS ITALIE EDI "/>
    <x v="1"/>
    <n v="72.313333299999996"/>
    <n v="14"/>
    <n v="4.5007836269999997E-2"/>
    <n v="75000"/>
    <x v="49"/>
  </r>
  <r>
    <s v="MDU  "/>
    <s v="MAMIE BURGER PARIS ST FIACRE  "/>
    <x v="1"/>
    <n v="76.140821900000006"/>
    <n v="20"/>
    <n v="0.10441161654"/>
    <n v="75000"/>
    <x v="49"/>
  </r>
  <r>
    <s v="M42"/>
    <s v="CASINO CS921 PARIS ITALIE EDI "/>
    <x v="1"/>
    <n v="76.785714299999995"/>
    <n v="5"/>
    <n v="0.45882046512000002"/>
    <n v="75000"/>
    <x v="49"/>
  </r>
  <r>
    <s v="MDU  "/>
    <s v="MAMIE BURGER PARIS OPERA      "/>
    <x v="1"/>
    <n v="79.406329099999994"/>
    <n v="21"/>
    <n v="9.9239450990000005E-2"/>
    <n v="75000"/>
    <x v="49"/>
  </r>
  <r>
    <s v="MDU  "/>
    <s v="GBND BIE NOUVELLE PARIS 18    "/>
    <x v="1"/>
    <n v="136.6503846"/>
    <n v="22"/>
    <n v="8.6820943959999994E-2"/>
    <n v="75000"/>
    <x v="49"/>
  </r>
  <r>
    <s v="MDU  "/>
    <s v="ROB THE GOURMETS BRUXELLES    "/>
    <x v="1"/>
    <n v="305.2667568"/>
    <n v="11"/>
    <n v="7.4624143530000006E-2"/>
    <n v="75000"/>
    <x v="49"/>
  </r>
  <r>
    <s v="MDU  "/>
    <s v="TRIBOLET ALAIN ANDRE PARIS 75 "/>
    <x v="1"/>
    <n v="305.82153849999997"/>
    <n v="21"/>
    <n v="7.4378596869999994E-2"/>
    <n v="75000"/>
    <x v="49"/>
  </r>
  <r>
    <s v="G    "/>
    <s v="AMBASSADE D AUVERGNE PARIS    "/>
    <x v="1"/>
    <n v="23.34"/>
    <n v="8"/>
    <n v="2.4164524421600002"/>
    <n v="75003"/>
    <x v="49"/>
  </r>
  <r>
    <s v="MDU  "/>
    <s v="BIE DE LA MONTAGNE PARIS 5    "/>
    <x v="1"/>
    <n v="105.8"/>
    <n v="5"/>
    <n v="9.5450985690000004E-2"/>
    <n v="75005"/>
    <x v="49"/>
  </r>
  <r>
    <s v="MDU  "/>
    <s v="BIE PARISIENNE DEBRAY PARIS 5E"/>
    <x v="1"/>
    <n v="214.42857140000001"/>
    <n v="5"/>
    <n v="7.0092826999999996E-2"/>
    <n v="75005"/>
    <x v="49"/>
  </r>
  <r>
    <s v="G    "/>
    <s v="AU PETIT SUISSE PARIS BC ODEON"/>
    <x v="1"/>
    <n v="31.105"/>
    <n v="2"/>
    <n v="1.8132133097600001"/>
    <n v="75006"/>
    <x v="49"/>
  </r>
  <r>
    <s v="G    "/>
    <s v="BRASSERIE AUX MINISTERES PARIS"/>
    <x v="1"/>
    <n v="32.216666699999998"/>
    <n v="3"/>
    <n v="1.7857216761500001"/>
    <n v="75007"/>
    <x v="49"/>
  </r>
  <r>
    <s v="MDU  "/>
    <s v="BIE MADELEINE MONTEIRO PARIS  "/>
    <x v="1"/>
    <n v="35.504285699999997"/>
    <n v="5"/>
    <n v="0.13073539075999999"/>
    <n v="75008"/>
    <x v="49"/>
  </r>
  <r>
    <s v="MDU  "/>
    <s v="BIE PAT ET DAV PARIS II       "/>
    <x v="1"/>
    <n v="34.637333300000002"/>
    <n v="11"/>
    <n v="0.14841468422000001"/>
    <n v="75011"/>
    <x v="49"/>
  </r>
  <r>
    <s v="MDU  "/>
    <s v="BIE PAT ET DAV VINCENNES      "/>
    <x v="1"/>
    <n v="38.386000000000003"/>
    <n v="11"/>
    <n v="0.17332476539"/>
    <n v="75011"/>
    <x v="49"/>
  </r>
  <r>
    <s v="MDU  "/>
    <s v="BIE ROQUETTE DEBRAY PARIS 11  "/>
    <x v="1"/>
    <n v="113.4"/>
    <n v="2"/>
    <n v="8.5509994120000002E-2"/>
    <n v="75011"/>
    <x v="49"/>
  </r>
  <r>
    <s v="MDU  "/>
    <s v="BIE DES ECOLES 75011 PARIS    "/>
    <x v="1"/>
    <n v="148.05384620000001"/>
    <n v="22"/>
    <n v="8.2075734750000004E-2"/>
    <n v="75011"/>
    <x v="49"/>
  </r>
  <r>
    <s v="MDU  "/>
    <s v="BIE CSK ROQUETTE PARIS 11?me  "/>
    <x v="1"/>
    <n v="248.89400000000001"/>
    <n v="3"/>
    <n v="6.8879121230000007E-2"/>
    <n v="75011"/>
    <x v="49"/>
  </r>
  <r>
    <s v="MDU  "/>
    <s v="BIE DAUMESNIL DEBRAY PARIS 12E"/>
    <x v="1"/>
    <n v="180.0285714"/>
    <n v="5"/>
    <n v="7.5299687879999994E-2"/>
    <n v="75012"/>
    <x v="49"/>
  </r>
  <r>
    <s v="MDU  "/>
    <s v="BIE DU CARREFOUR GLACIERE PARI"/>
    <x v="1"/>
    <n v="79.788552600000003"/>
    <n v="22"/>
    <n v="0.10422086007"/>
    <n v="75013"/>
    <x v="49"/>
  </r>
  <r>
    <s v="ML   "/>
    <s v="BBR BIE LA SABLIERE PARIS14 75"/>
    <x v="1"/>
    <n v="460.69333330000001"/>
    <n v="6"/>
    <n v="0.15394857750999999"/>
    <n v="75014"/>
    <x v="49"/>
  </r>
  <r>
    <s v="MDU  "/>
    <s v="BBR BIE LA SABLIERE PARIS14 75"/>
    <x v="1"/>
    <n v="478.26837840000002"/>
    <n v="31"/>
    <n v="7.4467970879999998E-2"/>
    <n v="75014"/>
    <x v="49"/>
  </r>
  <r>
    <s v="G    "/>
    <s v="REST O FIL ROUGE PARIS        "/>
    <x v="1"/>
    <n v="15.4475"/>
    <n v="4"/>
    <n v="3.6510762259299998"/>
    <n v="75015"/>
    <x v="49"/>
  </r>
  <r>
    <s v="MDU  "/>
    <s v="BIE NOUVELLE CONVENTION PARIS "/>
    <x v="1"/>
    <n v="81.86"/>
    <n v="21"/>
    <n v="9.3516980210000003E-2"/>
    <n v="75015"/>
    <x v="49"/>
  </r>
  <r>
    <s v="MDU  "/>
    <s v="BIE CAMBRONNE DEBRAY PARIS 15E"/>
    <x v="1"/>
    <n v="127.1428571"/>
    <n v="5"/>
    <n v="8.6887265919999998E-2"/>
    <n v="75015"/>
    <x v="49"/>
  </r>
  <r>
    <s v="MDU  "/>
    <s v="BIE FALGUIERE PARIS           "/>
    <x v="1"/>
    <n v="249.8"/>
    <n v="1"/>
    <n v="8.0499065920000001E-2"/>
    <n v="75015"/>
    <x v="49"/>
  </r>
  <r>
    <s v="MDU  "/>
    <s v="AU BOEUF NIVERNAIS 75 PARIS   "/>
    <x v="1"/>
    <n v="72.891363600000005"/>
    <n v="19"/>
    <n v="9.5882415299999996E-2"/>
    <n v="75016"/>
    <x v="49"/>
  </r>
  <r>
    <s v="MDU  "/>
    <s v="GRANDE BIE PLAINE MONCEAU PARI"/>
    <x v="1"/>
    <n v="57.281363599999999"/>
    <n v="36"/>
    <n v="0.12171894714000001"/>
    <n v="75017"/>
    <x v="49"/>
  </r>
  <r>
    <s v="MDU  "/>
    <s v="BIE DU PARC MONCEAU PARIS 17  "/>
    <x v="1"/>
    <n v="62.205714299999997"/>
    <n v="14"/>
    <n v="0.12296494843"/>
    <n v="75017"/>
    <x v="49"/>
  </r>
  <r>
    <s v="MGL  "/>
    <s v="BIE DES GOURMETS 75017 PARIS  "/>
    <x v="1"/>
    <n v="101.8621831"/>
    <n v="46"/>
    <n v="0.12985240344999999"/>
    <n v="75017"/>
    <x v="49"/>
  </r>
  <r>
    <s v="MDU  "/>
    <s v="BIE LA PLUME D OR PARIS 17EME "/>
    <x v="1"/>
    <n v="202.84"/>
    <n v="3"/>
    <n v="7.1413922300000002E-2"/>
    <n v="75017"/>
    <x v="49"/>
  </r>
  <r>
    <s v="MDU  "/>
    <s v="BIE GINDRE ORDENER DENIS PARIS"/>
    <x v="1"/>
    <n v="31.770377400000001"/>
    <n v="16"/>
    <n v="9.9270710230000003E-2"/>
    <n v="75018"/>
    <x v="49"/>
  </r>
  <r>
    <s v="MDU  "/>
    <s v="BIE GINDRE DENIS PARIS        "/>
    <x v="1"/>
    <n v="35.135814000000003"/>
    <n v="16"/>
    <n v="0.21645508459000001"/>
    <n v="75018"/>
    <x v="49"/>
  </r>
  <r>
    <s v="MDU  "/>
    <s v="EMSALEM VIANDES PARIS         "/>
    <x v="1"/>
    <n v="808.00750000000005"/>
    <n v="18"/>
    <n v="7.3137708090000003E-2"/>
    <n v="75019"/>
    <x v="49"/>
  </r>
  <r>
    <s v="G    "/>
    <s v="LE BOUSCAT PROD  ELIOR REST   "/>
    <x v="1"/>
    <n v="211.45"/>
    <n v="1"/>
    <n v="0.40174982264999998"/>
    <n v="75622"/>
    <x v="49"/>
  </r>
  <r>
    <s v="TA   "/>
    <s v="DAVIGEL LYON                  "/>
    <x v="1"/>
    <n v="18.9733333"/>
    <n v="2"/>
    <n v="0.73822909345999999"/>
    <n v="76000"/>
    <x v="50"/>
  </r>
  <r>
    <s v="G    "/>
    <s v="DAVIGEL ROUXMESNIL BOUTEILLE  "/>
    <x v="1"/>
    <n v="20.13"/>
    <n v="3"/>
    <n v="1.5764199370800001"/>
    <n v="76370"/>
    <x v="50"/>
  </r>
  <r>
    <s v="MM   "/>
    <s v="CASINO CG836 TROCY EDI        "/>
    <x v="1"/>
    <n v="17.687999999999999"/>
    <n v="4"/>
    <n v="0.97852781547000001"/>
    <n v="77000"/>
    <x v="51"/>
  </r>
  <r>
    <s v="M42"/>
    <s v="CASINO CG836 TROCY EDI        "/>
    <x v="1"/>
    <n v="18.3562069"/>
    <n v="18"/>
    <n v="1.2444836849300001"/>
    <n v="77000"/>
    <x v="51"/>
  </r>
  <r>
    <s v="MM   "/>
    <s v="CASINO CS119 NEMOURS EDI      "/>
    <x v="1"/>
    <n v="18.673333299999999"/>
    <n v="3"/>
    <n v="0.41979650125000001"/>
    <n v="77000"/>
    <x v="51"/>
  </r>
  <r>
    <s v="M42"/>
    <s v="CASINO CS119 NEMOURS EDI      "/>
    <x v="1"/>
    <n v="19.6918182"/>
    <n v="7"/>
    <n v="1.3057615068599999"/>
    <n v="77000"/>
    <x v="51"/>
  </r>
  <r>
    <s v="GS   "/>
    <s v="CASINO CS119 NEMOURS EDI      "/>
    <x v="1"/>
    <n v="22.5191667"/>
    <n v="19"/>
    <n v="0.36132183694999997"/>
    <n v="77000"/>
    <x v="51"/>
  </r>
  <r>
    <s v="MDU  "/>
    <s v="BIE BRETTE BENOIT             "/>
    <x v="1"/>
    <n v="33.797818200000002"/>
    <n v="16"/>
    <n v="0.14992522379000001"/>
    <n v="77130"/>
    <x v="51"/>
  </r>
  <r>
    <s v="MGL  "/>
    <s v="BIE VERON JEAN-PAUL LE PIN    "/>
    <x v="1"/>
    <n v="233.97575760000001"/>
    <n v="12"/>
    <n v="0.27515243744000001"/>
    <n v="77181"/>
    <x v="51"/>
  </r>
  <r>
    <s v="MDU  "/>
    <s v="MIRABELLA CHELLES BIE GAMBETTA"/>
    <x v="1"/>
    <n v="60.834782599999997"/>
    <n v="19"/>
    <n v="0.12105369735"/>
    <n v="77500"/>
    <x v="51"/>
  </r>
  <r>
    <s v="MDU  "/>
    <s v="AU BON BILLOT PAMFOU          "/>
    <x v="1"/>
    <n v="54.7776"/>
    <n v="20"/>
    <n v="0.11786399307000001"/>
    <n v="77830"/>
    <x v="51"/>
  </r>
  <r>
    <s v="MDU  "/>
    <s v="LESTAS PASCAL VIROFLAY 78     "/>
    <x v="1"/>
    <n v="70.799199999999999"/>
    <n v="21"/>
    <n v="0.1110688633"/>
    <n v="78000"/>
    <x v="52"/>
  </r>
  <r>
    <s v="MDU  "/>
    <s v="MAISON GIAMMATEI 78 AUFFARGIS "/>
    <x v="1"/>
    <n v="115.3356522"/>
    <n v="20"/>
    <n v="8.6625677289999994E-2"/>
    <n v="78000"/>
    <x v="52"/>
  </r>
  <r>
    <s v="MDU  "/>
    <s v="BIE BOULAY VERSAILLES         "/>
    <x v="1"/>
    <n v="138.69423080000001"/>
    <n v="22"/>
    <n v="7.9160484929999997E-2"/>
    <n v="78000"/>
    <x v="52"/>
  </r>
  <r>
    <s v="MDU  "/>
    <s v="BOUCHERIE ANDRE VERSAILLES    "/>
    <x v="1"/>
    <n v="173.45947369999999"/>
    <n v="16"/>
    <n v="7.7442731449999996E-2"/>
    <n v="78000"/>
    <x v="52"/>
  </r>
  <r>
    <s v="MDU  "/>
    <s v="BIES NIVERNAISES ST HONORE PAR"/>
    <x v="1"/>
    <n v="156.30526320000001"/>
    <n v="17"/>
    <n v="8.4800211010000001E-2"/>
    <n v="78008"/>
    <x v="52"/>
  </r>
  <r>
    <s v="MD   "/>
    <s v="SODEXO ANOV FRANCE BRIVE      "/>
    <x v="1"/>
    <n v="11.246"/>
    <n v="5"/>
    <n v="0.44919082339999999"/>
    <n v="78043"/>
    <x v="52"/>
  </r>
  <r>
    <s v="G    "/>
    <s v="SODEXO SFRS C.CENTRALE NANCY  "/>
    <x v="1"/>
    <n v="664.32500000000005"/>
    <n v="2"/>
    <n v="0.38191020961"/>
    <n v="78043"/>
    <x v="52"/>
  </r>
  <r>
    <s v="MDU  "/>
    <s v="BIE TRIPIED RAMBOUILLET       "/>
    <x v="1"/>
    <n v="48.535925900000002"/>
    <n v="21"/>
    <n v="0.13384027613999999"/>
    <n v="78120"/>
    <x v="52"/>
  </r>
  <r>
    <s v="MDU  "/>
    <s v="BIES NIVERNAISES RUNGIS THIAIS"/>
    <x v="1"/>
    <n v="113.0308824"/>
    <n v="29"/>
    <n v="9.2209486389999998E-2"/>
    <n v="78158"/>
    <x v="52"/>
  </r>
  <r>
    <s v="M42"/>
    <s v="CASINO CS727 HARDRICOURT EDI  "/>
    <x v="1"/>
    <n v="16.484999999999999"/>
    <n v="18"/>
    <n v="1.5159127345200001"/>
    <n v="78250"/>
    <x v="52"/>
  </r>
  <r>
    <s v="MM   "/>
    <s v="CASINO CS727 HARDRICOURT EDI  "/>
    <x v="1"/>
    <n v="21.6245455"/>
    <n v="9"/>
    <n v="0.60517509564000005"/>
    <n v="78250"/>
    <x v="52"/>
  </r>
  <r>
    <s v="G    "/>
    <s v="SOREST ALR MONTESSON          "/>
    <x v="1"/>
    <n v="102.3266667"/>
    <n v="3"/>
    <n v="0.62822333703"/>
    <n v="78360"/>
    <x v="52"/>
  </r>
  <r>
    <s v="MDU  "/>
    <s v="EURL GAEL - BIE DE L EGLISE   "/>
    <x v="1"/>
    <n v="59.005833299999999"/>
    <n v="18"/>
    <n v="0.13162022587"/>
    <n v="78390"/>
    <x v="52"/>
  </r>
  <r>
    <s v="MDU  "/>
    <s v="DUMONT ANDRESY BIE DU CENTRE  "/>
    <x v="1"/>
    <n v="77.125961500000003"/>
    <n v="43"/>
    <n v="0.10461142071"/>
    <n v="78570"/>
    <x v="52"/>
  </r>
  <r>
    <s v="MDU  "/>
    <s v="BIE BEAU MARCHE MAGNANVILLE   "/>
    <x v="1"/>
    <n v="415.34199999999998"/>
    <n v="39"/>
    <n v="7.4136280730000004E-2"/>
    <n v="78711"/>
    <x v="52"/>
  </r>
  <r>
    <s v="MGL  "/>
    <s v="BOUCHERIE DU CENTRE HOUILLE   "/>
    <x v="1"/>
    <n v="161.25102190000001"/>
    <n v="44"/>
    <n v="0.22425343085999999"/>
    <n v="78800"/>
    <x v="52"/>
  </r>
  <r>
    <s v="RTD  "/>
    <s v="AIRBUS CENTRAL ENTITY R06     "/>
    <x v="1"/>
    <n v="68.405000000000001"/>
    <n v="2"/>
    <n v="0.17000219282000001"/>
    <n v="78883"/>
    <x v="52"/>
  </r>
  <r>
    <s v="MDU  "/>
    <s v="STE COK VOISINS LE BRETONNEUX "/>
    <x v="1"/>
    <n v="74.457857099999998"/>
    <n v="22"/>
    <n v="0.11457727765"/>
    <n v="78960"/>
    <x v="52"/>
  </r>
  <r>
    <s v="MU   "/>
    <s v="ETS LOURDEL VAUCHELLES 80     "/>
    <x v="1"/>
    <n v="94.103442599999994"/>
    <n v="22"/>
    <n v="0.71134381244"/>
    <n v="80000"/>
    <x v="53"/>
  </r>
  <r>
    <s v="MD   "/>
    <s v="ETS LOURDEL VAUCHELLES 80     "/>
    <x v="1"/>
    <n v="172.01"/>
    <n v="2"/>
    <n v="0.40429335504000002"/>
    <n v="80000"/>
    <x v="53"/>
  </r>
  <r>
    <s v="MU   "/>
    <s v="WIOTTE RUE METZ AMIENS BEFFROI"/>
    <x v="1"/>
    <n v="195.4908824"/>
    <n v="25"/>
    <n v="0.28022218578000002"/>
    <n v="80000"/>
    <x v="53"/>
  </r>
  <r>
    <s v="MU   "/>
    <s v="WIOTTE RUE ST FUSCIEN AMIENS  "/>
    <x v="1"/>
    <n v="207.63797869999999"/>
    <n v="35"/>
    <n v="0.28977670320999999"/>
    <n v="80000"/>
    <x v="53"/>
  </r>
  <r>
    <s v="MU   "/>
    <s v="WIOTTE RUE AU LIN AMIENS      "/>
    <x v="1"/>
    <n v="237.3004225"/>
    <n v="27"/>
    <n v="0.30988002965"/>
    <n v="80000"/>
    <x v="53"/>
  </r>
  <r>
    <s v="MD   "/>
    <s v="SAUVAGE VIANDES FEUQUIERES    "/>
    <x v="1"/>
    <n v="104.6333333"/>
    <n v="3"/>
    <n v="0.41599235424999997"/>
    <n v="80210"/>
    <x v="53"/>
  </r>
  <r>
    <s v="MU   "/>
    <s v="SAUVAGE VIANDES FEUQUIERES    "/>
    <x v="1"/>
    <n v="169.2"/>
    <n v="1"/>
    <n v="0.32981481481000002"/>
    <n v="80210"/>
    <x v="53"/>
  </r>
  <r>
    <s v="MD   "/>
    <s v="SAUVAGE VIANDES STEACK HACHE  "/>
    <x v="1"/>
    <n v="293.09666670000001"/>
    <n v="6"/>
    <n v="0.39679741610000002"/>
    <n v="80210"/>
    <x v="53"/>
  </r>
  <r>
    <s v="MD   "/>
    <s v="STE GUY LAGACHE FRIAUCOURT    "/>
    <x v="1"/>
    <n v="183.85"/>
    <n v="6"/>
    <n v="0.40311939080999998"/>
    <n v="80940"/>
    <x v="53"/>
  </r>
  <r>
    <s v="G    "/>
    <s v="CASINO CS397 ALBI CANTEPAU EDI"/>
    <x v="1"/>
    <n v="47.811999999999998"/>
    <n v="5"/>
    <n v="0.33902785911"/>
    <n v="81000"/>
    <x v="54"/>
  </r>
  <r>
    <s v="RTD  "/>
    <s v="CASINO CS397 ALBI CANTEPAU EDI"/>
    <x v="1"/>
    <n v="57.5"/>
    <n v="3"/>
    <n v="0.17"/>
    <n v="81000"/>
    <x v="54"/>
  </r>
  <r>
    <s v="RTD  "/>
    <s v="AU MARCHE D ORIENT            "/>
    <x v="1"/>
    <n v="65.260000000000005"/>
    <n v="16"/>
    <n v="0.16999980846000001"/>
    <n v="81000"/>
    <x v="54"/>
  </r>
  <r>
    <s v="RTD  "/>
    <s v="TARVI ALBI                    "/>
    <x v="1"/>
    <n v="173.45480000000001"/>
    <n v="25"/>
    <n v="0.17000025366999999"/>
    <n v="81000"/>
    <x v="54"/>
  </r>
  <r>
    <s v="RTD  "/>
    <s v="GEANT CASINO CG826 ALBI EDI   "/>
    <x v="1"/>
    <n v="182.69916670000001"/>
    <n v="24"/>
    <n v="0.17000077541"/>
    <n v="81000"/>
    <x v="54"/>
  </r>
  <r>
    <s v="RTD  "/>
    <s v="COBEVIAL ALBI                 "/>
    <x v="1"/>
    <n v="292.93333330000002"/>
    <n v="3"/>
    <n v="0.17"/>
    <n v="81000"/>
    <x v="54"/>
  </r>
  <r>
    <s v="RTD  "/>
    <s v="ZOO DES 3 VALLEES MONTREDON LA"/>
    <x v="1"/>
    <n v="1260.7"/>
    <n v="1"/>
    <n v="0.17"/>
    <n v="81000"/>
    <x v="54"/>
  </r>
  <r>
    <s v="G    "/>
    <s v="ROYAL ALBI ALBI               "/>
    <x v="1"/>
    <n v="22.49"/>
    <n v="1"/>
    <n v="1.48154735438"/>
    <n v="81100"/>
    <x v="54"/>
  </r>
  <r>
    <s v="RTD  "/>
    <s v="BAZAR TINERHIR GRAULHET       "/>
    <x v="1"/>
    <n v="247.77181820000001"/>
    <n v="11"/>
    <n v="0.16999988993000001"/>
    <n v="81300"/>
    <x v="54"/>
  </r>
  <r>
    <s v="RTD  "/>
    <s v="G CASINO CG857 MONTAUBAN EDI  "/>
    <x v="1"/>
    <n v="15.029285700000001"/>
    <n v="13"/>
    <n v="0.17000142578999999"/>
    <n v="82000"/>
    <x v="55"/>
  </r>
  <r>
    <s v="RTD  "/>
    <s v="CHAUMONT JEAN MARIE MONTAUBAN "/>
    <x v="1"/>
    <n v="20.8"/>
    <n v="1"/>
    <n v="0.17"/>
    <n v="82000"/>
    <x v="55"/>
  </r>
  <r>
    <s v="M42"/>
    <s v="CASINO CG804 CHAUMONT EDI     "/>
    <x v="1"/>
    <n v="29.012307700000001"/>
    <n v="32"/>
    <n v="0.92203176370999995"/>
    <n v="82000"/>
    <x v="55"/>
  </r>
  <r>
    <s v="MM   "/>
    <s v="CASINO CG804 CHAUMONT EDI     "/>
    <x v="1"/>
    <n v="33.345714299999997"/>
    <n v="13"/>
    <n v="0.45731728215"/>
    <n v="82000"/>
    <x v="55"/>
  </r>
  <r>
    <s v="G    "/>
    <s v="PRO A PRO DIST MONTAUBAN      "/>
    <x v="1"/>
    <n v="39.24"/>
    <n v="1"/>
    <n v="0.84913353720999996"/>
    <n v="82000"/>
    <x v="55"/>
  </r>
  <r>
    <s v="G    "/>
    <s v="PRO A PRO NORD CHALETTE/LOING "/>
    <x v="1"/>
    <n v="42.5"/>
    <n v="1"/>
    <n v="1.2757647058799999"/>
    <n v="82000"/>
    <x v="55"/>
  </r>
  <r>
    <s v="MU   "/>
    <s v="PRO A PRO NORD SOMAIN         "/>
    <x v="1"/>
    <n v="57.05"/>
    <n v="1"/>
    <n v="0.40411919368999999"/>
    <n v="82000"/>
    <x v="55"/>
  </r>
  <r>
    <s v="G    "/>
    <s v="PRO A PRO ILLKIRCH GRAFFENSTAD"/>
    <x v="1"/>
    <n v="67.155000000000001"/>
    <n v="2"/>
    <n v="0.71260516715"/>
    <n v="82000"/>
    <x v="55"/>
  </r>
  <r>
    <s v="G    "/>
    <s v="LA MAISON DES LUMIERES BEAUMON"/>
    <x v="1"/>
    <n v="21.844999999999999"/>
    <n v="2"/>
    <n v="1.5252918287899999"/>
    <n v="82500"/>
    <x v="55"/>
  </r>
  <r>
    <s v="RA   "/>
    <s v="AU POULET GRILLE CHEZ ASFOUR  "/>
    <x v="1"/>
    <n v="51.222857099999999"/>
    <n v="7"/>
    <n v="0.50582887103999996"/>
    <n v="83000"/>
    <x v="56"/>
  </r>
  <r>
    <s v="G    "/>
    <s v="SU(0166)CLERMONT L HERAULT PLA"/>
    <x v="1"/>
    <n v="102.334"/>
    <n v="5"/>
    <n v="0.29925537944000002"/>
    <n v="83000"/>
    <x v="56"/>
  </r>
  <r>
    <s v="RA   "/>
    <s v="ISLAM VIANDES AYMAN TOULON    "/>
    <x v="1"/>
    <n v="134.848806"/>
    <n v="67"/>
    <n v="0.23715449143"/>
    <n v="83000"/>
    <x v="56"/>
  </r>
  <r>
    <s v="RA   "/>
    <s v="BIE HIDA SAVEURS DU HALAL TOUL"/>
    <x v="1"/>
    <n v="184.8943333"/>
    <n v="30"/>
    <n v="0.22933224923000001"/>
    <n v="83000"/>
    <x v="56"/>
  </r>
  <r>
    <s v="RA   "/>
    <s v="ARFOUD TOULON                 "/>
    <x v="1"/>
    <n v="196.19679249999999"/>
    <n v="53"/>
    <n v="0.22344488542999999"/>
    <n v="83000"/>
    <x v="56"/>
  </r>
  <r>
    <s v="RA   "/>
    <s v="BIE MARWAN TOULON             "/>
    <x v="1"/>
    <n v="217.9593548"/>
    <n v="61"/>
    <n v="0.22808114564000001"/>
    <n v="83000"/>
    <x v="56"/>
  </r>
  <r>
    <s v="RA   "/>
    <s v="DISTRIBUTION CASH HALAL TOULON"/>
    <x v="1"/>
    <n v="223.70750000000001"/>
    <n v="92"/>
    <n v="0.22388328315"/>
    <n v="83000"/>
    <x v="56"/>
  </r>
  <r>
    <s v="RA   "/>
    <s v="BIE LES PALMIERS TOULON       "/>
    <x v="1"/>
    <n v="143.51256409999999"/>
    <n v="39"/>
    <n v="0.23217926064"/>
    <n v="83100"/>
    <x v="56"/>
  </r>
  <r>
    <s v="RA   "/>
    <s v="ALIM BEAULIEU HOIWIR TOULON   "/>
    <x v="1"/>
    <n v="274.77352939999997"/>
    <n v="17"/>
    <n v="0.21902101196000001"/>
    <n v="83100"/>
    <x v="56"/>
  </r>
  <r>
    <s v="RA   "/>
    <s v="CARREF MARKET BANDOL          "/>
    <x v="1"/>
    <n v="97.706060600000001"/>
    <n v="33"/>
    <n v="0.29587879540000001"/>
    <n v="83150"/>
    <x v="56"/>
  </r>
  <r>
    <s v="RA   "/>
    <s v="BIE EL HOGGAR TOULON          "/>
    <x v="1"/>
    <n v="118.6422"/>
    <n v="50"/>
    <n v="0.25424730828999997"/>
    <n v="83200"/>
    <x v="56"/>
  </r>
  <r>
    <s v="RA   "/>
    <s v="BIE B M VIANDES TOULON        "/>
    <x v="1"/>
    <n v="125.71362070000001"/>
    <n v="58"/>
    <n v="0.25055784974"/>
    <n v="83200"/>
    <x v="56"/>
  </r>
  <r>
    <s v="RA   "/>
    <s v="MAXIME HAL CAVALAIRE          "/>
    <x v="1"/>
    <n v="250.82526319999999"/>
    <n v="19"/>
    <n v="0.22203148344000001"/>
    <n v="83240"/>
    <x v="56"/>
  </r>
  <r>
    <s v="RA   "/>
    <s v="SOUK SAVEUR SARAWI DRAGUIGNAN "/>
    <x v="1"/>
    <n v="232.98"/>
    <n v="12"/>
    <n v="0.22830786619999999"/>
    <n v="83300"/>
    <x v="56"/>
  </r>
  <r>
    <s v="RA   "/>
    <s v="BOUCHERIE LE REGAL COGOLIN    "/>
    <x v="1"/>
    <n v="265.36488370000001"/>
    <n v="43"/>
    <n v="0.22495870101000001"/>
    <n v="83310"/>
    <x v="56"/>
  </r>
  <r>
    <s v="RA   "/>
    <s v="SAADA SALAMA HYERES           "/>
    <x v="1"/>
    <n v="151.5436364"/>
    <n v="32"/>
    <n v="0.24218826861000001"/>
    <n v="83400"/>
    <x v="56"/>
  </r>
  <r>
    <s v="RA   "/>
    <s v="SALAMA                        "/>
    <x v="1"/>
    <n v="245.832807"/>
    <n v="57"/>
    <n v="0.22577589817999999"/>
    <n v="83400"/>
    <x v="56"/>
  </r>
  <r>
    <s v="RA   "/>
    <s v="BIE BOUNOUAR SAADA HYERES     "/>
    <x v="1"/>
    <n v="283.01478259999999"/>
    <n v="92"/>
    <n v="0.21926696869000001"/>
    <n v="83400"/>
    <x v="56"/>
  </r>
  <r>
    <s v="RA   "/>
    <s v="MOUTAOUAKIL LA CROIX VALMER SA"/>
    <x v="1"/>
    <n v="227.57624999999999"/>
    <n v="48"/>
    <n v="0.22679916804"/>
    <n v="83420"/>
    <x v="56"/>
  </r>
  <r>
    <s v="RA   "/>
    <s v="BISMILAH                      "/>
    <x v="1"/>
    <n v="220.55103449999999"/>
    <n v="28"/>
    <n v="0.22154540820999999"/>
    <n v="83470"/>
    <x v="56"/>
  </r>
  <r>
    <s v="RA   "/>
    <s v="BIE DE LA TOUR LE MUY         "/>
    <x v="1"/>
    <n v="194.49625"/>
    <n v="8"/>
    <n v="0.22056145041"/>
    <n v="83490"/>
    <x v="56"/>
  </r>
  <r>
    <s v="RA   "/>
    <s v="BIE FCCS LA SEYNE SUR MER     "/>
    <x v="1"/>
    <n v="302.21708330000001"/>
    <n v="24"/>
    <n v="0.21934178108999999"/>
    <n v="83500"/>
    <x v="56"/>
  </r>
  <r>
    <s v="G    "/>
    <s v="LA TABLE DE POL LORGUES       "/>
    <x v="1"/>
    <n v="17"/>
    <n v="2"/>
    <n v="2.0176470588200002"/>
    <n v="83510"/>
    <x v="56"/>
  </r>
  <r>
    <s v="RA   "/>
    <s v="HLIMI AHMED GONFARON          "/>
    <x v="1"/>
    <n v="154.37200000000001"/>
    <n v="5"/>
    <n v="0.24642033528999999"/>
    <n v="83590"/>
    <x v="56"/>
  </r>
  <r>
    <s v="RA   "/>
    <s v="SAADA BOUCHERIE               "/>
    <x v="1"/>
    <n v="452.81964290000002"/>
    <n v="28"/>
    <n v="0.21754640566"/>
    <n v="83600"/>
    <x v="56"/>
  </r>
  <r>
    <s v="G    "/>
    <s v="SAVEURS DU BESSILLON SILLANS L"/>
    <x v="1"/>
    <n v="24.445"/>
    <n v="2"/>
    <n v="1.40314992841"/>
    <n v="83690"/>
    <x v="56"/>
  </r>
  <r>
    <s v="RA   "/>
    <s v="VARTRADE ST RAPHAEL           "/>
    <x v="1"/>
    <n v="113.1434146"/>
    <n v="41"/>
    <n v="0.27807466457000002"/>
    <n v="83704"/>
    <x v="56"/>
  </r>
  <r>
    <s v="RA   "/>
    <s v="CHEMAL SORGUES 84             "/>
    <x v="1"/>
    <n v="103.04875"/>
    <n v="22"/>
    <n v="0.25689782748000001"/>
    <n v="84000"/>
    <x v="57"/>
  </r>
  <r>
    <s v="RA   "/>
    <s v="L HIRONDELLE 84 AVIGNON       "/>
    <x v="1"/>
    <n v="139.16166670000001"/>
    <n v="24"/>
    <n v="0.22858396110000001"/>
    <n v="84000"/>
    <x v="57"/>
  </r>
  <r>
    <s v="RA   "/>
    <s v="SARL EL SAID 84 AVIGNON       "/>
    <x v="1"/>
    <n v="152.08682930000001"/>
    <n v="41"/>
    <n v="0.23999159657999999"/>
    <n v="84000"/>
    <x v="57"/>
  </r>
  <r>
    <s v="RA   "/>
    <s v="MOMO CHEZ EL SAID AVIGNON     "/>
    <x v="1"/>
    <n v="163.9978571"/>
    <n v="14"/>
    <n v="0.23078393881000001"/>
    <n v="84000"/>
    <x v="57"/>
  </r>
  <r>
    <s v="RA   "/>
    <s v="BIE ELNASR 84 AVIGNON         "/>
    <x v="1"/>
    <n v="183.51227270000001"/>
    <n v="22"/>
    <n v="0.22675520834999999"/>
    <n v="84000"/>
    <x v="57"/>
  </r>
  <r>
    <s v="RA   "/>
    <s v="BIE DU COMTAT ORANGE          "/>
    <x v="1"/>
    <n v="19.12"/>
    <n v="2"/>
    <n v="1.3551255230100001"/>
    <n v="84100"/>
    <x v="57"/>
  </r>
  <r>
    <s v="RA   "/>
    <s v="EL BOUSNANI ET FILS           "/>
    <x v="1"/>
    <n v="242.2435897"/>
    <n v="39"/>
    <n v="0.22173802593"/>
    <n v="84120"/>
    <x v="57"/>
  </r>
  <r>
    <s v="RA   "/>
    <s v="AMANSOUR LE PONTET            "/>
    <x v="1"/>
    <n v="102.9256"/>
    <n v="25"/>
    <n v="0.27090558616999999"/>
    <n v="84130"/>
    <x v="57"/>
  </r>
  <r>
    <s v="G    "/>
    <s v="LA LOUCHE A BEURRE LOURMARIN  "/>
    <x v="1"/>
    <n v="58.22"/>
    <n v="4"/>
    <n v="0.55384747508999999"/>
    <n v="84160"/>
    <x v="57"/>
  </r>
  <r>
    <s v="RA   "/>
    <s v="ALPHA VIANDES CARPENTRAS      "/>
    <x v="1"/>
    <n v="82.404285700000003"/>
    <n v="14"/>
    <n v="0.31659327705000001"/>
    <n v="84200"/>
    <x v="57"/>
  </r>
  <r>
    <s v="RA   "/>
    <s v="BIE DU VENTOUX CARPENTRAS     "/>
    <x v="1"/>
    <n v="355.06222220000001"/>
    <n v="9"/>
    <n v="0.21817177584"/>
    <n v="84200"/>
    <x v="57"/>
  </r>
  <r>
    <s v="RA   "/>
    <s v="JM TRAITEUR VEDENE            "/>
    <x v="1"/>
    <n v="45.32"/>
    <n v="1"/>
    <n v="0.57171226830999999"/>
    <n v="84270"/>
    <x v="57"/>
  </r>
  <r>
    <s v="RA   "/>
    <s v="BIE DURANCE CAVAILLON         "/>
    <x v="1"/>
    <n v="244.0465116"/>
    <n v="43"/>
    <n v="0.22500505051"/>
    <n v="84300"/>
    <x v="57"/>
  </r>
  <r>
    <s v="RA   "/>
    <s v="OMAR EL MOUSSAOUI APT         "/>
    <x v="1"/>
    <n v="202.22499999999999"/>
    <n v="22"/>
    <n v="0.22036030974000001"/>
    <n v="84400"/>
    <x v="57"/>
  </r>
  <r>
    <s v="RA   "/>
    <s v="MAXI MARKET SORGUES           "/>
    <x v="1"/>
    <n v="266.67"/>
    <n v="6"/>
    <n v="0.21913726078000001"/>
    <n v="84700"/>
    <x v="57"/>
  </r>
  <r>
    <s v="MDU  "/>
    <s v="EUROVIA MEATS FONTENAY LE COMT"/>
    <x v="1"/>
    <n v="171.34"/>
    <n v="1"/>
    <n v="8.2407299330000003E-2"/>
    <n v="85204"/>
    <x v="69"/>
  </r>
  <r>
    <s v="MD   "/>
    <s v="CTRE FRANCIS PLAINEMAISON     "/>
    <x v="1"/>
    <n v="288.61428569999998"/>
    <n v="21"/>
    <n v="0.20695375274"/>
    <n v="87003"/>
    <x v="58"/>
  </r>
  <r>
    <s v="MD   "/>
    <s v="CTRE F PLAINEMAISON STEAK HACH"/>
    <x v="1"/>
    <n v="2312.8155556000002"/>
    <n v="45"/>
    <n v="0.19749317571"/>
    <n v="87003"/>
    <x v="58"/>
  </r>
  <r>
    <s v="MM   "/>
    <s v="BOUCHERIE HARTEL 89           "/>
    <x v="1"/>
    <n v="121.7055172"/>
    <n v="20"/>
    <n v="0.28955930936000002"/>
    <n v="89630"/>
    <x v="59"/>
  </r>
  <r>
    <s v="MDU  "/>
    <s v="8 A HUIT IGNY MARGUERITE DISTR"/>
    <x v="1"/>
    <n v="66.564756099999997"/>
    <n v="24"/>
    <n v="0.10803160685"/>
    <n v="91000"/>
    <x v="60"/>
  </r>
  <r>
    <s v="MDU  "/>
    <s v="SARL BIE DU ROUILLON 91       "/>
    <x v="1"/>
    <n v="398.5065798"/>
    <n v="86"/>
    <n v="7.5068014520000004E-2"/>
    <n v="91000"/>
    <x v="60"/>
  </r>
  <r>
    <s v="ML   "/>
    <s v="SARL BIE DU ROUILLON 91       "/>
    <x v="1"/>
    <n v="655.92499999999995"/>
    <n v="2"/>
    <n v="7.2120288140000002E-2"/>
    <n v="91000"/>
    <x v="60"/>
  </r>
  <r>
    <s v="MDU  "/>
    <s v="BIE DU HAUT PAVE 91 ETAMPES   "/>
    <x v="1"/>
    <n v="30.937916699999999"/>
    <n v="20"/>
    <n v="0.14974029529999999"/>
    <n v="91150"/>
    <x v="60"/>
  </r>
  <r>
    <s v="MDU  "/>
    <s v="BIE CHEVRY II GIF SUR YVETTE  "/>
    <x v="1"/>
    <n v="62.8803226"/>
    <n v="25"/>
    <n v="0.11757973416"/>
    <n v="91190"/>
    <x v="60"/>
  </r>
  <r>
    <s v="MD   "/>
    <s v="ROUILLON SAUVAGE STEACK HACHE "/>
    <x v="1"/>
    <n v="261.63600000000002"/>
    <n v="40"/>
    <n v="0.39807948830000001"/>
    <n v="91200"/>
    <x v="60"/>
  </r>
  <r>
    <s v="MU   "/>
    <s v="ROUILLON SAUVAGE STEACK HACHE "/>
    <x v="1"/>
    <n v="305.24036360000002"/>
    <n v="20"/>
    <n v="0.30059577489"/>
    <n v="91200"/>
    <x v="60"/>
  </r>
  <r>
    <s v="MGL  "/>
    <s v="SIMPLY MARKET DRAVEIL         "/>
    <x v="1"/>
    <n v="44.917586200000002"/>
    <n v="9"/>
    <n v="0.35830371330999999"/>
    <n v="91210"/>
    <x v="60"/>
  </r>
  <r>
    <s v="MGL  "/>
    <s v="SMJ JUVISY SUR ORGE           "/>
    <x v="1"/>
    <n v="65.623286699999994"/>
    <n v="46"/>
    <n v="0.27992877336999999"/>
    <n v="91260"/>
    <x v="60"/>
  </r>
  <r>
    <s v="G    "/>
    <s v="POMONA DISNEY PLATEFORME      "/>
    <x v="1"/>
    <n v="336"/>
    <n v="1"/>
    <n v="0.53922321428999997"/>
    <n v="91385"/>
    <x v="60"/>
  </r>
  <r>
    <s v="MDU  "/>
    <s v="DOMAFRAIS MORANGIS            "/>
    <x v="1"/>
    <n v="19.064444399999999"/>
    <n v="18"/>
    <n v="0.26704096567000002"/>
    <n v="91420"/>
    <x v="60"/>
  </r>
  <r>
    <s v="MDU  "/>
    <s v="BIE BAY MORANGIS              "/>
    <x v="1"/>
    <n v="171.67984379999999"/>
    <n v="19"/>
    <n v="8.124479523E-2"/>
    <n v="91420"/>
    <x v="60"/>
  </r>
  <r>
    <s v="MDU  "/>
    <s v="BIE EGLISE MARCOUSSIS         "/>
    <x v="1"/>
    <n v="54.352608699999998"/>
    <n v="20"/>
    <n v="0.12140264990000001"/>
    <n v="91460"/>
    <x v="60"/>
  </r>
  <r>
    <s v="MDU  "/>
    <s v="SARL BOUCHERIE DE LA PLACE    "/>
    <x v="1"/>
    <n v="51.292786900000003"/>
    <n v="19"/>
    <n v="0.1219773336"/>
    <n v="91470"/>
    <x v="60"/>
  </r>
  <r>
    <s v="MDU  "/>
    <s v="SLV BIE DU PARC 92 NEUILLY/SEI"/>
    <x v="1"/>
    <n v="43.681904799999998"/>
    <n v="34"/>
    <n v="0.12921953807"/>
    <n v="92000"/>
    <x v="61"/>
  </r>
  <r>
    <s v="MDU  "/>
    <s v="QUISQUATER &amp; CO DENDERMONDE   "/>
    <x v="1"/>
    <n v="85.3"/>
    <n v="1"/>
    <n v="8.8522860489999994E-2"/>
    <n v="92000"/>
    <x v="61"/>
  </r>
  <r>
    <s v="MD   "/>
    <s v="QUISQUATER &amp; CO DENDERMONDE   "/>
    <x v="1"/>
    <n v="89.083333300000007"/>
    <n v="9"/>
    <n v="0.26405363267999998"/>
    <n v="92000"/>
    <x v="61"/>
  </r>
  <r>
    <s v="MDU  "/>
    <s v="BIE DU MARCHE DES ESCUDIERS   "/>
    <x v="1"/>
    <n v="38.830434799999999"/>
    <n v="18"/>
    <n v="0.14642555891"/>
    <n v="92100"/>
    <x v="61"/>
  </r>
  <r>
    <s v="MDU  "/>
    <s v="BIE PHILIPPE JOSEPH           "/>
    <x v="1"/>
    <n v="49.669391900000001"/>
    <n v="41"/>
    <n v="0.12703157500000001"/>
    <n v="92150"/>
    <x v="61"/>
  </r>
  <r>
    <s v="MDU  "/>
    <s v="GBS SURESNES                  "/>
    <x v="1"/>
    <n v="98.705714299999997"/>
    <n v="24"/>
    <n v="9.2879265929999996E-2"/>
    <n v="92150"/>
    <x v="61"/>
  </r>
  <r>
    <s v="MDU  "/>
    <s v="Be PLACE STALINGRA MEUDON 92  "/>
    <x v="1"/>
    <n v="59.9889796"/>
    <n v="41"/>
    <n v="0.11730533273"/>
    <n v="92190"/>
    <x v="61"/>
  </r>
  <r>
    <s v="MDU  "/>
    <s v="SARL DU CHATEAU               "/>
    <x v="1"/>
    <n v="61.48"/>
    <n v="19"/>
    <n v="0.10887305060999999"/>
    <n v="92200"/>
    <x v="61"/>
  </r>
  <r>
    <s v="MDU  "/>
    <s v="POSSIMATO ST CLOUD BIE FOCH   "/>
    <x v="1"/>
    <n v="102.3266667"/>
    <n v="21"/>
    <n v="9.5015961950000005E-2"/>
    <n v="92210"/>
    <x v="61"/>
  </r>
  <r>
    <s v="G    "/>
    <s v="SAERENS BUGGENHOUT            "/>
    <x v="1"/>
    <n v="60.9"/>
    <n v="1"/>
    <n v="0.98177339901000005"/>
    <n v="92550"/>
    <x v="61"/>
  </r>
  <r>
    <s v="MDU  "/>
    <s v="DU HAMEL COLOMBES             "/>
    <x v="1"/>
    <n v="64.076923100000002"/>
    <n v="22"/>
    <n v="0.11004661865"/>
    <n v="92600"/>
    <x v="61"/>
  </r>
  <r>
    <s v="MDU  "/>
    <s v="GENERALE BOUCHERIE ASNIERES/  "/>
    <x v="1"/>
    <n v="83.986956500000005"/>
    <n v="38"/>
    <n v="0.10219866783999999"/>
    <n v="92600"/>
    <x v="61"/>
  </r>
  <r>
    <s v="MDU  "/>
    <s v="FASMAN COLOMBES               "/>
    <x v="1"/>
    <n v="140.90568630000001"/>
    <n v="43"/>
    <n v="8.5606837559999996E-2"/>
    <n v="92700"/>
    <x v="61"/>
  </r>
  <r>
    <s v="M42"/>
    <s v="CS528 CHAVILLE EDI            "/>
    <x v="1"/>
    <n v="15.3382051"/>
    <n v="23"/>
    <n v="1.6107290325800001"/>
    <n v="92730"/>
    <x v="61"/>
  </r>
  <r>
    <s v="MM   "/>
    <s v="CS528 CHAVILLE EDI            "/>
    <x v="1"/>
    <n v="17.4590909"/>
    <n v="11"/>
    <n v="0.43129393386999998"/>
    <n v="92730"/>
    <x v="61"/>
  </r>
  <r>
    <s v="RA   "/>
    <s v="KACHER MONTREUIL SOUS BOIS    "/>
    <x v="1"/>
    <n v="40.6"/>
    <n v="1"/>
    <n v="0.63817733990000003"/>
    <n v="93100"/>
    <x v="62"/>
  </r>
  <r>
    <s v="MGL  "/>
    <s v="KACHER MONTREUIL SOUS BOIS    "/>
    <x v="1"/>
    <n v="43.0296296"/>
    <n v="10"/>
    <n v="0.34543294886999998"/>
    <n v="93100"/>
    <x v="62"/>
  </r>
  <r>
    <s v="MDU  "/>
    <s v="BOUCHERIES ILE FRAN. ROMAIVILL"/>
    <x v="1"/>
    <n v="77.5"/>
    <n v="68"/>
    <n v="0.10301303598"/>
    <n v="93230"/>
    <x v="62"/>
  </r>
  <r>
    <s v="MDU  "/>
    <s v="BIE DE L EGLISE 92 COURBEVOIE "/>
    <x v="1"/>
    <n v="59.790795500000002"/>
    <n v="23"/>
    <n v="0.14138786945000001"/>
    <n v="93340"/>
    <x v="62"/>
  </r>
  <r>
    <s v="RTD  "/>
    <s v="CASINO CS589 VILENEUVE/LOT EDI"/>
    <x v="1"/>
    <n v="18.882000000000001"/>
    <n v="10"/>
    <n v="0.17000847367999999"/>
    <n v="94000"/>
    <x v="63"/>
  </r>
  <r>
    <s v="MDU  "/>
    <s v="STE HUGUENIN RUNGIS 94        "/>
    <x v="1"/>
    <n v="255.59126319999999"/>
    <n v="78"/>
    <n v="7.4652402120000003E-2"/>
    <n v="94000"/>
    <x v="63"/>
  </r>
  <r>
    <s v="MDU  "/>
    <s v="BIE RUBLON PATRICK FONTENAY   "/>
    <x v="1"/>
    <n v="63.751304300000001"/>
    <n v="20"/>
    <n v="0.11258445407999999"/>
    <n v="94120"/>
    <x v="63"/>
  </r>
  <r>
    <s v="MDU  "/>
    <s v="BIE DU BALTARD NOGENT/MARNE   "/>
    <x v="1"/>
    <n v="60.267307700000003"/>
    <n v="23"/>
    <n v="0.16145845964"/>
    <n v="94130"/>
    <x v="63"/>
  </r>
  <r>
    <s v="MDU  "/>
    <s v="METZGER RUNGIS                "/>
    <x v="1"/>
    <n v="176.5312275"/>
    <n v="93"/>
    <n v="8.1842909850000006E-2"/>
    <n v="94150"/>
    <x v="63"/>
  </r>
  <r>
    <s v="MDU  "/>
    <s v="BIE CHASSINEAU IVRY           "/>
    <x v="1"/>
    <n v="414.51"/>
    <n v="9"/>
    <n v="7.5215475300000001E-2"/>
    <n v="94200"/>
    <x v="63"/>
  </r>
  <r>
    <s v="MDU  "/>
    <s v="BIE HERRAULT PATRICK CHARENTON"/>
    <x v="1"/>
    <n v="35.617272700000001"/>
    <n v="17"/>
    <n v="0.15506861668999999"/>
    <n v="94220"/>
    <x v="63"/>
  </r>
  <r>
    <s v="MDU  "/>
    <s v="BOUCHERIE VOLTAIRE 94 VINCENNE"/>
    <x v="1"/>
    <n v="88.414230799999999"/>
    <n v="22"/>
    <n v="9.6413734299999998E-2"/>
    <n v="94300"/>
    <x v="63"/>
  </r>
  <r>
    <s v="MDU  "/>
    <s v="BIE DULONGCOURTY VINCENNES    "/>
    <x v="1"/>
    <n v="164.5663514"/>
    <n v="41"/>
    <n v="8.7138187089999999E-2"/>
    <n v="94300"/>
    <x v="63"/>
  </r>
  <r>
    <s v="MD   "/>
    <s v="BIE MGDP INVESTISSEMENT VILLIE"/>
    <x v="1"/>
    <n v="4437.8535714"/>
    <n v="14"/>
    <n v="0.22971069508"/>
    <n v="94350"/>
    <x v="63"/>
  </r>
  <r>
    <s v="MDU  "/>
    <s v="BIE DE LA GARE SUCY EN BRIE   "/>
    <x v="1"/>
    <n v="188.79928570000001"/>
    <n v="12"/>
    <n v="7.7399657230000002E-2"/>
    <n v="94370"/>
    <x v="63"/>
  </r>
  <r>
    <s v="MDU  "/>
    <s v="POMONA TERRE AZUR RUNGIS      "/>
    <x v="1"/>
    <n v="49.986296299999999"/>
    <n v="46"/>
    <n v="0.11236104215999999"/>
    <n v="94538"/>
    <x v="63"/>
  </r>
  <r>
    <s v="MDU  "/>
    <s v="SODEXO CRECHES DE PARIS       "/>
    <x v="1"/>
    <n v="420.14285710000001"/>
    <n v="5"/>
    <n v="6.38805395E-2"/>
    <n v="94538"/>
    <x v="63"/>
  </r>
  <r>
    <s v="MD   "/>
    <s v="DEPLANCHE LAUBEYRE            "/>
    <x v="1"/>
    <n v="95.81"/>
    <n v="1"/>
    <n v="0.26152802420999999"/>
    <n v="94595"/>
    <x v="63"/>
  </r>
  <r>
    <s v="MD   "/>
    <s v="OVIMPEX                       "/>
    <x v="1"/>
    <n v="548.83799999999997"/>
    <n v="25"/>
    <n v="0.23469322459"/>
    <n v="94619"/>
    <x v="63"/>
  </r>
  <r>
    <s v="MD   "/>
    <s v="EURODIS RUNGIS(AGNEAUX)       "/>
    <x v="1"/>
    <n v="241.21561639999999"/>
    <n v="73"/>
    <n v="0.24194133140999999"/>
    <n v="94657"/>
    <x v="63"/>
  </r>
  <r>
    <s v="MDU  "/>
    <s v="BIE NALLET ARMEL 95 ARGENTEUIL"/>
    <x v="1"/>
    <n v="168.4645946"/>
    <n v="31"/>
    <n v="7.7496220500000004E-2"/>
    <n v="95100"/>
    <x v="64"/>
  </r>
  <r>
    <s v="MDU  "/>
    <s v="BIE DE LA VALLEE SOISY        "/>
    <x v="1"/>
    <n v="106.27"/>
    <n v="23"/>
    <n v="8.8069024539999999E-2"/>
    <n v="95230"/>
    <x v="64"/>
  </r>
  <r>
    <s v="MDU  "/>
    <s v="BIE GRANDE RUE L ISLE ADAM    "/>
    <x v="1"/>
    <n v="99.771627899999999"/>
    <n v="34"/>
    <n v="0.16181574355"/>
    <n v="95290"/>
    <x v="64"/>
  </r>
  <r>
    <s v="MDU  "/>
    <s v="GEPI HALLES ST OUEN L AUMONE  "/>
    <x v="1"/>
    <n v="253.05301890000001"/>
    <n v="28"/>
    <n v="7.443074425E-2"/>
    <n v="95310"/>
    <x v="64"/>
  </r>
  <r>
    <s v="MDU  "/>
    <s v="SARL BOUCHERIE D AUVERS       "/>
    <x v="1"/>
    <n v="65.147049199999998"/>
    <n v="17"/>
    <n v="0.12490506974"/>
    <n v="95430"/>
    <x v="64"/>
  </r>
  <r>
    <s v="MDU  "/>
    <s v="BIE D AUTREFOIS EZANVILLE 95  "/>
    <x v="1"/>
    <n v="33.6942308"/>
    <n v="16"/>
    <n v="0.15278465841"/>
    <n v="95460"/>
    <x v="64"/>
  </r>
  <r>
    <s v="MDU  "/>
    <s v="BIE LENORMAND                 "/>
    <x v="1"/>
    <n v="77.104799999999997"/>
    <n v="19"/>
    <n v="0.10823243170000001"/>
    <n v="95520"/>
    <x v="64"/>
  </r>
  <r>
    <s v="MDU  "/>
    <s v="SICA VIANDES PAYS ST PIERRE 97"/>
    <x v="1"/>
    <n v="135.47269230000001"/>
    <n v="22"/>
    <n v="9.1408430309999997E-2"/>
    <n v="97000"/>
    <x v="65"/>
  </r>
  <r>
    <s v="MA   "/>
    <s v="MAISON TANZILLI MIONS         "/>
    <x v="1"/>
    <n v="27.090555599999998"/>
    <n v="7"/>
    <n v="0.55971125648999998"/>
    <n v="697803"/>
    <x v="45"/>
  </r>
  <r>
    <s v="TA   "/>
    <s v="MAISON TANZILLI MIONS         "/>
    <x v="1"/>
    <n v="33.947777799999997"/>
    <n v="10"/>
    <n v="0.45822014205"/>
    <n v="697803"/>
    <x v="45"/>
  </r>
  <r>
    <s v="TA   "/>
    <s v="BIGARD LYON CORBAS            "/>
    <x v="1"/>
    <n v="79.672727300000005"/>
    <n v="10"/>
    <n v="0.15163167503"/>
    <n v="699603"/>
    <x v="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74" firstHeaderRow="0" firstDataRow="1" firstDataCol="1" rowPageCount="1" colPageCount="1"/>
  <pivotFields count="8">
    <pivotField showAll="0"/>
    <pivotField showAll="0"/>
    <pivotField axis="axisPage" showAll="0">
      <items count="3">
        <item x="0"/>
        <item x="1"/>
        <item t="default"/>
      </items>
    </pivotField>
    <pivotField dataField="1" numFmtId="166" showAll="0"/>
    <pivotField dataField="1" showAll="0"/>
    <pivotField dataField="1" numFmtId="168" showAll="0"/>
    <pivotField showAll="0"/>
    <pivotField axis="axisRow" numFmtId="169" showAll="0" defaultSubtotal="0">
      <items count="7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66"/>
        <item x="28"/>
        <item x="29"/>
        <item x="30"/>
        <item x="31"/>
        <item x="32"/>
        <item x="67"/>
        <item x="33"/>
        <item x="34"/>
        <item x="35"/>
        <item x="36"/>
        <item x="37"/>
        <item x="38"/>
        <item x="39"/>
        <item x="68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69"/>
        <item x="58"/>
        <item x="59"/>
        <item x="60"/>
        <item x="61"/>
        <item x="62"/>
        <item x="63"/>
        <item x="64"/>
        <item x="65"/>
      </items>
    </pivotField>
  </pivotFields>
  <rowFields count="1">
    <field x="7"/>
  </rowFields>
  <rowItems count="7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2" hier="-1"/>
  </pageFields>
  <dataFields count="3">
    <dataField name="Somme de Pds/liv" fld="3" baseField="0" baseItem="0"/>
    <dataField name="Nombre de Nb/lib" fld="4" subtotal="count" baseField="0" baseItem="0"/>
    <dataField name="Moyenne de €/kg" fld="5" subtotal="average" baseField="7" baseItem="3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3" displayName="Tableau13" ref="A1:H1105" totalsRowShown="0" headerRowDxfId="10" dataDxfId="9">
  <autoFilter ref="A1:H1105"/>
  <sortState ref="A2:G1105">
    <sortCondition ref="C5:C1109"/>
  </sortState>
  <tableColumns count="8">
    <tableColumn id="1" name="Tournées" dataDxfId="8"/>
    <tableColumn id="2" name="Clients" dataDxfId="7"/>
    <tableColumn id="3" name="Durée mois" dataDxfId="6"/>
    <tableColumn id="4" name="Pds/liv" dataDxfId="5"/>
    <tableColumn id="5" name="Nb/lib" dataDxfId="4"/>
    <tableColumn id="6" name="€/kg" dataDxfId="3"/>
    <tableColumn id="7" name="CP" dataDxfId="2"/>
    <tableColumn id="8" name="Département" dataDxfId="1">
      <calculatedColumnFormula>IF(LEN(G2)=4,VALUE(LEFT(G2,1)),VALUE(LEFT(G2,2)))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76"/>
  <sheetViews>
    <sheetView showGridLines="0" tabSelected="1" workbookViewId="0">
      <selection activeCell="B2" sqref="B2"/>
    </sheetView>
  </sheetViews>
  <sheetFormatPr baseColWidth="10" defaultColWidth="9.140625" defaultRowHeight="12.75" x14ac:dyDescent="0.2"/>
  <cols>
    <col min="1" max="1" width="5" bestFit="1" customWidth="1"/>
    <col min="2" max="2" width="36.28515625" bestFit="1" customWidth="1"/>
    <col min="3" max="3" width="8" bestFit="1" customWidth="1"/>
    <col min="4" max="4" width="5.85546875" bestFit="1" customWidth="1"/>
    <col min="5" max="5" width="6.85546875" bestFit="1" customWidth="1"/>
    <col min="6" max="6" width="8" bestFit="1" customWidth="1"/>
    <col min="7" max="7" width="5.85546875" bestFit="1" customWidth="1"/>
    <col min="8" max="8" width="6.85546875" bestFit="1" customWidth="1"/>
    <col min="9" max="9" width="0" hidden="1" customWidth="1"/>
  </cols>
  <sheetData>
    <row r="1" spans="1:8" ht="25.5" x14ac:dyDescent="0.25">
      <c r="A1" s="10"/>
      <c r="B1" s="34" t="s">
        <v>844</v>
      </c>
      <c r="C1" s="33"/>
      <c r="D1" s="33"/>
    </row>
    <row r="3" spans="1:8" x14ac:dyDescent="0.2">
      <c r="A3" s="11"/>
      <c r="B3" s="33"/>
      <c r="C3" s="33"/>
      <c r="D3" s="33"/>
      <c r="E3" s="33"/>
    </row>
    <row r="5" spans="1:8" ht="38.25" x14ac:dyDescent="0.2">
      <c r="A5" s="35"/>
      <c r="B5" s="36"/>
      <c r="C5" s="23" t="s">
        <v>633</v>
      </c>
      <c r="D5" s="4" t="s">
        <v>634</v>
      </c>
      <c r="E5" s="24" t="s">
        <v>635</v>
      </c>
      <c r="F5" s="23" t="s">
        <v>636</v>
      </c>
      <c r="G5" s="4" t="s">
        <v>637</v>
      </c>
      <c r="H5" s="24" t="s">
        <v>638</v>
      </c>
    </row>
    <row r="6" spans="1:8" x14ac:dyDescent="0.2">
      <c r="A6" s="14" t="s">
        <v>5</v>
      </c>
      <c r="B6" s="22" t="s">
        <v>6</v>
      </c>
      <c r="C6" s="25">
        <v>6.34</v>
      </c>
      <c r="D6" s="15">
        <v>1</v>
      </c>
      <c r="E6" s="26">
        <v>0.15</v>
      </c>
      <c r="F6" s="25">
        <v>6.34</v>
      </c>
      <c r="G6" s="8">
        <v>1</v>
      </c>
      <c r="H6" s="26">
        <v>0.15</v>
      </c>
    </row>
    <row r="7" spans="1:8" x14ac:dyDescent="0.2">
      <c r="A7" s="14" t="s">
        <v>5</v>
      </c>
      <c r="B7" s="22" t="s">
        <v>7</v>
      </c>
      <c r="C7" s="25">
        <v>185.5</v>
      </c>
      <c r="D7" s="15">
        <v>1</v>
      </c>
      <c r="E7" s="26">
        <v>0.15</v>
      </c>
      <c r="F7" s="25">
        <v>185.5</v>
      </c>
      <c r="G7" s="8">
        <v>1</v>
      </c>
      <c r="H7" s="26">
        <v>0.15</v>
      </c>
    </row>
    <row r="8" spans="1:8" x14ac:dyDescent="0.2">
      <c r="A8" s="14" t="s">
        <v>8</v>
      </c>
      <c r="B8" s="22" t="s">
        <v>9</v>
      </c>
      <c r="C8" s="27"/>
      <c r="D8" s="13"/>
      <c r="E8" s="28"/>
      <c r="F8" s="25">
        <v>23.34</v>
      </c>
      <c r="G8" s="8">
        <v>8</v>
      </c>
      <c r="H8" s="26">
        <v>2.4164524421600002</v>
      </c>
    </row>
    <row r="9" spans="1:8" x14ac:dyDescent="0.2">
      <c r="A9" s="14" t="s">
        <v>8</v>
      </c>
      <c r="B9" s="22" t="s">
        <v>10</v>
      </c>
      <c r="C9" s="27"/>
      <c r="D9" s="13"/>
      <c r="E9" s="28"/>
      <c r="F9" s="25">
        <v>64.510000000000005</v>
      </c>
      <c r="G9" s="8">
        <v>1</v>
      </c>
      <c r="H9" s="26">
        <v>0.28383196404</v>
      </c>
    </row>
    <row r="10" spans="1:8" x14ac:dyDescent="0.2">
      <c r="A10" s="14" t="s">
        <v>8</v>
      </c>
      <c r="B10" s="22" t="s">
        <v>11</v>
      </c>
      <c r="C10" s="25">
        <v>32.21</v>
      </c>
      <c r="D10" s="15">
        <v>1</v>
      </c>
      <c r="E10" s="26">
        <v>1.7510090034200001</v>
      </c>
      <c r="F10" s="25">
        <v>31.105</v>
      </c>
      <c r="G10" s="8">
        <v>2</v>
      </c>
      <c r="H10" s="26">
        <v>1.8132133097600001</v>
      </c>
    </row>
    <row r="11" spans="1:8" x14ac:dyDescent="0.2">
      <c r="A11" s="14" t="s">
        <v>8</v>
      </c>
      <c r="B11" s="22" t="s">
        <v>12</v>
      </c>
      <c r="C11" s="27"/>
      <c r="D11" s="13"/>
      <c r="E11" s="28"/>
      <c r="F11" s="25">
        <v>22.396666700000001</v>
      </c>
      <c r="G11" s="8">
        <v>3</v>
      </c>
      <c r="H11" s="26">
        <v>1.6484595922</v>
      </c>
    </row>
    <row r="12" spans="1:8" x14ac:dyDescent="0.2">
      <c r="A12" s="14" t="s">
        <v>8</v>
      </c>
      <c r="B12" s="22" t="s">
        <v>13</v>
      </c>
      <c r="C12" s="27"/>
      <c r="D12" s="13"/>
      <c r="E12" s="28"/>
      <c r="F12" s="25">
        <v>27.94</v>
      </c>
      <c r="G12" s="8">
        <v>1</v>
      </c>
      <c r="H12" s="26">
        <v>0.58231925554999997</v>
      </c>
    </row>
    <row r="13" spans="1:8" x14ac:dyDescent="0.2">
      <c r="A13" s="14" t="s">
        <v>8</v>
      </c>
      <c r="B13" s="22" t="s">
        <v>14</v>
      </c>
      <c r="C13" s="25">
        <v>51.42</v>
      </c>
      <c r="D13" s="15">
        <v>1</v>
      </c>
      <c r="E13" s="26">
        <v>1.0184753014400001</v>
      </c>
      <c r="F13" s="25">
        <v>145.9533333</v>
      </c>
      <c r="G13" s="8">
        <v>6</v>
      </c>
      <c r="H13" s="26">
        <v>0.57505138628999997</v>
      </c>
    </row>
    <row r="14" spans="1:8" x14ac:dyDescent="0.2">
      <c r="A14" s="14" t="s">
        <v>8</v>
      </c>
      <c r="B14" s="22" t="s">
        <v>15</v>
      </c>
      <c r="C14" s="27"/>
      <c r="D14" s="13"/>
      <c r="E14" s="28"/>
      <c r="F14" s="25">
        <v>5.3</v>
      </c>
      <c r="G14" s="8">
        <v>1</v>
      </c>
      <c r="H14" s="26">
        <v>3.06981132075</v>
      </c>
    </row>
    <row r="15" spans="1:8" x14ac:dyDescent="0.2">
      <c r="A15" s="14" t="s">
        <v>8</v>
      </c>
      <c r="B15" s="22" t="s">
        <v>16</v>
      </c>
      <c r="C15" s="27"/>
      <c r="D15" s="13"/>
      <c r="E15" s="28"/>
      <c r="F15" s="25">
        <v>123.9</v>
      </c>
      <c r="G15" s="8">
        <v>1</v>
      </c>
      <c r="H15" s="26">
        <v>0.20338983051000001</v>
      </c>
    </row>
    <row r="16" spans="1:8" x14ac:dyDescent="0.2">
      <c r="A16" s="14" t="s">
        <v>8</v>
      </c>
      <c r="B16" s="22" t="s">
        <v>17</v>
      </c>
      <c r="C16" s="27"/>
      <c r="D16" s="13"/>
      <c r="E16" s="28"/>
      <c r="F16" s="25">
        <v>43.436666700000004</v>
      </c>
      <c r="G16" s="8">
        <v>3</v>
      </c>
      <c r="H16" s="26">
        <v>0.88373877676000001</v>
      </c>
    </row>
    <row r="17" spans="1:8" x14ac:dyDescent="0.2">
      <c r="A17" s="14" t="s">
        <v>8</v>
      </c>
      <c r="B17" s="22" t="s">
        <v>18</v>
      </c>
      <c r="C17" s="27"/>
      <c r="D17" s="13"/>
      <c r="E17" s="28"/>
      <c r="F17" s="25">
        <v>13.3</v>
      </c>
      <c r="G17" s="8">
        <v>1</v>
      </c>
      <c r="H17" s="26">
        <v>1.22330827068</v>
      </c>
    </row>
    <row r="18" spans="1:8" x14ac:dyDescent="0.2">
      <c r="A18" s="14" t="s">
        <v>8</v>
      </c>
      <c r="B18" s="22" t="s">
        <v>19</v>
      </c>
      <c r="C18" s="27"/>
      <c r="D18" s="13"/>
      <c r="E18" s="28"/>
      <c r="F18" s="25">
        <v>87.67</v>
      </c>
      <c r="G18" s="8">
        <v>4</v>
      </c>
      <c r="H18" s="26">
        <v>0.56372761492000001</v>
      </c>
    </row>
    <row r="19" spans="1:8" x14ac:dyDescent="0.2">
      <c r="A19" s="14" t="s">
        <v>8</v>
      </c>
      <c r="B19" s="22" t="s">
        <v>20</v>
      </c>
      <c r="C19" s="25">
        <v>48.56</v>
      </c>
      <c r="D19" s="15">
        <v>1</v>
      </c>
      <c r="E19" s="26">
        <v>1.2312602965399999</v>
      </c>
      <c r="F19" s="25">
        <v>32.216666699999998</v>
      </c>
      <c r="G19" s="8">
        <v>3</v>
      </c>
      <c r="H19" s="26">
        <v>1.7857216761500001</v>
      </c>
    </row>
    <row r="20" spans="1:8" x14ac:dyDescent="0.2">
      <c r="A20" s="14" t="s">
        <v>8</v>
      </c>
      <c r="B20" s="22" t="s">
        <v>21</v>
      </c>
      <c r="C20" s="25">
        <v>44.23</v>
      </c>
      <c r="D20" s="15">
        <v>1</v>
      </c>
      <c r="E20" s="26">
        <v>0.99886954555999996</v>
      </c>
      <c r="F20" s="25">
        <v>31.24</v>
      </c>
      <c r="G20" s="8">
        <v>8</v>
      </c>
      <c r="H20" s="26">
        <v>1.34391005122</v>
      </c>
    </row>
    <row r="21" spans="1:8" x14ac:dyDescent="0.2">
      <c r="A21" s="14" t="s">
        <v>8</v>
      </c>
      <c r="B21" s="22" t="s">
        <v>22</v>
      </c>
      <c r="C21" s="25">
        <v>19.260000000000002</v>
      </c>
      <c r="D21" s="15">
        <v>1</v>
      </c>
      <c r="E21" s="26">
        <v>0.33904465213000001</v>
      </c>
      <c r="F21" s="25">
        <v>47.811999999999998</v>
      </c>
      <c r="G21" s="8">
        <v>5</v>
      </c>
      <c r="H21" s="26">
        <v>0.33902785911</v>
      </c>
    </row>
    <row r="22" spans="1:8" x14ac:dyDescent="0.2">
      <c r="A22" s="14" t="s">
        <v>8</v>
      </c>
      <c r="B22" s="22" t="s">
        <v>23</v>
      </c>
      <c r="C22" s="27"/>
      <c r="D22" s="13"/>
      <c r="E22" s="28"/>
      <c r="F22" s="25">
        <v>13.98</v>
      </c>
      <c r="G22" s="8">
        <v>2</v>
      </c>
      <c r="H22" s="26">
        <v>0</v>
      </c>
    </row>
    <row r="23" spans="1:8" x14ac:dyDescent="0.2">
      <c r="A23" s="14" t="s">
        <v>8</v>
      </c>
      <c r="B23" s="22" t="s">
        <v>24</v>
      </c>
      <c r="C23" s="27"/>
      <c r="D23" s="13"/>
      <c r="E23" s="28"/>
      <c r="F23" s="25">
        <v>14.556666699999999</v>
      </c>
      <c r="G23" s="8">
        <v>3</v>
      </c>
      <c r="H23" s="26">
        <v>0.33895122509999998</v>
      </c>
    </row>
    <row r="24" spans="1:8" x14ac:dyDescent="0.2">
      <c r="A24" s="14" t="s">
        <v>8</v>
      </c>
      <c r="B24" s="22" t="s">
        <v>25</v>
      </c>
      <c r="C24" s="25">
        <v>18.96</v>
      </c>
      <c r="D24" s="15">
        <v>1</v>
      </c>
      <c r="E24" s="26">
        <v>0.33897679325000002</v>
      </c>
      <c r="F24" s="25">
        <v>24.46</v>
      </c>
      <c r="G24" s="8">
        <v>4</v>
      </c>
      <c r="H24" s="26">
        <v>0.33891046607000003</v>
      </c>
    </row>
    <row r="25" spans="1:8" x14ac:dyDescent="0.2">
      <c r="A25" s="14" t="s">
        <v>8</v>
      </c>
      <c r="B25" s="22" t="s">
        <v>26</v>
      </c>
      <c r="C25" s="27"/>
      <c r="D25" s="13"/>
      <c r="E25" s="28"/>
      <c r="F25" s="25">
        <v>14.935</v>
      </c>
      <c r="G25" s="8">
        <v>4</v>
      </c>
      <c r="H25" s="26">
        <v>0.33913625711000001</v>
      </c>
    </row>
    <row r="26" spans="1:8" x14ac:dyDescent="0.2">
      <c r="A26" s="14" t="s">
        <v>8</v>
      </c>
      <c r="B26" s="22" t="s">
        <v>27</v>
      </c>
      <c r="C26" s="27"/>
      <c r="D26" s="13"/>
      <c r="E26" s="28"/>
      <c r="F26" s="25">
        <v>18.72</v>
      </c>
      <c r="G26" s="8">
        <v>1</v>
      </c>
      <c r="H26" s="26">
        <v>0.33878205128</v>
      </c>
    </row>
    <row r="27" spans="1:8" x14ac:dyDescent="0.2">
      <c r="A27" s="14" t="s">
        <v>8</v>
      </c>
      <c r="B27" s="22" t="s">
        <v>28</v>
      </c>
      <c r="C27" s="25">
        <v>21.45</v>
      </c>
      <c r="D27" s="15">
        <v>1</v>
      </c>
      <c r="E27" s="26">
        <v>1.94265734266</v>
      </c>
      <c r="F27" s="25">
        <v>19.62</v>
      </c>
      <c r="G27" s="8">
        <v>7</v>
      </c>
      <c r="H27" s="26">
        <v>2.1238532110100001</v>
      </c>
    </row>
    <row r="28" spans="1:8" x14ac:dyDescent="0.2">
      <c r="A28" s="14" t="s">
        <v>8</v>
      </c>
      <c r="B28" s="22" t="s">
        <v>29</v>
      </c>
      <c r="C28" s="27"/>
      <c r="D28" s="13"/>
      <c r="E28" s="28"/>
      <c r="F28" s="25">
        <v>20.72</v>
      </c>
      <c r="G28" s="8">
        <v>1</v>
      </c>
      <c r="H28" s="26">
        <v>1.6081081081099999</v>
      </c>
    </row>
    <row r="29" spans="1:8" x14ac:dyDescent="0.2">
      <c r="A29" s="14" t="s">
        <v>8</v>
      </c>
      <c r="B29" s="22" t="s">
        <v>30</v>
      </c>
      <c r="C29" s="25">
        <v>28.86</v>
      </c>
      <c r="D29" s="15">
        <v>2</v>
      </c>
      <c r="E29" s="26">
        <v>0.33906791406999998</v>
      </c>
      <c r="F29" s="25">
        <v>28.254285700000001</v>
      </c>
      <c r="G29" s="8">
        <v>7</v>
      </c>
      <c r="H29" s="26">
        <v>0.33905854990000001</v>
      </c>
    </row>
    <row r="30" spans="1:8" x14ac:dyDescent="0.2">
      <c r="A30" s="14" t="s">
        <v>8</v>
      </c>
      <c r="B30" s="22" t="s">
        <v>31</v>
      </c>
      <c r="C30" s="25">
        <v>20.13</v>
      </c>
      <c r="D30" s="15">
        <v>1</v>
      </c>
      <c r="E30" s="26">
        <v>2.0700447093899998</v>
      </c>
      <c r="F30" s="25">
        <v>22.696000000000002</v>
      </c>
      <c r="G30" s="8">
        <v>5</v>
      </c>
      <c r="H30" s="26">
        <v>1.8360063447299999</v>
      </c>
    </row>
    <row r="31" spans="1:8" x14ac:dyDescent="0.2">
      <c r="A31" s="14" t="s">
        <v>8</v>
      </c>
      <c r="B31" s="22" t="s">
        <v>32</v>
      </c>
      <c r="C31" s="25">
        <v>19.524999999999999</v>
      </c>
      <c r="D31" s="15">
        <v>2</v>
      </c>
      <c r="E31" s="26">
        <v>0.33889884763</v>
      </c>
      <c r="F31" s="25">
        <v>19.84</v>
      </c>
      <c r="G31" s="8">
        <v>5</v>
      </c>
      <c r="H31" s="26">
        <v>0.33902217742000001</v>
      </c>
    </row>
    <row r="32" spans="1:8" x14ac:dyDescent="0.2">
      <c r="A32" s="14" t="s">
        <v>8</v>
      </c>
      <c r="B32" s="22" t="s">
        <v>33</v>
      </c>
      <c r="C32" s="27"/>
      <c r="D32" s="13"/>
      <c r="E32" s="28"/>
      <c r="F32" s="25">
        <v>40.1</v>
      </c>
      <c r="G32" s="8">
        <v>2</v>
      </c>
      <c r="H32" s="26">
        <v>0.33892768080000002</v>
      </c>
    </row>
    <row r="33" spans="1:8" x14ac:dyDescent="0.2">
      <c r="A33" s="14" t="s">
        <v>8</v>
      </c>
      <c r="B33" s="22" t="s">
        <v>34</v>
      </c>
      <c r="C33" s="25">
        <v>15.81</v>
      </c>
      <c r="D33" s="15">
        <v>2</v>
      </c>
      <c r="E33" s="26">
        <v>0.33883617963000001</v>
      </c>
      <c r="F33" s="25">
        <v>15.0525</v>
      </c>
      <c r="G33" s="8">
        <v>8</v>
      </c>
      <c r="H33" s="26">
        <v>0.33898854011000001</v>
      </c>
    </row>
    <row r="34" spans="1:8" x14ac:dyDescent="0.2">
      <c r="A34" s="14" t="s">
        <v>8</v>
      </c>
      <c r="B34" s="22" t="s">
        <v>35</v>
      </c>
      <c r="C34" s="25">
        <v>19.059999999999999</v>
      </c>
      <c r="D34" s="15">
        <v>1</v>
      </c>
      <c r="E34" s="26">
        <v>0.33882476389999999</v>
      </c>
      <c r="F34" s="25">
        <v>23.344999999999999</v>
      </c>
      <c r="G34" s="8">
        <v>6</v>
      </c>
      <c r="H34" s="26">
        <v>0.33905904191000003</v>
      </c>
    </row>
    <row r="35" spans="1:8" x14ac:dyDescent="0.2">
      <c r="A35" s="14" t="s">
        <v>8</v>
      </c>
      <c r="B35" s="22" t="s">
        <v>36</v>
      </c>
      <c r="C35" s="25">
        <v>19.524999999999999</v>
      </c>
      <c r="D35" s="15">
        <v>2</v>
      </c>
      <c r="E35" s="26">
        <v>2.1341869398200002</v>
      </c>
      <c r="F35" s="25">
        <v>19.350000000000001</v>
      </c>
      <c r="G35" s="8">
        <v>8</v>
      </c>
      <c r="H35" s="26">
        <v>2.15348837209</v>
      </c>
    </row>
    <row r="36" spans="1:8" x14ac:dyDescent="0.2">
      <c r="A36" s="14" t="s">
        <v>8</v>
      </c>
      <c r="B36" s="22" t="s">
        <v>37</v>
      </c>
      <c r="C36" s="27"/>
      <c r="D36" s="13"/>
      <c r="E36" s="28"/>
      <c r="F36" s="25">
        <v>181.60749999999999</v>
      </c>
      <c r="G36" s="8">
        <v>4</v>
      </c>
      <c r="H36" s="26">
        <v>0.63426482936999995</v>
      </c>
    </row>
    <row r="37" spans="1:8" x14ac:dyDescent="0.2">
      <c r="A37" s="14" t="s">
        <v>8</v>
      </c>
      <c r="B37" s="22" t="s">
        <v>38</v>
      </c>
      <c r="C37" s="25">
        <v>170.94</v>
      </c>
      <c r="D37" s="15">
        <v>1</v>
      </c>
      <c r="E37" s="26">
        <v>0.57661752661999999</v>
      </c>
      <c r="F37" s="25">
        <v>237.4722222</v>
      </c>
      <c r="G37" s="8">
        <v>9</v>
      </c>
      <c r="H37" s="26">
        <v>0.51923546614000005</v>
      </c>
    </row>
    <row r="38" spans="1:8" x14ac:dyDescent="0.2">
      <c r="A38" s="14" t="s">
        <v>8</v>
      </c>
      <c r="B38" s="22" t="s">
        <v>39</v>
      </c>
      <c r="C38" s="27"/>
      <c r="D38" s="13"/>
      <c r="E38" s="28"/>
      <c r="F38" s="25">
        <v>183.34</v>
      </c>
      <c r="G38" s="8">
        <v>1</v>
      </c>
      <c r="H38" s="26">
        <v>0.52224282752999995</v>
      </c>
    </row>
    <row r="39" spans="1:8" x14ac:dyDescent="0.2">
      <c r="A39" s="14" t="s">
        <v>8</v>
      </c>
      <c r="B39" s="22" t="s">
        <v>40</v>
      </c>
      <c r="C39" s="27"/>
      <c r="D39" s="13"/>
      <c r="E39" s="28"/>
      <c r="F39" s="25">
        <v>158.8725</v>
      </c>
      <c r="G39" s="8">
        <v>4</v>
      </c>
      <c r="H39" s="26">
        <v>0.33897779666</v>
      </c>
    </row>
    <row r="40" spans="1:8" x14ac:dyDescent="0.2">
      <c r="A40" s="14" t="s">
        <v>8</v>
      </c>
      <c r="B40" s="22" t="s">
        <v>41</v>
      </c>
      <c r="C40" s="27"/>
      <c r="D40" s="13"/>
      <c r="E40" s="28"/>
      <c r="F40" s="25">
        <v>18.984000000000002</v>
      </c>
      <c r="G40" s="8">
        <v>5</v>
      </c>
      <c r="H40" s="26">
        <v>2.1950063211100002</v>
      </c>
    </row>
    <row r="41" spans="1:8" x14ac:dyDescent="0.2">
      <c r="A41" s="14" t="s">
        <v>8</v>
      </c>
      <c r="B41" s="22" t="s">
        <v>42</v>
      </c>
      <c r="C41" s="25">
        <v>18.82</v>
      </c>
      <c r="D41" s="15">
        <v>1</v>
      </c>
      <c r="E41" s="26">
        <v>2.2141339001100002</v>
      </c>
      <c r="F41" s="25">
        <v>19.373999999999999</v>
      </c>
      <c r="G41" s="8">
        <v>5</v>
      </c>
      <c r="H41" s="26">
        <v>2.15082068752</v>
      </c>
    </row>
    <row r="42" spans="1:8" x14ac:dyDescent="0.2">
      <c r="A42" s="14" t="s">
        <v>8</v>
      </c>
      <c r="B42" s="22" t="s">
        <v>43</v>
      </c>
      <c r="C42" s="25">
        <v>33.380000000000003</v>
      </c>
      <c r="D42" s="15">
        <v>1</v>
      </c>
      <c r="E42" s="26">
        <v>0.90293588975000005</v>
      </c>
      <c r="F42" s="25">
        <v>22.281428600000002</v>
      </c>
      <c r="G42" s="8">
        <v>7</v>
      </c>
      <c r="H42" s="26">
        <v>1.35269603129</v>
      </c>
    </row>
    <row r="43" spans="1:8" x14ac:dyDescent="0.2">
      <c r="A43" s="14" t="s">
        <v>8</v>
      </c>
      <c r="B43" s="22" t="s">
        <v>44</v>
      </c>
      <c r="C43" s="27"/>
      <c r="D43" s="13"/>
      <c r="E43" s="28"/>
      <c r="F43" s="25">
        <v>730.98</v>
      </c>
      <c r="G43" s="8">
        <v>2</v>
      </c>
      <c r="H43" s="26">
        <v>0.34149497934</v>
      </c>
    </row>
    <row r="44" spans="1:8" x14ac:dyDescent="0.2">
      <c r="A44" s="14" t="s">
        <v>8</v>
      </c>
      <c r="B44" s="22" t="s">
        <v>45</v>
      </c>
      <c r="C44" s="27"/>
      <c r="D44" s="13"/>
      <c r="E44" s="28"/>
      <c r="F44" s="25">
        <v>20.13</v>
      </c>
      <c r="G44" s="8">
        <v>3</v>
      </c>
      <c r="H44" s="26">
        <v>1.5764199370800001</v>
      </c>
    </row>
    <row r="45" spans="1:8" x14ac:dyDescent="0.2">
      <c r="A45" s="14" t="s">
        <v>8</v>
      </c>
      <c r="B45" s="22" t="s">
        <v>46</v>
      </c>
      <c r="C45" s="25">
        <v>13.63</v>
      </c>
      <c r="D45" s="15">
        <v>1</v>
      </c>
      <c r="E45" s="26">
        <v>1.1936903888499999</v>
      </c>
      <c r="F45" s="25">
        <v>18.002500000000001</v>
      </c>
      <c r="G45" s="8">
        <v>4</v>
      </c>
      <c r="H45" s="26">
        <v>0.93209276489000004</v>
      </c>
    </row>
    <row r="46" spans="1:8" x14ac:dyDescent="0.2">
      <c r="A46" s="14" t="s">
        <v>8</v>
      </c>
      <c r="B46" s="22" t="s">
        <v>47</v>
      </c>
      <c r="C46" s="27"/>
      <c r="D46" s="13"/>
      <c r="E46" s="28"/>
      <c r="F46" s="25">
        <v>68.117999999999995</v>
      </c>
      <c r="G46" s="8">
        <v>5</v>
      </c>
      <c r="H46" s="26">
        <v>0.47452949294000002</v>
      </c>
    </row>
    <row r="47" spans="1:8" x14ac:dyDescent="0.2">
      <c r="A47" s="14" t="s">
        <v>8</v>
      </c>
      <c r="B47" s="22" t="s">
        <v>48</v>
      </c>
      <c r="C47" s="27"/>
      <c r="D47" s="13"/>
      <c r="E47" s="28"/>
      <c r="F47" s="25">
        <v>19.647500000000001</v>
      </c>
      <c r="G47" s="8">
        <v>4</v>
      </c>
      <c r="H47" s="26">
        <v>1.87911948085</v>
      </c>
    </row>
    <row r="48" spans="1:8" x14ac:dyDescent="0.2">
      <c r="A48" s="14" t="s">
        <v>8</v>
      </c>
      <c r="B48" s="22" t="s">
        <v>49</v>
      </c>
      <c r="C48" s="25">
        <v>16.46</v>
      </c>
      <c r="D48" s="15">
        <v>1</v>
      </c>
      <c r="E48" s="26">
        <v>2.5315917375499999</v>
      </c>
      <c r="F48" s="25">
        <v>15.7766667</v>
      </c>
      <c r="G48" s="8">
        <v>3</v>
      </c>
      <c r="H48" s="26">
        <v>2.6412423410099999</v>
      </c>
    </row>
    <row r="49" spans="1:8" x14ac:dyDescent="0.2">
      <c r="A49" s="14" t="s">
        <v>8</v>
      </c>
      <c r="B49" s="22" t="s">
        <v>50</v>
      </c>
      <c r="C49" s="27"/>
      <c r="D49" s="13"/>
      <c r="E49" s="28"/>
      <c r="F49" s="25">
        <v>47.145714300000002</v>
      </c>
      <c r="G49" s="8">
        <v>7</v>
      </c>
      <c r="H49" s="26">
        <v>0.91427792254999996</v>
      </c>
    </row>
    <row r="50" spans="1:8" x14ac:dyDescent="0.2">
      <c r="A50" s="14" t="s">
        <v>8</v>
      </c>
      <c r="B50" s="22" t="s">
        <v>51</v>
      </c>
      <c r="C50" s="27"/>
      <c r="D50" s="13"/>
      <c r="E50" s="28"/>
      <c r="F50" s="25">
        <v>5</v>
      </c>
      <c r="G50" s="8">
        <v>1</v>
      </c>
      <c r="H50" s="26">
        <v>3.254</v>
      </c>
    </row>
    <row r="51" spans="1:8" x14ac:dyDescent="0.2">
      <c r="A51" s="14" t="s">
        <v>8</v>
      </c>
      <c r="B51" s="22" t="s">
        <v>52</v>
      </c>
      <c r="C51" s="25">
        <v>2.4700000000000002</v>
      </c>
      <c r="D51" s="15">
        <v>1</v>
      </c>
      <c r="E51" s="26">
        <v>6.5870445344100004</v>
      </c>
      <c r="F51" s="25">
        <v>25.106000000000002</v>
      </c>
      <c r="G51" s="8">
        <v>5</v>
      </c>
      <c r="H51" s="26">
        <v>0.66430335378000005</v>
      </c>
    </row>
    <row r="52" spans="1:8" x14ac:dyDescent="0.2">
      <c r="A52" s="14" t="s">
        <v>8</v>
      </c>
      <c r="B52" s="22" t="s">
        <v>53</v>
      </c>
      <c r="C52" s="25">
        <v>14.66</v>
      </c>
      <c r="D52" s="15">
        <v>1</v>
      </c>
      <c r="E52" s="26">
        <v>3.84720327422</v>
      </c>
      <c r="F52" s="25">
        <v>27.358000000000001</v>
      </c>
      <c r="G52" s="8">
        <v>5</v>
      </c>
      <c r="H52" s="26">
        <v>2.0615542071799999</v>
      </c>
    </row>
    <row r="53" spans="1:8" x14ac:dyDescent="0.2">
      <c r="A53" s="14" t="s">
        <v>8</v>
      </c>
      <c r="B53" s="22" t="s">
        <v>54</v>
      </c>
      <c r="C53" s="27"/>
      <c r="D53" s="13"/>
      <c r="E53" s="28"/>
      <c r="F53" s="25">
        <v>14.63</v>
      </c>
      <c r="G53" s="8">
        <v>1</v>
      </c>
      <c r="H53" s="26">
        <v>1.1120984278899999</v>
      </c>
    </row>
    <row r="54" spans="1:8" x14ac:dyDescent="0.2">
      <c r="A54" s="14" t="s">
        <v>8</v>
      </c>
      <c r="B54" s="22" t="s">
        <v>55</v>
      </c>
      <c r="C54" s="27"/>
      <c r="D54" s="13"/>
      <c r="E54" s="28"/>
      <c r="F54" s="25">
        <v>58.22</v>
      </c>
      <c r="G54" s="8">
        <v>4</v>
      </c>
      <c r="H54" s="26">
        <v>0.55384747508999999</v>
      </c>
    </row>
    <row r="55" spans="1:8" x14ac:dyDescent="0.2">
      <c r="A55" s="14" t="s">
        <v>8</v>
      </c>
      <c r="B55" s="22" t="s">
        <v>56</v>
      </c>
      <c r="C55" s="27"/>
      <c r="D55" s="13"/>
      <c r="E55" s="28"/>
      <c r="F55" s="25">
        <v>21.844999999999999</v>
      </c>
      <c r="G55" s="8">
        <v>2</v>
      </c>
      <c r="H55" s="26">
        <v>1.5252918287899999</v>
      </c>
    </row>
    <row r="56" spans="1:8" x14ac:dyDescent="0.2">
      <c r="A56" s="14" t="s">
        <v>8</v>
      </c>
      <c r="B56" s="22" t="s">
        <v>57</v>
      </c>
      <c r="C56" s="27"/>
      <c r="D56" s="13"/>
      <c r="E56" s="28"/>
      <c r="F56" s="25">
        <v>9.5500000000000007</v>
      </c>
      <c r="G56" s="8">
        <v>3</v>
      </c>
      <c r="H56" s="26">
        <v>3.1560209424100001</v>
      </c>
    </row>
    <row r="57" spans="1:8" x14ac:dyDescent="0.2">
      <c r="A57" s="14" t="s">
        <v>8</v>
      </c>
      <c r="B57" s="22" t="s">
        <v>58</v>
      </c>
      <c r="C57" s="25">
        <v>15.32</v>
      </c>
      <c r="D57" s="15">
        <v>1</v>
      </c>
      <c r="E57" s="26">
        <v>2.2389033942599998</v>
      </c>
      <c r="F57" s="25">
        <v>17</v>
      </c>
      <c r="G57" s="8">
        <v>2</v>
      </c>
      <c r="H57" s="26">
        <v>2.0176470588200002</v>
      </c>
    </row>
    <row r="58" spans="1:8" x14ac:dyDescent="0.2">
      <c r="A58" s="14" t="s">
        <v>8</v>
      </c>
      <c r="B58" s="22" t="s">
        <v>59</v>
      </c>
      <c r="C58" s="27"/>
      <c r="D58" s="13"/>
      <c r="E58" s="28"/>
      <c r="F58" s="25">
        <v>211.45</v>
      </c>
      <c r="G58" s="8">
        <v>1</v>
      </c>
      <c r="H58" s="26">
        <v>0.40174982264999998</v>
      </c>
    </row>
    <row r="59" spans="1:8" x14ac:dyDescent="0.2">
      <c r="A59" s="14" t="s">
        <v>8</v>
      </c>
      <c r="B59" s="22" t="s">
        <v>60</v>
      </c>
      <c r="C59" s="27"/>
      <c r="D59" s="13"/>
      <c r="E59" s="28"/>
      <c r="F59" s="25">
        <v>30.114999999999998</v>
      </c>
      <c r="G59" s="8">
        <v>4</v>
      </c>
      <c r="H59" s="26">
        <v>1.72397476341</v>
      </c>
    </row>
    <row r="60" spans="1:8" x14ac:dyDescent="0.2">
      <c r="A60" s="14" t="s">
        <v>8</v>
      </c>
      <c r="B60" s="22" t="s">
        <v>61</v>
      </c>
      <c r="C60" s="27"/>
      <c r="D60" s="13"/>
      <c r="E60" s="28"/>
      <c r="F60" s="25">
        <v>15.295999999999999</v>
      </c>
      <c r="G60" s="8">
        <v>5</v>
      </c>
      <c r="H60" s="26">
        <v>1.97044979079</v>
      </c>
    </row>
    <row r="61" spans="1:8" x14ac:dyDescent="0.2">
      <c r="A61" s="14" t="s">
        <v>8</v>
      </c>
      <c r="B61" s="22" t="s">
        <v>62</v>
      </c>
      <c r="C61" s="25">
        <v>41.86</v>
      </c>
      <c r="D61" s="15">
        <v>1</v>
      </c>
      <c r="E61" s="26">
        <v>0.66292403248999998</v>
      </c>
      <c r="F61" s="25">
        <v>60.813333299999996</v>
      </c>
      <c r="G61" s="8">
        <v>3</v>
      </c>
      <c r="H61" s="26">
        <v>0.46091865819</v>
      </c>
    </row>
    <row r="62" spans="1:8" x14ac:dyDescent="0.2">
      <c r="A62" s="14" t="s">
        <v>8</v>
      </c>
      <c r="B62" s="22" t="s">
        <v>63</v>
      </c>
      <c r="C62" s="27"/>
      <c r="D62" s="13"/>
      <c r="E62" s="28"/>
      <c r="F62" s="25">
        <v>7.4</v>
      </c>
      <c r="G62" s="8">
        <v>1</v>
      </c>
      <c r="H62" s="26">
        <v>7.6216216216200001</v>
      </c>
    </row>
    <row r="63" spans="1:8" x14ac:dyDescent="0.2">
      <c r="A63" s="14" t="s">
        <v>8</v>
      </c>
      <c r="B63" s="22" t="s">
        <v>64</v>
      </c>
      <c r="C63" s="27"/>
      <c r="D63" s="13"/>
      <c r="E63" s="28"/>
      <c r="F63" s="25">
        <v>37.39</v>
      </c>
      <c r="G63" s="8">
        <v>1</v>
      </c>
      <c r="H63" s="26">
        <v>0.97619684407999996</v>
      </c>
    </row>
    <row r="64" spans="1:8" x14ac:dyDescent="0.2">
      <c r="A64" s="14" t="s">
        <v>8</v>
      </c>
      <c r="B64" s="22" t="s">
        <v>65</v>
      </c>
      <c r="C64" s="27"/>
      <c r="D64" s="13"/>
      <c r="E64" s="28"/>
      <c r="F64" s="25">
        <v>13.03</v>
      </c>
      <c r="G64" s="8">
        <v>1</v>
      </c>
      <c r="H64" s="26">
        <v>2.6323867996899999</v>
      </c>
    </row>
    <row r="65" spans="1:8" x14ac:dyDescent="0.2">
      <c r="A65" s="14" t="s">
        <v>8</v>
      </c>
      <c r="B65" s="22" t="s">
        <v>66</v>
      </c>
      <c r="C65" s="27"/>
      <c r="D65" s="13"/>
      <c r="E65" s="28"/>
      <c r="F65" s="25">
        <v>124.6</v>
      </c>
      <c r="G65" s="8">
        <v>1</v>
      </c>
      <c r="H65" s="26">
        <v>0.48562600320999999</v>
      </c>
    </row>
    <row r="66" spans="1:8" x14ac:dyDescent="0.2">
      <c r="A66" s="14" t="s">
        <v>8</v>
      </c>
      <c r="B66" s="22" t="s">
        <v>67</v>
      </c>
      <c r="C66" s="27"/>
      <c r="D66" s="13"/>
      <c r="E66" s="28"/>
      <c r="F66" s="25">
        <v>77.5</v>
      </c>
      <c r="G66" s="8">
        <v>1</v>
      </c>
      <c r="H66" s="26">
        <v>0.42451612903000002</v>
      </c>
    </row>
    <row r="67" spans="1:8" x14ac:dyDescent="0.2">
      <c r="A67" s="14" t="s">
        <v>8</v>
      </c>
      <c r="B67" s="22" t="s">
        <v>68</v>
      </c>
      <c r="C67" s="27"/>
      <c r="D67" s="13"/>
      <c r="E67" s="28"/>
      <c r="F67" s="25">
        <v>50.43</v>
      </c>
      <c r="G67" s="8">
        <v>1</v>
      </c>
      <c r="H67" s="26">
        <v>0.72080111044999995</v>
      </c>
    </row>
    <row r="68" spans="1:8" x14ac:dyDescent="0.2">
      <c r="A68" s="14" t="s">
        <v>8</v>
      </c>
      <c r="B68" s="22" t="s">
        <v>69</v>
      </c>
      <c r="C68" s="27"/>
      <c r="D68" s="13"/>
      <c r="E68" s="28"/>
      <c r="F68" s="25">
        <v>0</v>
      </c>
      <c r="G68" s="8">
        <v>1</v>
      </c>
      <c r="H68" s="28"/>
    </row>
    <row r="69" spans="1:8" x14ac:dyDescent="0.2">
      <c r="A69" s="14" t="s">
        <v>8</v>
      </c>
      <c r="B69" s="22" t="s">
        <v>70</v>
      </c>
      <c r="C69" s="27"/>
      <c r="D69" s="13"/>
      <c r="E69" s="28"/>
      <c r="F69" s="25">
        <v>336</v>
      </c>
      <c r="G69" s="8">
        <v>1</v>
      </c>
      <c r="H69" s="26">
        <v>0.53922321428999997</v>
      </c>
    </row>
    <row r="70" spans="1:8" x14ac:dyDescent="0.2">
      <c r="A70" s="14" t="s">
        <v>8</v>
      </c>
      <c r="B70" s="22" t="s">
        <v>71</v>
      </c>
      <c r="C70" s="27"/>
      <c r="D70" s="13"/>
      <c r="E70" s="28"/>
      <c r="F70" s="25">
        <v>39.24</v>
      </c>
      <c r="G70" s="8">
        <v>1</v>
      </c>
      <c r="H70" s="26">
        <v>0.84913353720999996</v>
      </c>
    </row>
    <row r="71" spans="1:8" x14ac:dyDescent="0.2">
      <c r="A71" s="14" t="s">
        <v>8</v>
      </c>
      <c r="B71" s="22" t="s">
        <v>72</v>
      </c>
      <c r="C71" s="27"/>
      <c r="D71" s="13"/>
      <c r="E71" s="28"/>
      <c r="F71" s="25">
        <v>67.155000000000001</v>
      </c>
      <c r="G71" s="8">
        <v>2</v>
      </c>
      <c r="H71" s="26">
        <v>0.71260516715</v>
      </c>
    </row>
    <row r="72" spans="1:8" x14ac:dyDescent="0.2">
      <c r="A72" s="14" t="s">
        <v>8</v>
      </c>
      <c r="B72" s="22" t="s">
        <v>73</v>
      </c>
      <c r="C72" s="27"/>
      <c r="D72" s="13"/>
      <c r="E72" s="28"/>
      <c r="F72" s="25">
        <v>42.5</v>
      </c>
      <c r="G72" s="8">
        <v>1</v>
      </c>
      <c r="H72" s="26">
        <v>1.2757647058799999</v>
      </c>
    </row>
    <row r="73" spans="1:8" x14ac:dyDescent="0.2">
      <c r="A73" s="14" t="s">
        <v>8</v>
      </c>
      <c r="B73" s="22" t="s">
        <v>74</v>
      </c>
      <c r="C73" s="25">
        <v>915.02</v>
      </c>
      <c r="D73" s="15">
        <v>1</v>
      </c>
      <c r="E73" s="26">
        <v>0.38967454263000001</v>
      </c>
      <c r="F73" s="25">
        <v>915.02</v>
      </c>
      <c r="G73" s="8">
        <v>1</v>
      </c>
      <c r="H73" s="26">
        <v>0.38967454263000001</v>
      </c>
    </row>
    <row r="74" spans="1:8" x14ac:dyDescent="0.2">
      <c r="A74" s="14" t="s">
        <v>8</v>
      </c>
      <c r="B74" s="22" t="s">
        <v>75</v>
      </c>
      <c r="C74" s="27"/>
      <c r="D74" s="13"/>
      <c r="E74" s="28"/>
      <c r="F74" s="25">
        <v>18.91</v>
      </c>
      <c r="G74" s="8">
        <v>2</v>
      </c>
      <c r="H74" s="26">
        <v>0.86039132734000001</v>
      </c>
    </row>
    <row r="75" spans="1:8" x14ac:dyDescent="0.2">
      <c r="A75" s="14" t="s">
        <v>8</v>
      </c>
      <c r="B75" s="22" t="s">
        <v>76</v>
      </c>
      <c r="C75" s="25">
        <v>3.74</v>
      </c>
      <c r="D75" s="15">
        <v>1</v>
      </c>
      <c r="E75" s="26">
        <v>4.35026737968</v>
      </c>
      <c r="F75" s="25">
        <v>5.4233333000000004</v>
      </c>
      <c r="G75" s="8">
        <v>3</v>
      </c>
      <c r="H75" s="26">
        <v>3</v>
      </c>
    </row>
    <row r="76" spans="1:8" x14ac:dyDescent="0.2">
      <c r="A76" s="14" t="s">
        <v>8</v>
      </c>
      <c r="B76" s="22" t="s">
        <v>77</v>
      </c>
      <c r="C76" s="27"/>
      <c r="D76" s="13"/>
      <c r="E76" s="28"/>
      <c r="F76" s="25">
        <v>35.49</v>
      </c>
      <c r="G76" s="8">
        <v>1</v>
      </c>
      <c r="H76" s="26">
        <v>0.73795435334000004</v>
      </c>
    </row>
    <row r="77" spans="1:8" x14ac:dyDescent="0.2">
      <c r="A77" s="14" t="s">
        <v>8</v>
      </c>
      <c r="B77" s="22" t="s">
        <v>78</v>
      </c>
      <c r="C77" s="25">
        <v>42.99</v>
      </c>
      <c r="D77" s="15">
        <v>1</v>
      </c>
      <c r="E77" s="26">
        <v>0.74296347988</v>
      </c>
      <c r="F77" s="25">
        <v>50.627499999999998</v>
      </c>
      <c r="G77" s="8">
        <v>4</v>
      </c>
      <c r="H77" s="26">
        <v>0.63088242555999996</v>
      </c>
    </row>
    <row r="78" spans="1:8" x14ac:dyDescent="0.2">
      <c r="A78" s="14" t="s">
        <v>8</v>
      </c>
      <c r="B78" s="22" t="s">
        <v>79</v>
      </c>
      <c r="C78" s="27"/>
      <c r="D78" s="13"/>
      <c r="E78" s="28"/>
      <c r="F78" s="25">
        <v>38</v>
      </c>
      <c r="G78" s="8">
        <v>4</v>
      </c>
      <c r="H78" s="26">
        <v>1.17013157895</v>
      </c>
    </row>
    <row r="79" spans="1:8" x14ac:dyDescent="0.2">
      <c r="A79" s="14" t="s">
        <v>8</v>
      </c>
      <c r="B79" s="22" t="s">
        <v>80</v>
      </c>
      <c r="C79" s="25">
        <v>18.93</v>
      </c>
      <c r="D79" s="15">
        <v>1</v>
      </c>
      <c r="E79" s="26">
        <v>2.9793977812999999</v>
      </c>
      <c r="F79" s="25">
        <v>15.4475</v>
      </c>
      <c r="G79" s="8">
        <v>4</v>
      </c>
      <c r="H79" s="26">
        <v>3.6510762259299998</v>
      </c>
    </row>
    <row r="80" spans="1:8" x14ac:dyDescent="0.2">
      <c r="A80" s="14" t="s">
        <v>8</v>
      </c>
      <c r="B80" s="22" t="s">
        <v>81</v>
      </c>
      <c r="C80" s="25">
        <v>73.239999999999995</v>
      </c>
      <c r="D80" s="15">
        <v>1</v>
      </c>
      <c r="E80" s="26">
        <v>0.54423812125000004</v>
      </c>
      <c r="F80" s="25">
        <v>85.41</v>
      </c>
      <c r="G80" s="8">
        <v>4</v>
      </c>
      <c r="H80" s="26">
        <v>0.46669008312999999</v>
      </c>
    </row>
    <row r="81" spans="1:8" x14ac:dyDescent="0.2">
      <c r="A81" s="14" t="s">
        <v>8</v>
      </c>
      <c r="B81" s="22" t="s">
        <v>82</v>
      </c>
      <c r="C81" s="27"/>
      <c r="D81" s="13"/>
      <c r="E81" s="28"/>
      <c r="F81" s="25">
        <v>16.41</v>
      </c>
      <c r="G81" s="8">
        <v>3</v>
      </c>
      <c r="H81" s="26">
        <v>1.8366849482000001</v>
      </c>
    </row>
    <row r="82" spans="1:8" x14ac:dyDescent="0.2">
      <c r="A82" s="14" t="s">
        <v>8</v>
      </c>
      <c r="B82" s="22" t="s">
        <v>83</v>
      </c>
      <c r="C82" s="27"/>
      <c r="D82" s="13"/>
      <c r="E82" s="28"/>
      <c r="F82" s="25">
        <v>17.23</v>
      </c>
      <c r="G82" s="8">
        <v>3</v>
      </c>
      <c r="H82" s="26">
        <v>1.52002321532</v>
      </c>
    </row>
    <row r="83" spans="1:8" x14ac:dyDescent="0.2">
      <c r="A83" s="14" t="s">
        <v>8</v>
      </c>
      <c r="B83" s="22" t="s">
        <v>84</v>
      </c>
      <c r="C83" s="27"/>
      <c r="D83" s="13"/>
      <c r="E83" s="28"/>
      <c r="F83" s="25">
        <v>36.729999999999997</v>
      </c>
      <c r="G83" s="8">
        <v>1</v>
      </c>
      <c r="H83" s="26">
        <v>0.71304111080999999</v>
      </c>
    </row>
    <row r="84" spans="1:8" x14ac:dyDescent="0.2">
      <c r="A84" s="14" t="s">
        <v>8</v>
      </c>
      <c r="B84" s="22" t="s">
        <v>85</v>
      </c>
      <c r="C84" s="27"/>
      <c r="D84" s="13"/>
      <c r="E84" s="28"/>
      <c r="F84" s="25">
        <v>22.49</v>
      </c>
      <c r="G84" s="8">
        <v>1</v>
      </c>
      <c r="H84" s="26">
        <v>1.48154735438</v>
      </c>
    </row>
    <row r="85" spans="1:8" x14ac:dyDescent="0.2">
      <c r="A85" s="14" t="s">
        <v>8</v>
      </c>
      <c r="B85" s="22" t="s">
        <v>86</v>
      </c>
      <c r="C85" s="27"/>
      <c r="D85" s="13"/>
      <c r="E85" s="28"/>
      <c r="F85" s="25">
        <v>60.9</v>
      </c>
      <c r="G85" s="8">
        <v>1</v>
      </c>
      <c r="H85" s="26">
        <v>0.98177339901000005</v>
      </c>
    </row>
    <row r="86" spans="1:8" x14ac:dyDescent="0.2">
      <c r="A86" s="14" t="s">
        <v>8</v>
      </c>
      <c r="B86" s="22" t="s">
        <v>87</v>
      </c>
      <c r="C86" s="25">
        <v>32.229999999999997</v>
      </c>
      <c r="D86" s="15">
        <v>1</v>
      </c>
      <c r="E86" s="26">
        <v>0.50480918398999997</v>
      </c>
      <c r="F86" s="25">
        <v>48.532499999999999</v>
      </c>
      <c r="G86" s="8">
        <v>4</v>
      </c>
      <c r="H86" s="26">
        <v>0.35625611702999999</v>
      </c>
    </row>
    <row r="87" spans="1:8" x14ac:dyDescent="0.2">
      <c r="A87" s="14" t="s">
        <v>8</v>
      </c>
      <c r="B87" s="22" t="s">
        <v>88</v>
      </c>
      <c r="C87" s="27"/>
      <c r="D87" s="13"/>
      <c r="E87" s="28"/>
      <c r="F87" s="25">
        <v>24.445</v>
      </c>
      <c r="G87" s="8">
        <v>2</v>
      </c>
      <c r="H87" s="26">
        <v>1.40314992841</v>
      </c>
    </row>
    <row r="88" spans="1:8" x14ac:dyDescent="0.2">
      <c r="A88" s="14" t="s">
        <v>8</v>
      </c>
      <c r="B88" s="22" t="s">
        <v>89</v>
      </c>
      <c r="C88" s="27"/>
      <c r="D88" s="13"/>
      <c r="E88" s="28"/>
      <c r="F88" s="25">
        <v>664.32500000000005</v>
      </c>
      <c r="G88" s="8">
        <v>2</v>
      </c>
      <c r="H88" s="26">
        <v>0.38191020961</v>
      </c>
    </row>
    <row r="89" spans="1:8" x14ac:dyDescent="0.2">
      <c r="A89" s="14" t="s">
        <v>8</v>
      </c>
      <c r="B89" s="22" t="s">
        <v>90</v>
      </c>
      <c r="C89" s="25">
        <v>101.98</v>
      </c>
      <c r="D89" s="15">
        <v>1</v>
      </c>
      <c r="E89" s="26">
        <v>0.63426161992999996</v>
      </c>
      <c r="F89" s="25">
        <v>102.3266667</v>
      </c>
      <c r="G89" s="8">
        <v>3</v>
      </c>
      <c r="H89" s="26">
        <v>0.62822333703</v>
      </c>
    </row>
    <row r="90" spans="1:8" x14ac:dyDescent="0.2">
      <c r="A90" s="14" t="s">
        <v>8</v>
      </c>
      <c r="B90" s="22" t="s">
        <v>91</v>
      </c>
      <c r="C90" s="25">
        <v>18.87</v>
      </c>
      <c r="D90" s="15">
        <v>1</v>
      </c>
      <c r="E90" s="26">
        <v>2.2082670906200002</v>
      </c>
      <c r="F90" s="25">
        <v>19.5</v>
      </c>
      <c r="G90" s="8">
        <v>2</v>
      </c>
      <c r="H90" s="26">
        <v>2.1369230769200001</v>
      </c>
    </row>
    <row r="91" spans="1:8" x14ac:dyDescent="0.2">
      <c r="A91" s="14" t="s">
        <v>8</v>
      </c>
      <c r="B91" s="22" t="s">
        <v>92</v>
      </c>
      <c r="C91" s="25">
        <v>48.02</v>
      </c>
      <c r="D91" s="15">
        <v>1</v>
      </c>
      <c r="E91" s="26">
        <v>0.78862973760999999</v>
      </c>
      <c r="F91" s="25">
        <v>73.584999999999994</v>
      </c>
      <c r="G91" s="8">
        <v>4</v>
      </c>
      <c r="H91" s="26">
        <v>0.52616022286999997</v>
      </c>
    </row>
    <row r="92" spans="1:8" x14ac:dyDescent="0.2">
      <c r="A92" s="14" t="s">
        <v>8</v>
      </c>
      <c r="B92" s="22" t="s">
        <v>93</v>
      </c>
      <c r="C92" s="27"/>
      <c r="D92" s="13"/>
      <c r="E92" s="28"/>
      <c r="F92" s="25">
        <v>79.953333299999997</v>
      </c>
      <c r="G92" s="8">
        <v>3</v>
      </c>
      <c r="H92" s="26">
        <v>0.41149003584999999</v>
      </c>
    </row>
    <row r="93" spans="1:8" x14ac:dyDescent="0.2">
      <c r="A93" s="14" t="s">
        <v>8</v>
      </c>
      <c r="B93" s="22" t="s">
        <v>94</v>
      </c>
      <c r="C93" s="25">
        <v>43.65</v>
      </c>
      <c r="D93" s="15">
        <v>1</v>
      </c>
      <c r="E93" s="26">
        <v>0.73172966781000004</v>
      </c>
      <c r="F93" s="25">
        <v>46.316666699999999</v>
      </c>
      <c r="G93" s="8">
        <v>3</v>
      </c>
      <c r="H93" s="26">
        <v>0.68960057575</v>
      </c>
    </row>
    <row r="94" spans="1:8" x14ac:dyDescent="0.2">
      <c r="A94" s="14" t="s">
        <v>8</v>
      </c>
      <c r="B94" s="22" t="s">
        <v>95</v>
      </c>
      <c r="C94" s="27"/>
      <c r="D94" s="13"/>
      <c r="E94" s="28"/>
      <c r="F94" s="25">
        <v>171.4</v>
      </c>
      <c r="G94" s="8">
        <v>2</v>
      </c>
      <c r="H94" s="26">
        <v>0.33900525088</v>
      </c>
    </row>
    <row r="95" spans="1:8" x14ac:dyDescent="0.2">
      <c r="A95" s="14" t="s">
        <v>8</v>
      </c>
      <c r="B95" s="22" t="s">
        <v>96</v>
      </c>
      <c r="C95" s="25">
        <v>87.04</v>
      </c>
      <c r="D95" s="15">
        <v>1</v>
      </c>
      <c r="E95" s="26">
        <v>0.32846966911999997</v>
      </c>
      <c r="F95" s="25">
        <v>102.334</v>
      </c>
      <c r="G95" s="8">
        <v>5</v>
      </c>
      <c r="H95" s="26">
        <v>0.29925537944000002</v>
      </c>
    </row>
    <row r="96" spans="1:8" x14ac:dyDescent="0.2">
      <c r="A96" s="14" t="s">
        <v>8</v>
      </c>
      <c r="B96" s="22" t="s">
        <v>97</v>
      </c>
      <c r="C96" s="27"/>
      <c r="D96" s="13"/>
      <c r="E96" s="28"/>
      <c r="F96" s="25">
        <v>56.3333333</v>
      </c>
      <c r="G96" s="8">
        <v>3</v>
      </c>
      <c r="H96" s="26">
        <v>0.69568047337000005</v>
      </c>
    </row>
    <row r="97" spans="1:8" x14ac:dyDescent="0.2">
      <c r="A97" s="14" t="s">
        <v>8</v>
      </c>
      <c r="B97" s="22" t="s">
        <v>98</v>
      </c>
      <c r="C97" s="27"/>
      <c r="D97" s="13"/>
      <c r="E97" s="28"/>
      <c r="F97" s="25">
        <v>20.54</v>
      </c>
      <c r="G97" s="8">
        <v>5</v>
      </c>
      <c r="H97" s="26">
        <v>1.4849074975700001</v>
      </c>
    </row>
    <row r="98" spans="1:8" x14ac:dyDescent="0.2">
      <c r="A98" s="14" t="s">
        <v>8</v>
      </c>
      <c r="B98" s="22" t="s">
        <v>99</v>
      </c>
      <c r="C98" s="27"/>
      <c r="D98" s="13"/>
      <c r="E98" s="28"/>
      <c r="F98" s="25">
        <v>6.88</v>
      </c>
      <c r="G98" s="8">
        <v>1</v>
      </c>
      <c r="H98" s="26">
        <v>4.9854651162800003</v>
      </c>
    </row>
    <row r="99" spans="1:8" x14ac:dyDescent="0.2">
      <c r="A99" s="14" t="s">
        <v>8</v>
      </c>
      <c r="B99" s="22" t="s">
        <v>100</v>
      </c>
      <c r="C99" s="27"/>
      <c r="D99" s="13"/>
      <c r="E99" s="28"/>
      <c r="F99" s="25">
        <v>36.79</v>
      </c>
      <c r="G99" s="8">
        <v>1</v>
      </c>
      <c r="H99" s="26">
        <v>0.82631149769000001</v>
      </c>
    </row>
    <row r="100" spans="1:8" x14ac:dyDescent="0.2">
      <c r="A100" s="14" t="s">
        <v>8</v>
      </c>
      <c r="B100" s="22" t="s">
        <v>101</v>
      </c>
      <c r="C100" s="25">
        <v>1.98</v>
      </c>
      <c r="D100" s="15">
        <v>1</v>
      </c>
      <c r="E100" s="26">
        <v>18.434343434340001</v>
      </c>
      <c r="F100" s="25">
        <v>1.98</v>
      </c>
      <c r="G100" s="8">
        <v>1</v>
      </c>
      <c r="H100" s="26">
        <v>18.434343434340001</v>
      </c>
    </row>
    <row r="101" spans="1:8" x14ac:dyDescent="0.2">
      <c r="A101" s="14" t="s">
        <v>8</v>
      </c>
      <c r="B101" s="22" t="s">
        <v>102</v>
      </c>
      <c r="C101" s="27"/>
      <c r="D101" s="13"/>
      <c r="E101" s="28"/>
      <c r="F101" s="25">
        <v>259.42</v>
      </c>
      <c r="G101" s="8">
        <v>2</v>
      </c>
      <c r="H101" s="26">
        <v>0.41050420168000001</v>
      </c>
    </row>
    <row r="102" spans="1:8" x14ac:dyDescent="0.2">
      <c r="A102" s="14" t="s">
        <v>103</v>
      </c>
      <c r="B102" s="22" t="s">
        <v>104</v>
      </c>
      <c r="C102" s="25">
        <v>23.06</v>
      </c>
      <c r="D102" s="15">
        <v>6</v>
      </c>
      <c r="E102" s="26">
        <v>0</v>
      </c>
      <c r="F102" s="25">
        <v>22.5191667</v>
      </c>
      <c r="G102" s="8">
        <v>19</v>
      </c>
      <c r="H102" s="26">
        <v>0.36132183694999997</v>
      </c>
    </row>
    <row r="103" spans="1:8" x14ac:dyDescent="0.2">
      <c r="A103" s="14" t="s">
        <v>103</v>
      </c>
      <c r="B103" s="22" t="s">
        <v>105</v>
      </c>
      <c r="C103" s="25">
        <v>19.891666699999998</v>
      </c>
      <c r="D103" s="15">
        <v>4</v>
      </c>
      <c r="E103" s="26">
        <v>0.818098031</v>
      </c>
      <c r="F103" s="25">
        <v>23.4575</v>
      </c>
      <c r="G103" s="8">
        <v>16</v>
      </c>
      <c r="H103" s="26">
        <v>0.69373690007</v>
      </c>
    </row>
    <row r="104" spans="1:8" x14ac:dyDescent="0.2">
      <c r="A104" s="14" t="s">
        <v>103</v>
      </c>
      <c r="B104" s="22" t="s">
        <v>106</v>
      </c>
      <c r="C104" s="25">
        <v>18.507272700000001</v>
      </c>
      <c r="D104" s="15">
        <v>9</v>
      </c>
      <c r="E104" s="26">
        <v>0.16848413400000001</v>
      </c>
      <c r="F104" s="25">
        <v>18.284736800000001</v>
      </c>
      <c r="G104" s="8">
        <v>13</v>
      </c>
      <c r="H104" s="26">
        <v>0.29619181946000001</v>
      </c>
    </row>
    <row r="105" spans="1:8" x14ac:dyDescent="0.2">
      <c r="A105" s="14" t="s">
        <v>103</v>
      </c>
      <c r="B105" s="22" t="s">
        <v>107</v>
      </c>
      <c r="C105" s="27"/>
      <c r="D105" s="13"/>
      <c r="E105" s="28"/>
      <c r="F105" s="25">
        <v>72.313333299999996</v>
      </c>
      <c r="G105" s="8">
        <v>14</v>
      </c>
      <c r="H105" s="26">
        <v>4.5007836269999997E-2</v>
      </c>
    </row>
    <row r="106" spans="1:8" x14ac:dyDescent="0.2">
      <c r="A106" s="14" t="s">
        <v>103</v>
      </c>
      <c r="B106" s="22" t="s">
        <v>108</v>
      </c>
      <c r="C106" s="25">
        <v>19.758749999999999</v>
      </c>
      <c r="D106" s="15">
        <v>14</v>
      </c>
      <c r="E106" s="26">
        <v>0.30885050927000002</v>
      </c>
      <c r="F106" s="25">
        <v>21.772558100000001</v>
      </c>
      <c r="G106" s="8">
        <v>33</v>
      </c>
      <c r="H106" s="26">
        <v>0.47244237466</v>
      </c>
    </row>
    <row r="107" spans="1:8" x14ac:dyDescent="0.2">
      <c r="A107" s="14" t="s">
        <v>103</v>
      </c>
      <c r="B107" s="22" t="s">
        <v>109</v>
      </c>
      <c r="C107" s="25">
        <v>25.811250000000001</v>
      </c>
      <c r="D107" s="15">
        <v>7</v>
      </c>
      <c r="E107" s="26">
        <v>0</v>
      </c>
      <c r="F107" s="25">
        <v>27.033333299999999</v>
      </c>
      <c r="G107" s="8">
        <v>23</v>
      </c>
      <c r="H107" s="26">
        <v>0.36118372380000002</v>
      </c>
    </row>
    <row r="108" spans="1:8" x14ac:dyDescent="0.2">
      <c r="A108" s="14" t="s">
        <v>103</v>
      </c>
      <c r="B108" s="22" t="s">
        <v>110</v>
      </c>
      <c r="C108" s="25">
        <v>19.606666700000002</v>
      </c>
      <c r="D108" s="15">
        <v>3</v>
      </c>
      <c r="E108" s="26">
        <v>0</v>
      </c>
      <c r="F108" s="25">
        <v>19.606666700000002</v>
      </c>
      <c r="G108" s="8">
        <v>3</v>
      </c>
      <c r="H108" s="26">
        <v>0</v>
      </c>
    </row>
    <row r="109" spans="1:8" x14ac:dyDescent="0.2">
      <c r="A109" s="14" t="s">
        <v>103</v>
      </c>
      <c r="B109" s="22" t="s">
        <v>111</v>
      </c>
      <c r="C109" s="27"/>
      <c r="D109" s="13"/>
      <c r="E109" s="28"/>
      <c r="F109" s="25">
        <v>154.61000000000001</v>
      </c>
      <c r="G109" s="8">
        <v>1</v>
      </c>
      <c r="H109" s="26">
        <v>0</v>
      </c>
    </row>
    <row r="110" spans="1:8" x14ac:dyDescent="0.2">
      <c r="A110" s="14" t="s">
        <v>112</v>
      </c>
      <c r="B110" s="22" t="s">
        <v>113</v>
      </c>
      <c r="C110" s="27"/>
      <c r="D110" s="13"/>
      <c r="E110" s="28"/>
      <c r="F110" s="25">
        <v>230.5</v>
      </c>
      <c r="G110" s="8">
        <v>1</v>
      </c>
      <c r="H110" s="26">
        <v>0</v>
      </c>
    </row>
    <row r="111" spans="1:8" x14ac:dyDescent="0.2">
      <c r="A111" s="14" t="s">
        <v>112</v>
      </c>
      <c r="B111" s="22" t="s">
        <v>114</v>
      </c>
      <c r="C111" s="25">
        <v>108.2066667</v>
      </c>
      <c r="D111" s="15">
        <v>2</v>
      </c>
      <c r="E111" s="26">
        <v>0</v>
      </c>
      <c r="F111" s="25">
        <v>108.2066667</v>
      </c>
      <c r="G111" s="8">
        <v>2</v>
      </c>
      <c r="H111" s="26">
        <v>0</v>
      </c>
    </row>
    <row r="112" spans="1:8" x14ac:dyDescent="0.2">
      <c r="A112" s="14" t="s">
        <v>112</v>
      </c>
      <c r="B112" s="22" t="s">
        <v>115</v>
      </c>
      <c r="C112" s="25">
        <v>219.38</v>
      </c>
      <c r="D112" s="15">
        <v>2</v>
      </c>
      <c r="E112" s="26">
        <v>0</v>
      </c>
      <c r="F112" s="25">
        <v>219.38</v>
      </c>
      <c r="G112" s="8">
        <v>2</v>
      </c>
      <c r="H112" s="26">
        <v>0</v>
      </c>
    </row>
    <row r="113" spans="1:8" x14ac:dyDescent="0.2">
      <c r="A113" s="14" t="s">
        <v>112</v>
      </c>
      <c r="B113" s="22" t="s">
        <v>116</v>
      </c>
      <c r="C113" s="25">
        <v>175.24090910000001</v>
      </c>
      <c r="D113" s="15">
        <v>13</v>
      </c>
      <c r="E113" s="26">
        <v>0.19251069956</v>
      </c>
      <c r="F113" s="25">
        <v>134.5651685</v>
      </c>
      <c r="G113" s="8">
        <v>28</v>
      </c>
      <c r="H113" s="26">
        <v>0.19525922029000001</v>
      </c>
    </row>
    <row r="114" spans="1:8" x14ac:dyDescent="0.2">
      <c r="A114" s="14" t="s">
        <v>112</v>
      </c>
      <c r="B114" s="22" t="s">
        <v>117</v>
      </c>
      <c r="C114" s="25">
        <v>252.03333330000001</v>
      </c>
      <c r="D114" s="15">
        <v>2</v>
      </c>
      <c r="E114" s="26">
        <v>0.15087422299</v>
      </c>
      <c r="F114" s="25">
        <v>252.03333330000001</v>
      </c>
      <c r="G114" s="8">
        <v>2</v>
      </c>
      <c r="H114" s="26">
        <v>0.15087422299</v>
      </c>
    </row>
    <row r="115" spans="1:8" x14ac:dyDescent="0.2">
      <c r="A115" s="14" t="s">
        <v>112</v>
      </c>
      <c r="B115" s="22" t="s">
        <v>97</v>
      </c>
      <c r="C115" s="25">
        <v>526.47611110000003</v>
      </c>
      <c r="D115" s="15">
        <v>5</v>
      </c>
      <c r="E115" s="26">
        <v>9.2209312020000003E-2</v>
      </c>
      <c r="F115" s="25">
        <v>526.47611110000003</v>
      </c>
      <c r="G115" s="8">
        <v>5</v>
      </c>
      <c r="H115" s="26">
        <v>9.2209312020000003E-2</v>
      </c>
    </row>
    <row r="116" spans="1:8" x14ac:dyDescent="0.2">
      <c r="A116" s="14" t="s">
        <v>112</v>
      </c>
      <c r="B116" s="22" t="s">
        <v>118</v>
      </c>
      <c r="C116" s="25">
        <v>164.2306897</v>
      </c>
      <c r="D116" s="15">
        <v>10</v>
      </c>
      <c r="E116" s="26">
        <v>0.24407551194999999</v>
      </c>
      <c r="F116" s="25">
        <v>160.0586792</v>
      </c>
      <c r="G116" s="8">
        <v>18</v>
      </c>
      <c r="H116" s="26">
        <v>0.23493376838999999</v>
      </c>
    </row>
    <row r="117" spans="1:8" x14ac:dyDescent="0.2">
      <c r="A117" s="14" t="s">
        <v>112</v>
      </c>
      <c r="B117" s="22" t="s">
        <v>119</v>
      </c>
      <c r="C117" s="25">
        <v>182.72148150000001</v>
      </c>
      <c r="D117" s="15">
        <v>9</v>
      </c>
      <c r="E117" s="26">
        <v>0.23368433641</v>
      </c>
      <c r="F117" s="25">
        <v>184.1565152</v>
      </c>
      <c r="G117" s="8">
        <v>22</v>
      </c>
      <c r="H117" s="26">
        <v>0.21897784576000001</v>
      </c>
    </row>
    <row r="118" spans="1:8" x14ac:dyDescent="0.2">
      <c r="A118" s="14" t="s">
        <v>120</v>
      </c>
      <c r="B118" s="22" t="s">
        <v>121</v>
      </c>
      <c r="C118" s="25">
        <v>20.498181800000001</v>
      </c>
      <c r="D118" s="15">
        <v>13</v>
      </c>
      <c r="E118" s="26">
        <v>1.16146443144</v>
      </c>
      <c r="F118" s="25">
        <v>20.040263199999998</v>
      </c>
      <c r="G118" s="8">
        <v>21</v>
      </c>
      <c r="H118" s="26">
        <v>1.17520123961</v>
      </c>
    </row>
    <row r="119" spans="1:8" x14ac:dyDescent="0.2">
      <c r="A119" s="14" t="s">
        <v>606</v>
      </c>
      <c r="B119" s="22" t="s">
        <v>122</v>
      </c>
      <c r="C119" s="25">
        <v>18.5570968</v>
      </c>
      <c r="D119" s="15">
        <v>21</v>
      </c>
      <c r="E119" s="26">
        <v>1.26506162324</v>
      </c>
      <c r="F119" s="25">
        <v>18.524565200000001</v>
      </c>
      <c r="G119" s="8">
        <v>28</v>
      </c>
      <c r="H119" s="26">
        <v>1.2754321523700001</v>
      </c>
    </row>
    <row r="120" spans="1:8" x14ac:dyDescent="0.2">
      <c r="A120" s="14" t="s">
        <v>607</v>
      </c>
      <c r="B120" s="22" t="s">
        <v>123</v>
      </c>
      <c r="C120" s="25">
        <v>28.792758599999999</v>
      </c>
      <c r="D120" s="15">
        <v>19</v>
      </c>
      <c r="E120" s="26">
        <v>0.90016407381999997</v>
      </c>
      <c r="F120" s="25">
        <v>29.012307700000001</v>
      </c>
      <c r="G120" s="8">
        <v>32</v>
      </c>
      <c r="H120" s="26">
        <v>0.92203176370999995</v>
      </c>
    </row>
    <row r="121" spans="1:8" x14ac:dyDescent="0.2">
      <c r="A121" s="14" t="s">
        <v>608</v>
      </c>
      <c r="B121" s="22" t="s">
        <v>21</v>
      </c>
      <c r="C121" s="25">
        <v>46.114545499999998</v>
      </c>
      <c r="D121" s="15">
        <v>8</v>
      </c>
      <c r="E121" s="26">
        <v>0.59900051255999998</v>
      </c>
      <c r="F121" s="25">
        <v>39.9870588</v>
      </c>
      <c r="G121" s="8">
        <v>12</v>
      </c>
      <c r="H121" s="26">
        <v>0.67410779958</v>
      </c>
    </row>
    <row r="122" spans="1:8" x14ac:dyDescent="0.2">
      <c r="A122" s="14" t="s">
        <v>609</v>
      </c>
      <c r="B122" s="22" t="s">
        <v>124</v>
      </c>
      <c r="C122" s="25">
        <v>19.3704</v>
      </c>
      <c r="D122" s="15">
        <v>17</v>
      </c>
      <c r="E122" s="26">
        <v>1.2149238012600001</v>
      </c>
      <c r="F122" s="25">
        <v>18.926976700000001</v>
      </c>
      <c r="G122" s="8">
        <v>25</v>
      </c>
      <c r="H122" s="26">
        <v>1.2523271815799999</v>
      </c>
    </row>
    <row r="123" spans="1:8" x14ac:dyDescent="0.2">
      <c r="A123" s="14" t="s">
        <v>610</v>
      </c>
      <c r="B123" s="22" t="s">
        <v>125</v>
      </c>
      <c r="C123" s="25">
        <v>18.9223529</v>
      </c>
      <c r="D123" s="15">
        <v>11</v>
      </c>
      <c r="E123" s="26">
        <v>1.1709462820200001</v>
      </c>
      <c r="F123" s="25">
        <v>18.3562069</v>
      </c>
      <c r="G123" s="8">
        <v>18</v>
      </c>
      <c r="H123" s="26">
        <v>1.2444836849300001</v>
      </c>
    </row>
    <row r="124" spans="1:8" x14ac:dyDescent="0.2">
      <c r="A124" s="14" t="s">
        <v>611</v>
      </c>
      <c r="B124" s="22" t="s">
        <v>126</v>
      </c>
      <c r="C124" s="25">
        <v>22.831428599999999</v>
      </c>
      <c r="D124" s="15">
        <v>14</v>
      </c>
      <c r="E124" s="26">
        <v>1.0969361364900001</v>
      </c>
      <c r="F124" s="25">
        <v>20.920857099999999</v>
      </c>
      <c r="G124" s="8">
        <v>22</v>
      </c>
      <c r="H124" s="26">
        <v>1.13024596097</v>
      </c>
    </row>
    <row r="125" spans="1:8" x14ac:dyDescent="0.2">
      <c r="A125" s="14" t="s">
        <v>612</v>
      </c>
      <c r="B125" s="22" t="s">
        <v>104</v>
      </c>
      <c r="C125" s="25">
        <v>19.941428599999998</v>
      </c>
      <c r="D125" s="15">
        <v>5</v>
      </c>
      <c r="E125" s="26">
        <v>1.10392578265</v>
      </c>
      <c r="F125" s="25">
        <v>19.6918182</v>
      </c>
      <c r="G125" s="8">
        <v>7</v>
      </c>
      <c r="H125" s="26">
        <v>1.3057615068599999</v>
      </c>
    </row>
    <row r="126" spans="1:8" x14ac:dyDescent="0.2">
      <c r="A126" s="14" t="s">
        <v>613</v>
      </c>
      <c r="B126" s="22" t="s">
        <v>105</v>
      </c>
      <c r="C126" s="25">
        <v>20.34</v>
      </c>
      <c r="D126" s="15">
        <v>3</v>
      </c>
      <c r="E126" s="26">
        <v>1.3517600786599999</v>
      </c>
      <c r="F126" s="25">
        <v>19.807692299999999</v>
      </c>
      <c r="G126" s="8">
        <v>7</v>
      </c>
      <c r="H126" s="26">
        <v>1.53470291262</v>
      </c>
    </row>
    <row r="127" spans="1:8" x14ac:dyDescent="0.2">
      <c r="A127" s="14" t="s">
        <v>614</v>
      </c>
      <c r="B127" s="22" t="s">
        <v>106</v>
      </c>
      <c r="C127" s="25">
        <v>18.329999999999998</v>
      </c>
      <c r="D127" s="15">
        <v>1</v>
      </c>
      <c r="E127" s="26">
        <v>0.42291325695999998</v>
      </c>
      <c r="F127" s="25">
        <v>18.351111100000001</v>
      </c>
      <c r="G127" s="8">
        <v>6</v>
      </c>
      <c r="H127" s="26">
        <v>1.3044199564100001</v>
      </c>
    </row>
    <row r="128" spans="1:8" x14ac:dyDescent="0.2">
      <c r="A128" s="14" t="s">
        <v>615</v>
      </c>
      <c r="B128" s="22" t="s">
        <v>127</v>
      </c>
      <c r="C128" s="25">
        <v>56.205666700000002</v>
      </c>
      <c r="D128" s="15">
        <v>21</v>
      </c>
      <c r="E128" s="26">
        <v>0.5475966243</v>
      </c>
      <c r="F128" s="25">
        <v>49.136481500000002</v>
      </c>
      <c r="G128" s="8">
        <v>37</v>
      </c>
      <c r="H128" s="26">
        <v>0.61543433444999995</v>
      </c>
    </row>
    <row r="129" spans="1:8" x14ac:dyDescent="0.2">
      <c r="A129" s="14" t="s">
        <v>616</v>
      </c>
      <c r="B129" s="22" t="s">
        <v>128</v>
      </c>
      <c r="C129" s="25">
        <v>16.5457143</v>
      </c>
      <c r="D129" s="15">
        <v>9</v>
      </c>
      <c r="E129" s="26">
        <v>1.5115480918699999</v>
      </c>
      <c r="F129" s="25">
        <v>16.484999999999999</v>
      </c>
      <c r="G129" s="8">
        <v>18</v>
      </c>
      <c r="H129" s="26">
        <v>1.5159127345200001</v>
      </c>
    </row>
    <row r="130" spans="1:8" x14ac:dyDescent="0.2">
      <c r="A130" s="14" t="s">
        <v>617</v>
      </c>
      <c r="B130" s="22" t="s">
        <v>31</v>
      </c>
      <c r="C130" s="25">
        <v>23.7688889</v>
      </c>
      <c r="D130" s="15">
        <v>7</v>
      </c>
      <c r="E130" s="26">
        <v>0.83620044876999999</v>
      </c>
      <c r="F130" s="25">
        <v>25.030625000000001</v>
      </c>
      <c r="G130" s="8">
        <v>11</v>
      </c>
      <c r="H130" s="26">
        <v>0.98738045894000004</v>
      </c>
    </row>
    <row r="131" spans="1:8" x14ac:dyDescent="0.2">
      <c r="A131" s="14" t="s">
        <v>618</v>
      </c>
      <c r="B131" s="22" t="s">
        <v>129</v>
      </c>
      <c r="C131" s="27"/>
      <c r="D131" s="13"/>
      <c r="E131" s="28"/>
      <c r="F131" s="25">
        <v>72.954999999999998</v>
      </c>
      <c r="G131" s="8">
        <v>2</v>
      </c>
      <c r="H131" s="26">
        <v>0.58149201562999997</v>
      </c>
    </row>
    <row r="132" spans="1:8" x14ac:dyDescent="0.2">
      <c r="A132" s="14" t="s">
        <v>619</v>
      </c>
      <c r="B132" s="22" t="s">
        <v>107</v>
      </c>
      <c r="C132" s="27"/>
      <c r="D132" s="13"/>
      <c r="E132" s="28"/>
      <c r="F132" s="25">
        <v>76.785714299999995</v>
      </c>
      <c r="G132" s="8">
        <v>5</v>
      </c>
      <c r="H132" s="26">
        <v>0.45882046512000002</v>
      </c>
    </row>
    <row r="133" spans="1:8" x14ac:dyDescent="0.2">
      <c r="A133" s="14" t="s">
        <v>620</v>
      </c>
      <c r="B133" s="22" t="s">
        <v>108</v>
      </c>
      <c r="C133" s="25">
        <v>26.832000000000001</v>
      </c>
      <c r="D133" s="15">
        <v>7</v>
      </c>
      <c r="E133" s="26">
        <v>0.92123956470000001</v>
      </c>
      <c r="F133" s="25">
        <v>25.07</v>
      </c>
      <c r="G133" s="8">
        <v>12</v>
      </c>
      <c r="H133" s="26">
        <v>0.99753322277000001</v>
      </c>
    </row>
    <row r="134" spans="1:8" x14ac:dyDescent="0.2">
      <c r="A134" s="14" t="s">
        <v>621</v>
      </c>
      <c r="B134" s="22" t="s">
        <v>109</v>
      </c>
      <c r="C134" s="25">
        <v>33.377000000000002</v>
      </c>
      <c r="D134" s="15">
        <v>7</v>
      </c>
      <c r="E134" s="26">
        <v>0.78187674146999997</v>
      </c>
      <c r="F134" s="25">
        <v>29.030666700000001</v>
      </c>
      <c r="G134" s="8">
        <v>10</v>
      </c>
      <c r="H134" s="26">
        <v>0.91363845128999999</v>
      </c>
    </row>
    <row r="135" spans="1:8" x14ac:dyDescent="0.2">
      <c r="A135" s="14" t="s">
        <v>622</v>
      </c>
      <c r="B135" s="22" t="s">
        <v>130</v>
      </c>
      <c r="C135" s="25">
        <v>36.876666700000001</v>
      </c>
      <c r="D135" s="15">
        <v>18</v>
      </c>
      <c r="E135" s="26">
        <v>0.75910090692999999</v>
      </c>
      <c r="F135" s="25">
        <v>33.334081599999998</v>
      </c>
      <c r="G135" s="8">
        <v>30</v>
      </c>
      <c r="H135" s="26">
        <v>0.83778017228000001</v>
      </c>
    </row>
    <row r="136" spans="1:8" x14ac:dyDescent="0.2">
      <c r="A136" s="14" t="s">
        <v>623</v>
      </c>
      <c r="B136" s="22" t="s">
        <v>110</v>
      </c>
      <c r="C136" s="25">
        <v>16.224736799999999</v>
      </c>
      <c r="D136" s="15">
        <v>12</v>
      </c>
      <c r="E136" s="26">
        <v>1.5592564959299999</v>
      </c>
      <c r="F136" s="25">
        <v>15.3382051</v>
      </c>
      <c r="G136" s="8">
        <v>23</v>
      </c>
      <c r="H136" s="26">
        <v>1.6107290325800001</v>
      </c>
    </row>
    <row r="137" spans="1:8" x14ac:dyDescent="0.2">
      <c r="A137" s="14" t="s">
        <v>624</v>
      </c>
      <c r="B137" s="22" t="s">
        <v>41</v>
      </c>
      <c r="C137" s="25">
        <v>18.188888899999998</v>
      </c>
      <c r="D137" s="15">
        <v>6</v>
      </c>
      <c r="E137" s="26">
        <v>1.3168417837499999</v>
      </c>
      <c r="F137" s="25">
        <v>18.0727273</v>
      </c>
      <c r="G137" s="8">
        <v>7</v>
      </c>
      <c r="H137" s="26">
        <v>1.4059859154900001</v>
      </c>
    </row>
    <row r="138" spans="1:8" x14ac:dyDescent="0.2">
      <c r="A138" s="14" t="s">
        <v>625</v>
      </c>
      <c r="B138" s="22" t="s">
        <v>111</v>
      </c>
      <c r="C138" s="25">
        <v>144.58000000000001</v>
      </c>
      <c r="D138" s="15">
        <v>1</v>
      </c>
      <c r="E138" s="26">
        <v>0</v>
      </c>
      <c r="F138" s="25">
        <v>144.58000000000001</v>
      </c>
      <c r="G138" s="8">
        <v>1</v>
      </c>
      <c r="H138" s="26">
        <v>0</v>
      </c>
    </row>
    <row r="139" spans="1:8" x14ac:dyDescent="0.2">
      <c r="A139" s="14" t="s">
        <v>626</v>
      </c>
      <c r="B139" s="22" t="s">
        <v>42</v>
      </c>
      <c r="C139" s="25">
        <v>19.1883333</v>
      </c>
      <c r="D139" s="15">
        <v>7</v>
      </c>
      <c r="E139" s="26">
        <v>1.25696169547</v>
      </c>
      <c r="F139" s="25">
        <v>23.523499999999999</v>
      </c>
      <c r="G139" s="8">
        <v>12</v>
      </c>
      <c r="H139" s="26">
        <v>1.11144174974</v>
      </c>
    </row>
    <row r="140" spans="1:8" x14ac:dyDescent="0.2">
      <c r="A140" s="14" t="s">
        <v>627</v>
      </c>
      <c r="B140" s="22" t="s">
        <v>131</v>
      </c>
      <c r="C140" s="25">
        <v>23.335833300000001</v>
      </c>
      <c r="D140" s="15">
        <v>9</v>
      </c>
      <c r="E140" s="26">
        <v>0.90603149663000004</v>
      </c>
      <c r="F140" s="25">
        <v>20.0848485</v>
      </c>
      <c r="G140" s="8">
        <v>23</v>
      </c>
      <c r="H140" s="26">
        <v>1.1403168376599999</v>
      </c>
    </row>
    <row r="141" spans="1:8" x14ac:dyDescent="0.2">
      <c r="A141" s="14" t="s">
        <v>628</v>
      </c>
      <c r="B141" s="22" t="s">
        <v>49</v>
      </c>
      <c r="C141" s="25">
        <v>15.445</v>
      </c>
      <c r="D141" s="15">
        <v>4</v>
      </c>
      <c r="E141" s="26">
        <v>1.52132297399</v>
      </c>
      <c r="F141" s="25">
        <v>15.244545499999999</v>
      </c>
      <c r="G141" s="8">
        <v>8</v>
      </c>
      <c r="H141" s="26">
        <v>1.3423459955899999</v>
      </c>
    </row>
    <row r="142" spans="1:8" x14ac:dyDescent="0.2">
      <c r="A142" s="14" t="s">
        <v>629</v>
      </c>
      <c r="B142" s="22" t="s">
        <v>132</v>
      </c>
      <c r="C142" s="25">
        <v>19.940000000000001</v>
      </c>
      <c r="D142" s="15">
        <v>1</v>
      </c>
      <c r="E142" s="26">
        <v>1.60050150451</v>
      </c>
      <c r="F142" s="25">
        <v>19.940000000000001</v>
      </c>
      <c r="G142" s="8">
        <v>1</v>
      </c>
      <c r="H142" s="26">
        <v>1.60050150451</v>
      </c>
    </row>
    <row r="143" spans="1:8" x14ac:dyDescent="0.2">
      <c r="A143" s="14" t="s">
        <v>630</v>
      </c>
      <c r="B143" s="22" t="s">
        <v>50</v>
      </c>
      <c r="C143" s="25">
        <v>36.656666700000002</v>
      </c>
      <c r="D143" s="15">
        <v>8</v>
      </c>
      <c r="E143" s="26">
        <v>0.79213194507999996</v>
      </c>
      <c r="F143" s="25">
        <v>35.447499999999998</v>
      </c>
      <c r="G143" s="8">
        <v>10</v>
      </c>
      <c r="H143" s="26">
        <v>0.87691480357999996</v>
      </c>
    </row>
    <row r="144" spans="1:8" x14ac:dyDescent="0.2">
      <c r="A144" s="14" t="s">
        <v>631</v>
      </c>
      <c r="B144" s="22" t="s">
        <v>133</v>
      </c>
      <c r="C144" s="27"/>
      <c r="D144" s="13"/>
      <c r="E144" s="28"/>
      <c r="F144" s="25">
        <v>209.38</v>
      </c>
      <c r="G144" s="8">
        <v>1</v>
      </c>
      <c r="H144" s="26">
        <v>0.26749450758999999</v>
      </c>
    </row>
    <row r="145" spans="1:8" x14ac:dyDescent="0.2">
      <c r="A145" s="14" t="s">
        <v>632</v>
      </c>
      <c r="B145" s="22" t="s">
        <v>91</v>
      </c>
      <c r="C145" s="25">
        <v>17.600000000000001</v>
      </c>
      <c r="D145" s="15">
        <v>1</v>
      </c>
      <c r="E145" s="26">
        <v>1.78860795455</v>
      </c>
      <c r="F145" s="25">
        <v>17.746666699999999</v>
      </c>
      <c r="G145" s="8">
        <v>2</v>
      </c>
      <c r="H145" s="26">
        <v>1.3076821938400001</v>
      </c>
    </row>
    <row r="146" spans="1:8" x14ac:dyDescent="0.2">
      <c r="A146" s="14" t="s">
        <v>134</v>
      </c>
      <c r="B146" s="22" t="s">
        <v>135</v>
      </c>
      <c r="C146" s="27"/>
      <c r="D146" s="13"/>
      <c r="E146" s="28"/>
      <c r="F146" s="25">
        <v>33.375882400000002</v>
      </c>
      <c r="G146" s="8">
        <v>13</v>
      </c>
      <c r="H146" s="26">
        <v>0.45656779287999999</v>
      </c>
    </row>
    <row r="147" spans="1:8" x14ac:dyDescent="0.2">
      <c r="A147" s="14" t="s">
        <v>134</v>
      </c>
      <c r="B147" s="22" t="s">
        <v>136</v>
      </c>
      <c r="C147" s="25">
        <v>135.1557143</v>
      </c>
      <c r="D147" s="15">
        <v>11</v>
      </c>
      <c r="E147" s="26">
        <v>0.26370773394000002</v>
      </c>
      <c r="F147" s="25">
        <v>127.7305405</v>
      </c>
      <c r="G147" s="8">
        <v>18</v>
      </c>
      <c r="H147" s="26">
        <v>0.28018950366000001</v>
      </c>
    </row>
    <row r="148" spans="1:8" x14ac:dyDescent="0.2">
      <c r="A148" s="14" t="s">
        <v>134</v>
      </c>
      <c r="B148" s="22" t="s">
        <v>137</v>
      </c>
      <c r="C148" s="25">
        <v>43.361538500000002</v>
      </c>
      <c r="D148" s="15">
        <v>5</v>
      </c>
      <c r="E148" s="26">
        <v>0.34964874933000001</v>
      </c>
      <c r="F148" s="25">
        <v>43.361538500000002</v>
      </c>
      <c r="G148" s="8">
        <v>5</v>
      </c>
      <c r="H148" s="26">
        <v>0.34964874933000001</v>
      </c>
    </row>
    <row r="149" spans="1:8" x14ac:dyDescent="0.2">
      <c r="A149" s="14" t="s">
        <v>134</v>
      </c>
      <c r="B149" s="22" t="s">
        <v>138</v>
      </c>
      <c r="C149" s="27"/>
      <c r="D149" s="13"/>
      <c r="E149" s="28"/>
      <c r="F149" s="25">
        <v>82.742000000000004</v>
      </c>
      <c r="G149" s="8">
        <v>3</v>
      </c>
      <c r="H149" s="26">
        <v>0.25824128012000003</v>
      </c>
    </row>
    <row r="150" spans="1:8" x14ac:dyDescent="0.2">
      <c r="A150" s="14" t="s">
        <v>134</v>
      </c>
      <c r="B150" s="22" t="s">
        <v>139</v>
      </c>
      <c r="C150" s="25">
        <v>119.5204444</v>
      </c>
      <c r="D150" s="15">
        <v>19</v>
      </c>
      <c r="E150" s="26">
        <v>0.22640980064999999</v>
      </c>
      <c r="F150" s="25">
        <v>111.4086667</v>
      </c>
      <c r="G150" s="8">
        <v>26</v>
      </c>
      <c r="H150" s="26">
        <v>0.23489435291999999</v>
      </c>
    </row>
    <row r="151" spans="1:8" x14ac:dyDescent="0.2">
      <c r="A151" s="14" t="s">
        <v>134</v>
      </c>
      <c r="B151" s="22" t="s">
        <v>140</v>
      </c>
      <c r="C151" s="25">
        <v>245.00388889999999</v>
      </c>
      <c r="D151" s="15">
        <v>7</v>
      </c>
      <c r="E151" s="26">
        <v>0.18865188081000001</v>
      </c>
      <c r="F151" s="25">
        <v>241.28864859999999</v>
      </c>
      <c r="G151" s="8">
        <v>20</v>
      </c>
      <c r="H151" s="26">
        <v>0.20624574358</v>
      </c>
    </row>
    <row r="152" spans="1:8" x14ac:dyDescent="0.2">
      <c r="A152" s="14" t="s">
        <v>134</v>
      </c>
      <c r="B152" s="22" t="s">
        <v>141</v>
      </c>
      <c r="C152" s="27"/>
      <c r="D152" s="13"/>
      <c r="E152" s="28"/>
      <c r="F152" s="25">
        <v>368.21</v>
      </c>
      <c r="G152" s="8">
        <v>5</v>
      </c>
      <c r="H152" s="26">
        <v>0.22479454659000001</v>
      </c>
    </row>
    <row r="153" spans="1:8" x14ac:dyDescent="0.2">
      <c r="A153" s="14" t="s">
        <v>134</v>
      </c>
      <c r="B153" s="22" t="s">
        <v>142</v>
      </c>
      <c r="C153" s="25">
        <v>20.1166667</v>
      </c>
      <c r="D153" s="15">
        <v>4</v>
      </c>
      <c r="E153" s="26">
        <v>0.74829605080999995</v>
      </c>
      <c r="F153" s="25">
        <v>18.159047600000001</v>
      </c>
      <c r="G153" s="8">
        <v>10</v>
      </c>
      <c r="H153" s="26">
        <v>0.78964965646999996</v>
      </c>
    </row>
    <row r="154" spans="1:8" x14ac:dyDescent="0.2">
      <c r="A154" s="14" t="s">
        <v>134</v>
      </c>
      <c r="B154" s="22" t="s">
        <v>143</v>
      </c>
      <c r="C154" s="25">
        <v>261.30428569999998</v>
      </c>
      <c r="D154" s="15">
        <v>3</v>
      </c>
      <c r="E154" s="26">
        <v>0.18042402671999999</v>
      </c>
      <c r="F154" s="25">
        <v>203.96761900000001</v>
      </c>
      <c r="G154" s="8">
        <v>11</v>
      </c>
      <c r="H154" s="26">
        <v>0.20542453050000001</v>
      </c>
    </row>
    <row r="155" spans="1:8" x14ac:dyDescent="0.2">
      <c r="A155" s="14" t="s">
        <v>134</v>
      </c>
      <c r="B155" s="22" t="s">
        <v>144</v>
      </c>
      <c r="C155" s="27"/>
      <c r="D155" s="13"/>
      <c r="E155" s="28"/>
      <c r="F155" s="25">
        <v>125.99</v>
      </c>
      <c r="G155" s="8">
        <v>2</v>
      </c>
      <c r="H155" s="26">
        <v>0.24109849988000001</v>
      </c>
    </row>
    <row r="156" spans="1:8" x14ac:dyDescent="0.2">
      <c r="A156" s="14" t="s">
        <v>134</v>
      </c>
      <c r="B156" s="22" t="s">
        <v>145</v>
      </c>
      <c r="C156" s="25">
        <v>104.0727273</v>
      </c>
      <c r="D156" s="15">
        <v>4</v>
      </c>
      <c r="E156" s="26">
        <v>0.19732092942000001</v>
      </c>
      <c r="F156" s="25">
        <v>126.83210529999999</v>
      </c>
      <c r="G156" s="8">
        <v>8</v>
      </c>
      <c r="H156" s="26">
        <v>0.21078383773000001</v>
      </c>
    </row>
    <row r="157" spans="1:8" x14ac:dyDescent="0.2">
      <c r="A157" s="14" t="s">
        <v>134</v>
      </c>
      <c r="B157" s="22" t="s">
        <v>146</v>
      </c>
      <c r="C157" s="25">
        <v>361.23292679999997</v>
      </c>
      <c r="D157" s="15">
        <v>17</v>
      </c>
      <c r="E157" s="26">
        <v>0.20581950029000001</v>
      </c>
      <c r="F157" s="25">
        <v>315.00802470000002</v>
      </c>
      <c r="G157" s="8">
        <v>41</v>
      </c>
      <c r="H157" s="26">
        <v>0.21251804285000001</v>
      </c>
    </row>
    <row r="158" spans="1:8" x14ac:dyDescent="0.2">
      <c r="A158" s="14" t="s">
        <v>134</v>
      </c>
      <c r="B158" s="22" t="s">
        <v>147</v>
      </c>
      <c r="C158" s="25">
        <v>28.47</v>
      </c>
      <c r="D158" s="15">
        <v>1</v>
      </c>
      <c r="E158" s="26">
        <v>0.53199859501000002</v>
      </c>
      <c r="F158" s="25">
        <v>28.47</v>
      </c>
      <c r="G158" s="8">
        <v>1</v>
      </c>
      <c r="H158" s="26">
        <v>0.53199859501000002</v>
      </c>
    </row>
    <row r="159" spans="1:8" x14ac:dyDescent="0.2">
      <c r="A159" s="14" t="s">
        <v>134</v>
      </c>
      <c r="B159" s="22" t="s">
        <v>148</v>
      </c>
      <c r="C159" s="27"/>
      <c r="D159" s="13"/>
      <c r="E159" s="28"/>
      <c r="F159" s="25">
        <v>91.284999999999997</v>
      </c>
      <c r="G159" s="8">
        <v>2</v>
      </c>
      <c r="H159" s="26">
        <v>0.28170564715000002</v>
      </c>
    </row>
    <row r="160" spans="1:8" x14ac:dyDescent="0.2">
      <c r="A160" s="14" t="s">
        <v>134</v>
      </c>
      <c r="B160" s="22" t="s">
        <v>149</v>
      </c>
      <c r="C160" s="27"/>
      <c r="D160" s="13"/>
      <c r="E160" s="28"/>
      <c r="F160" s="25">
        <v>40.825000000000003</v>
      </c>
      <c r="G160" s="8">
        <v>3</v>
      </c>
      <c r="H160" s="26">
        <v>0.36711982037000002</v>
      </c>
    </row>
    <row r="161" spans="1:8" x14ac:dyDescent="0.2">
      <c r="A161" s="14" t="s">
        <v>134</v>
      </c>
      <c r="B161" s="22" t="s">
        <v>150</v>
      </c>
      <c r="C161" s="27"/>
      <c r="D161" s="13"/>
      <c r="E161" s="28"/>
      <c r="F161" s="25">
        <v>43.15</v>
      </c>
      <c r="G161" s="8">
        <v>2</v>
      </c>
      <c r="H161" s="26">
        <v>0.32179026650999998</v>
      </c>
    </row>
    <row r="162" spans="1:8" x14ac:dyDescent="0.2">
      <c r="A162" s="14" t="s">
        <v>134</v>
      </c>
      <c r="B162" s="22" t="s">
        <v>151</v>
      </c>
      <c r="C162" s="25">
        <v>27.090555599999998</v>
      </c>
      <c r="D162" s="15">
        <v>7</v>
      </c>
      <c r="E162" s="26">
        <v>0.55971125648999998</v>
      </c>
      <c r="F162" s="25">
        <v>27.090555599999998</v>
      </c>
      <c r="G162" s="8">
        <v>7</v>
      </c>
      <c r="H162" s="26">
        <v>0.55971125648999998</v>
      </c>
    </row>
    <row r="163" spans="1:8" x14ac:dyDescent="0.2">
      <c r="A163" s="14" t="s">
        <v>134</v>
      </c>
      <c r="B163" s="22" t="s">
        <v>152</v>
      </c>
      <c r="C163" s="25">
        <v>45.466666699999998</v>
      </c>
      <c r="D163" s="15">
        <v>6</v>
      </c>
      <c r="E163" s="26">
        <v>0.36056744868000001</v>
      </c>
      <c r="F163" s="25">
        <v>52.458888899999998</v>
      </c>
      <c r="G163" s="8">
        <v>7</v>
      </c>
      <c r="H163" s="26">
        <v>0.32825704784999998</v>
      </c>
    </row>
    <row r="164" spans="1:8" x14ac:dyDescent="0.2">
      <c r="A164" s="14" t="s">
        <v>134</v>
      </c>
      <c r="B164" s="22" t="s">
        <v>153</v>
      </c>
      <c r="C164" s="25">
        <v>117.19</v>
      </c>
      <c r="D164" s="15">
        <v>1</v>
      </c>
      <c r="E164" s="26">
        <v>0.22654663367</v>
      </c>
      <c r="F164" s="25">
        <v>75.832999999999998</v>
      </c>
      <c r="G164" s="8">
        <v>7</v>
      </c>
      <c r="H164" s="26">
        <v>0.25450529452999998</v>
      </c>
    </row>
    <row r="165" spans="1:8" x14ac:dyDescent="0.2">
      <c r="A165" s="14" t="s">
        <v>134</v>
      </c>
      <c r="B165" s="22" t="s">
        <v>154</v>
      </c>
      <c r="C165" s="25">
        <v>40.853333300000003</v>
      </c>
      <c r="D165" s="15">
        <v>3</v>
      </c>
      <c r="E165" s="26">
        <v>0.41124347257999999</v>
      </c>
      <c r="F165" s="25">
        <v>40.853333300000003</v>
      </c>
      <c r="G165" s="8">
        <v>3</v>
      </c>
      <c r="H165" s="26">
        <v>0.41124347257999999</v>
      </c>
    </row>
    <row r="166" spans="1:8" x14ac:dyDescent="0.2">
      <c r="A166" s="14" t="s">
        <v>134</v>
      </c>
      <c r="B166" s="22" t="s">
        <v>155</v>
      </c>
      <c r="C166" s="27"/>
      <c r="D166" s="13"/>
      <c r="E166" s="28"/>
      <c r="F166" s="25">
        <v>47.5</v>
      </c>
      <c r="G166" s="8">
        <v>1</v>
      </c>
      <c r="H166" s="26">
        <v>0</v>
      </c>
    </row>
    <row r="167" spans="1:8" x14ac:dyDescent="0.2">
      <c r="A167" s="14" t="s">
        <v>134</v>
      </c>
      <c r="B167" s="22" t="s">
        <v>156</v>
      </c>
      <c r="C167" s="27"/>
      <c r="D167" s="13"/>
      <c r="E167" s="28"/>
      <c r="F167" s="25">
        <v>255.20750000000001</v>
      </c>
      <c r="G167" s="8">
        <v>2</v>
      </c>
      <c r="H167" s="26">
        <v>0.11891108216</v>
      </c>
    </row>
    <row r="168" spans="1:8" x14ac:dyDescent="0.2">
      <c r="A168" s="14" t="s">
        <v>134</v>
      </c>
      <c r="B168" s="22" t="s">
        <v>157</v>
      </c>
      <c r="C168" s="25">
        <v>201.15937500000001</v>
      </c>
      <c r="D168" s="15">
        <v>7</v>
      </c>
      <c r="E168" s="26">
        <v>9.2861692379999999E-2</v>
      </c>
      <c r="F168" s="25">
        <v>161.39074070000001</v>
      </c>
      <c r="G168" s="8">
        <v>16</v>
      </c>
      <c r="H168" s="26">
        <v>7.8232034059999997E-2</v>
      </c>
    </row>
    <row r="169" spans="1:8" x14ac:dyDescent="0.2">
      <c r="A169" s="14" t="s">
        <v>134</v>
      </c>
      <c r="B169" s="22" t="s">
        <v>158</v>
      </c>
      <c r="C169" s="25">
        <v>470.21</v>
      </c>
      <c r="D169" s="15">
        <v>1</v>
      </c>
      <c r="E169" s="26">
        <v>0.21652559495000001</v>
      </c>
      <c r="F169" s="25">
        <v>470.21</v>
      </c>
      <c r="G169" s="8">
        <v>1</v>
      </c>
      <c r="H169" s="26">
        <v>0.21652559495000001</v>
      </c>
    </row>
    <row r="170" spans="1:8" x14ac:dyDescent="0.2">
      <c r="A170" s="14" t="s">
        <v>134</v>
      </c>
      <c r="B170" s="22" t="s">
        <v>159</v>
      </c>
      <c r="C170" s="25">
        <v>268.8</v>
      </c>
      <c r="D170" s="15">
        <v>1</v>
      </c>
      <c r="E170" s="26">
        <v>0.21901971726</v>
      </c>
      <c r="F170" s="25">
        <v>268.8</v>
      </c>
      <c r="G170" s="8">
        <v>1</v>
      </c>
      <c r="H170" s="26">
        <v>0.21901971726</v>
      </c>
    </row>
    <row r="171" spans="1:8" x14ac:dyDescent="0.2">
      <c r="A171" s="14" t="s">
        <v>160</v>
      </c>
      <c r="B171" s="22" t="s">
        <v>161</v>
      </c>
      <c r="C171" s="25">
        <v>91.194999999999993</v>
      </c>
      <c r="D171" s="15">
        <v>12</v>
      </c>
      <c r="E171" s="26">
        <v>0.20601092896000001</v>
      </c>
      <c r="F171" s="25">
        <v>91.194999999999993</v>
      </c>
      <c r="G171" s="8">
        <v>12</v>
      </c>
      <c r="H171" s="26">
        <v>0.20601092896000001</v>
      </c>
    </row>
    <row r="172" spans="1:8" x14ac:dyDescent="0.2">
      <c r="A172" s="14" t="s">
        <v>160</v>
      </c>
      <c r="B172" s="22" t="s">
        <v>162</v>
      </c>
      <c r="C172" s="25">
        <v>3979.37</v>
      </c>
      <c r="D172" s="15">
        <v>9</v>
      </c>
      <c r="E172" s="26">
        <v>0.22979165043999999</v>
      </c>
      <c r="F172" s="25">
        <v>4437.8535714</v>
      </c>
      <c r="G172" s="8">
        <v>14</v>
      </c>
      <c r="H172" s="26">
        <v>0.22971069508</v>
      </c>
    </row>
    <row r="173" spans="1:8" x14ac:dyDescent="0.2">
      <c r="A173" s="14" t="s">
        <v>160</v>
      </c>
      <c r="B173" s="22" t="s">
        <v>138</v>
      </c>
      <c r="C173" s="25">
        <v>127.83666669999999</v>
      </c>
      <c r="D173" s="15">
        <v>9</v>
      </c>
      <c r="E173" s="26">
        <v>0.24072470947999999</v>
      </c>
      <c r="F173" s="25">
        <v>101.79695649999999</v>
      </c>
      <c r="G173" s="8">
        <v>23</v>
      </c>
      <c r="H173" s="26">
        <v>0.24696561355999999</v>
      </c>
    </row>
    <row r="174" spans="1:8" x14ac:dyDescent="0.2">
      <c r="A174" s="14" t="s">
        <v>160</v>
      </c>
      <c r="B174" s="22" t="s">
        <v>163</v>
      </c>
      <c r="C174" s="25">
        <v>1842.1789474</v>
      </c>
      <c r="D174" s="15">
        <v>19</v>
      </c>
      <c r="E174" s="26">
        <v>0.19783762934999999</v>
      </c>
      <c r="F174" s="25">
        <v>2312.8155556000002</v>
      </c>
      <c r="G174" s="8">
        <v>45</v>
      </c>
      <c r="H174" s="26">
        <v>0.19749317571</v>
      </c>
    </row>
    <row r="175" spans="1:8" x14ac:dyDescent="0.2">
      <c r="A175" s="14" t="s">
        <v>160</v>
      </c>
      <c r="B175" s="22" t="s">
        <v>164</v>
      </c>
      <c r="C175" s="25">
        <v>241.42500000000001</v>
      </c>
      <c r="D175" s="15">
        <v>8</v>
      </c>
      <c r="E175" s="26">
        <v>0.20906751578999999</v>
      </c>
      <c r="F175" s="25">
        <v>288.61428569999998</v>
      </c>
      <c r="G175" s="8">
        <v>21</v>
      </c>
      <c r="H175" s="26">
        <v>0.20695375274</v>
      </c>
    </row>
    <row r="176" spans="1:8" x14ac:dyDescent="0.2">
      <c r="A176" s="14" t="s">
        <v>160</v>
      </c>
      <c r="B176" s="22" t="s">
        <v>165</v>
      </c>
      <c r="C176" s="27"/>
      <c r="D176" s="13"/>
      <c r="E176" s="28"/>
      <c r="F176" s="25">
        <v>95.81</v>
      </c>
      <c r="G176" s="8">
        <v>1</v>
      </c>
      <c r="H176" s="26">
        <v>0.26152802420999999</v>
      </c>
    </row>
    <row r="177" spans="1:8" x14ac:dyDescent="0.2">
      <c r="A177" s="14" t="s">
        <v>160</v>
      </c>
      <c r="B177" s="22" t="s">
        <v>166</v>
      </c>
      <c r="C177" s="27"/>
      <c r="D177" s="13"/>
      <c r="E177" s="28"/>
      <c r="F177" s="25">
        <v>813.26666669999997</v>
      </c>
      <c r="G177" s="8">
        <v>3</v>
      </c>
      <c r="H177" s="26">
        <v>0.19998196572999999</v>
      </c>
    </row>
    <row r="178" spans="1:8" x14ac:dyDescent="0.2">
      <c r="A178" s="14" t="s">
        <v>160</v>
      </c>
      <c r="B178" s="22" t="s">
        <v>167</v>
      </c>
      <c r="C178" s="25">
        <v>247.16666670000001</v>
      </c>
      <c r="D178" s="15">
        <v>3</v>
      </c>
      <c r="E178" s="26">
        <v>0.18443155764999999</v>
      </c>
      <c r="F178" s="25">
        <v>247.16666670000001</v>
      </c>
      <c r="G178" s="8">
        <v>3</v>
      </c>
      <c r="H178" s="26">
        <v>0.18443155764999999</v>
      </c>
    </row>
    <row r="179" spans="1:8" x14ac:dyDescent="0.2">
      <c r="A179" s="14" t="s">
        <v>160</v>
      </c>
      <c r="B179" s="22" t="s">
        <v>168</v>
      </c>
      <c r="C179" s="25">
        <v>172.01</v>
      </c>
      <c r="D179" s="15">
        <v>2</v>
      </c>
      <c r="E179" s="26">
        <v>0.40429335504000002</v>
      </c>
      <c r="F179" s="25">
        <v>172.01</v>
      </c>
      <c r="G179" s="8">
        <v>2</v>
      </c>
      <c r="H179" s="26">
        <v>0.40429335504000002</v>
      </c>
    </row>
    <row r="180" spans="1:8" x14ac:dyDescent="0.2">
      <c r="A180" s="14" t="s">
        <v>160</v>
      </c>
      <c r="B180" s="22" t="s">
        <v>169</v>
      </c>
      <c r="C180" s="25">
        <v>264.50428570000003</v>
      </c>
      <c r="D180" s="15">
        <v>35</v>
      </c>
      <c r="E180" s="26">
        <v>0.24080139128</v>
      </c>
      <c r="F180" s="25">
        <v>241.21561639999999</v>
      </c>
      <c r="G180" s="8">
        <v>73</v>
      </c>
      <c r="H180" s="26">
        <v>0.24194133140999999</v>
      </c>
    </row>
    <row r="181" spans="1:8" x14ac:dyDescent="0.2">
      <c r="A181" s="14" t="s">
        <v>160</v>
      </c>
      <c r="B181" s="22" t="s">
        <v>170</v>
      </c>
      <c r="C181" s="25">
        <v>778.4</v>
      </c>
      <c r="D181" s="15">
        <v>1</v>
      </c>
      <c r="E181" s="26">
        <v>0</v>
      </c>
      <c r="F181" s="25">
        <v>778.4</v>
      </c>
      <c r="G181" s="8">
        <v>1</v>
      </c>
      <c r="H181" s="26">
        <v>0</v>
      </c>
    </row>
    <row r="182" spans="1:8" x14ac:dyDescent="0.2">
      <c r="A182" s="14" t="s">
        <v>160</v>
      </c>
      <c r="B182" s="22" t="s">
        <v>171</v>
      </c>
      <c r="C182" s="25">
        <v>38.43</v>
      </c>
      <c r="D182" s="15">
        <v>1</v>
      </c>
      <c r="E182" s="26">
        <v>0.27733541503999998</v>
      </c>
      <c r="F182" s="25">
        <v>36.905000000000001</v>
      </c>
      <c r="G182" s="8">
        <v>2</v>
      </c>
      <c r="H182" s="26">
        <v>0.28073431784000002</v>
      </c>
    </row>
    <row r="183" spans="1:8" x14ac:dyDescent="0.2">
      <c r="A183" s="14" t="s">
        <v>160</v>
      </c>
      <c r="B183" s="22" t="s">
        <v>172</v>
      </c>
      <c r="C183" s="25">
        <v>626.45333330000005</v>
      </c>
      <c r="D183" s="15">
        <v>9</v>
      </c>
      <c r="E183" s="26">
        <v>0.23399047193</v>
      </c>
      <c r="F183" s="25">
        <v>548.83799999999997</v>
      </c>
      <c r="G183" s="8">
        <v>25</v>
      </c>
      <c r="H183" s="26">
        <v>0.23469322459</v>
      </c>
    </row>
    <row r="184" spans="1:8" x14ac:dyDescent="0.2">
      <c r="A184" s="14" t="s">
        <v>160</v>
      </c>
      <c r="B184" s="22" t="s">
        <v>173</v>
      </c>
      <c r="C184" s="25">
        <v>89.083333300000007</v>
      </c>
      <c r="D184" s="15">
        <v>9</v>
      </c>
      <c r="E184" s="26">
        <v>0.26405363267999998</v>
      </c>
      <c r="F184" s="25">
        <v>89.083333300000007</v>
      </c>
      <c r="G184" s="8">
        <v>9</v>
      </c>
      <c r="H184" s="26">
        <v>0.26405363267999998</v>
      </c>
    </row>
    <row r="185" spans="1:8" x14ac:dyDescent="0.2">
      <c r="A185" s="14" t="s">
        <v>160</v>
      </c>
      <c r="B185" s="22" t="s">
        <v>174</v>
      </c>
      <c r="C185" s="25">
        <v>254.44444440000001</v>
      </c>
      <c r="D185" s="15">
        <v>18</v>
      </c>
      <c r="E185" s="26">
        <v>0.39841812227000001</v>
      </c>
      <c r="F185" s="25">
        <v>261.63600000000002</v>
      </c>
      <c r="G185" s="8">
        <v>40</v>
      </c>
      <c r="H185" s="26">
        <v>0.39807948830000001</v>
      </c>
    </row>
    <row r="186" spans="1:8" x14ac:dyDescent="0.2">
      <c r="A186" s="14" t="s">
        <v>160</v>
      </c>
      <c r="B186" s="22" t="s">
        <v>175</v>
      </c>
      <c r="C186" s="25">
        <v>216.31299999999999</v>
      </c>
      <c r="D186" s="15">
        <v>10</v>
      </c>
      <c r="E186" s="26">
        <v>0.36500857553999999</v>
      </c>
      <c r="F186" s="25">
        <v>193.69565220000001</v>
      </c>
      <c r="G186" s="8">
        <v>23</v>
      </c>
      <c r="H186" s="26">
        <v>0.36669113355999999</v>
      </c>
    </row>
    <row r="187" spans="1:8" x14ac:dyDescent="0.2">
      <c r="A187" s="14" t="s">
        <v>160</v>
      </c>
      <c r="B187" s="22" t="s">
        <v>176</v>
      </c>
      <c r="C187" s="25">
        <v>79.2157895</v>
      </c>
      <c r="D187" s="15">
        <v>19</v>
      </c>
      <c r="E187" s="26">
        <v>0.21118331007999999</v>
      </c>
      <c r="F187" s="25">
        <v>81.735576899999998</v>
      </c>
      <c r="G187" s="8">
        <v>51</v>
      </c>
      <c r="H187" s="26">
        <v>0.20996929591999999</v>
      </c>
    </row>
    <row r="188" spans="1:8" x14ac:dyDescent="0.2">
      <c r="A188" s="14" t="s">
        <v>160</v>
      </c>
      <c r="B188" s="22" t="s">
        <v>177</v>
      </c>
      <c r="C188" s="25">
        <v>100.3</v>
      </c>
      <c r="D188" s="15">
        <v>1</v>
      </c>
      <c r="E188" s="26">
        <v>0.41725822532000001</v>
      </c>
      <c r="F188" s="25">
        <v>104.6333333</v>
      </c>
      <c r="G188" s="8">
        <v>3</v>
      </c>
      <c r="H188" s="26">
        <v>0.41599235424999997</v>
      </c>
    </row>
    <row r="189" spans="1:8" x14ac:dyDescent="0.2">
      <c r="A189" s="14" t="s">
        <v>160</v>
      </c>
      <c r="B189" s="22" t="s">
        <v>178</v>
      </c>
      <c r="C189" s="25">
        <v>156.59</v>
      </c>
      <c r="D189" s="15">
        <v>2</v>
      </c>
      <c r="E189" s="26">
        <v>0.40606999170000002</v>
      </c>
      <c r="F189" s="25">
        <v>293.09666670000001</v>
      </c>
      <c r="G189" s="8">
        <v>6</v>
      </c>
      <c r="H189" s="26">
        <v>0.39679741610000002</v>
      </c>
    </row>
    <row r="190" spans="1:8" x14ac:dyDescent="0.2">
      <c r="A190" s="14" t="s">
        <v>160</v>
      </c>
      <c r="B190" s="22" t="s">
        <v>179</v>
      </c>
      <c r="C190" s="25">
        <v>88.44</v>
      </c>
      <c r="D190" s="15">
        <v>1</v>
      </c>
      <c r="E190" s="26">
        <v>0</v>
      </c>
      <c r="F190" s="25">
        <v>88.44</v>
      </c>
      <c r="G190" s="8">
        <v>1</v>
      </c>
      <c r="H190" s="26">
        <v>0</v>
      </c>
    </row>
    <row r="191" spans="1:8" x14ac:dyDescent="0.2">
      <c r="A191" s="14" t="s">
        <v>160</v>
      </c>
      <c r="B191" s="22" t="s">
        <v>158</v>
      </c>
      <c r="C191" s="25">
        <v>394.12</v>
      </c>
      <c r="D191" s="15">
        <v>30</v>
      </c>
      <c r="E191" s="26">
        <v>0.2242395717</v>
      </c>
      <c r="F191" s="25">
        <v>311.64659569999998</v>
      </c>
      <c r="G191" s="8">
        <v>47</v>
      </c>
      <c r="H191" s="26">
        <v>0.22633452103000001</v>
      </c>
    </row>
    <row r="192" spans="1:8" x14ac:dyDescent="0.2">
      <c r="A192" s="14" t="s">
        <v>160</v>
      </c>
      <c r="B192" s="22" t="s">
        <v>180</v>
      </c>
      <c r="C192" s="25">
        <v>8.7633332999999993</v>
      </c>
      <c r="D192" s="15">
        <v>3</v>
      </c>
      <c r="E192" s="26">
        <v>0.52765310003999999</v>
      </c>
      <c r="F192" s="25">
        <v>11.246</v>
      </c>
      <c r="G192" s="8">
        <v>5</v>
      </c>
      <c r="H192" s="26">
        <v>0.44919082339999999</v>
      </c>
    </row>
    <row r="193" spans="1:8" x14ac:dyDescent="0.2">
      <c r="A193" s="14" t="s">
        <v>160</v>
      </c>
      <c r="B193" s="22" t="s">
        <v>159</v>
      </c>
      <c r="C193" s="25">
        <v>405.65</v>
      </c>
      <c r="D193" s="15">
        <v>2</v>
      </c>
      <c r="E193" s="26">
        <v>0.22401207938000001</v>
      </c>
      <c r="F193" s="25">
        <v>405.65</v>
      </c>
      <c r="G193" s="8">
        <v>2</v>
      </c>
      <c r="H193" s="26">
        <v>0.22401207938000001</v>
      </c>
    </row>
    <row r="194" spans="1:8" x14ac:dyDescent="0.2">
      <c r="A194" s="14" t="s">
        <v>160</v>
      </c>
      <c r="B194" s="22" t="s">
        <v>181</v>
      </c>
      <c r="C194" s="25">
        <v>192.8</v>
      </c>
      <c r="D194" s="15">
        <v>4</v>
      </c>
      <c r="E194" s="26">
        <v>0.34523729253000002</v>
      </c>
      <c r="F194" s="25">
        <v>218.84444439999999</v>
      </c>
      <c r="G194" s="8">
        <v>9</v>
      </c>
      <c r="H194" s="26">
        <v>0.34331336311999999</v>
      </c>
    </row>
    <row r="195" spans="1:8" x14ac:dyDescent="0.2">
      <c r="A195" s="14" t="s">
        <v>160</v>
      </c>
      <c r="B195" s="22" t="s">
        <v>182</v>
      </c>
      <c r="C195" s="25">
        <v>184.33333329999999</v>
      </c>
      <c r="D195" s="15">
        <v>3</v>
      </c>
      <c r="E195" s="26">
        <v>0.40307233272999998</v>
      </c>
      <c r="F195" s="25">
        <v>183.85</v>
      </c>
      <c r="G195" s="8">
        <v>6</v>
      </c>
      <c r="H195" s="26">
        <v>0.40311939080999998</v>
      </c>
    </row>
    <row r="196" spans="1:8" x14ac:dyDescent="0.2">
      <c r="A196" s="14" t="s">
        <v>160</v>
      </c>
      <c r="B196" s="22" t="s">
        <v>97</v>
      </c>
      <c r="C196" s="27"/>
      <c r="D196" s="13"/>
      <c r="E196" s="28"/>
      <c r="F196" s="25">
        <v>575.16833329999997</v>
      </c>
      <c r="G196" s="8">
        <v>6</v>
      </c>
      <c r="H196" s="26">
        <v>0.25803750205999998</v>
      </c>
    </row>
    <row r="197" spans="1:8" x14ac:dyDescent="0.2">
      <c r="A197" s="14" t="s">
        <v>160</v>
      </c>
      <c r="B197" s="22" t="s">
        <v>183</v>
      </c>
      <c r="C197" s="25">
        <v>123.9555556</v>
      </c>
      <c r="D197" s="15">
        <v>9</v>
      </c>
      <c r="E197" s="26">
        <v>0.19697472212</v>
      </c>
      <c r="F197" s="25">
        <v>111.23375</v>
      </c>
      <c r="G197" s="8">
        <v>16</v>
      </c>
      <c r="H197" s="26">
        <v>0.19985503500999999</v>
      </c>
    </row>
    <row r="198" spans="1:8" x14ac:dyDescent="0.2">
      <c r="A198" s="14" t="s">
        <v>184</v>
      </c>
      <c r="B198" s="22" t="s">
        <v>185</v>
      </c>
      <c r="C198" s="25">
        <v>68.1674194</v>
      </c>
      <c r="D198" s="15">
        <v>10</v>
      </c>
      <c r="E198" s="26">
        <v>0.11523336755999999</v>
      </c>
      <c r="F198" s="25">
        <v>66.564756099999997</v>
      </c>
      <c r="G198" s="8">
        <v>24</v>
      </c>
      <c r="H198" s="26">
        <v>0.10803160685</v>
      </c>
    </row>
    <row r="199" spans="1:8" x14ac:dyDescent="0.2">
      <c r="A199" s="14" t="s">
        <v>184</v>
      </c>
      <c r="B199" s="22" t="s">
        <v>186</v>
      </c>
      <c r="C199" s="25">
        <v>92.253749999999997</v>
      </c>
      <c r="D199" s="15">
        <v>8</v>
      </c>
      <c r="E199" s="26">
        <v>8.7604388259999999E-2</v>
      </c>
      <c r="F199" s="25">
        <v>72.891363600000005</v>
      </c>
      <c r="G199" s="8">
        <v>19</v>
      </c>
      <c r="H199" s="26">
        <v>9.5882415299999996E-2</v>
      </c>
    </row>
    <row r="200" spans="1:8" x14ac:dyDescent="0.2">
      <c r="A200" s="14" t="s">
        <v>184</v>
      </c>
      <c r="B200" s="22" t="s">
        <v>187</v>
      </c>
      <c r="C200" s="25">
        <v>41.911250000000003</v>
      </c>
      <c r="D200" s="15">
        <v>8</v>
      </c>
      <c r="E200" s="26">
        <v>0.10113632974</v>
      </c>
      <c r="F200" s="25">
        <v>54.7776</v>
      </c>
      <c r="G200" s="8">
        <v>20</v>
      </c>
      <c r="H200" s="26">
        <v>0.11786399307000001</v>
      </c>
    </row>
    <row r="201" spans="1:8" x14ac:dyDescent="0.2">
      <c r="A201" s="14" t="s">
        <v>184</v>
      </c>
      <c r="B201" s="22" t="s">
        <v>188</v>
      </c>
      <c r="C201" s="25">
        <v>640.38466670000003</v>
      </c>
      <c r="D201" s="15">
        <v>15</v>
      </c>
      <c r="E201" s="26">
        <v>7.7960468899999996E-2</v>
      </c>
      <c r="F201" s="25">
        <v>478.26837840000002</v>
      </c>
      <c r="G201" s="8">
        <v>31</v>
      </c>
      <c r="H201" s="26">
        <v>7.4467970879999998E-2</v>
      </c>
    </row>
    <row r="202" spans="1:8" x14ac:dyDescent="0.2">
      <c r="A202" s="14" t="s">
        <v>184</v>
      </c>
      <c r="B202" s="22" t="s">
        <v>189</v>
      </c>
      <c r="C202" s="25">
        <v>74.311578900000001</v>
      </c>
      <c r="D202" s="15">
        <v>18</v>
      </c>
      <c r="E202" s="26">
        <v>9.7982416380000006E-2</v>
      </c>
      <c r="F202" s="25">
        <v>59.9889796</v>
      </c>
      <c r="G202" s="8">
        <v>41</v>
      </c>
      <c r="H202" s="26">
        <v>0.11730533273</v>
      </c>
    </row>
    <row r="203" spans="1:8" x14ac:dyDescent="0.2">
      <c r="A203" s="14" t="s">
        <v>184</v>
      </c>
      <c r="B203" s="22" t="s">
        <v>190</v>
      </c>
      <c r="C203" s="25">
        <v>111.5766667</v>
      </c>
      <c r="D203" s="15">
        <v>3</v>
      </c>
      <c r="E203" s="26">
        <v>0</v>
      </c>
      <c r="F203" s="25">
        <v>111.5766667</v>
      </c>
      <c r="G203" s="8">
        <v>3</v>
      </c>
      <c r="H203" s="26">
        <v>0</v>
      </c>
    </row>
    <row r="204" spans="1:8" x14ac:dyDescent="0.2">
      <c r="A204" s="14" t="s">
        <v>184</v>
      </c>
      <c r="B204" s="22" t="s">
        <v>191</v>
      </c>
      <c r="C204" s="25">
        <v>174.19136359999999</v>
      </c>
      <c r="D204" s="15">
        <v>8</v>
      </c>
      <c r="E204" s="26">
        <v>9.0649259829999995E-2</v>
      </c>
      <c r="F204" s="25">
        <v>171.67984379999999</v>
      </c>
      <c r="G204" s="8">
        <v>19</v>
      </c>
      <c r="H204" s="26">
        <v>8.124479523E-2</v>
      </c>
    </row>
    <row r="205" spans="1:8" x14ac:dyDescent="0.2">
      <c r="A205" s="14" t="s">
        <v>184</v>
      </c>
      <c r="B205" s="22" t="s">
        <v>192</v>
      </c>
      <c r="C205" s="25">
        <v>343.23277780000001</v>
      </c>
      <c r="D205" s="15">
        <v>17</v>
      </c>
      <c r="E205" s="26">
        <v>8.0017880099999994E-2</v>
      </c>
      <c r="F205" s="25">
        <v>415.34199999999998</v>
      </c>
      <c r="G205" s="8">
        <v>39</v>
      </c>
      <c r="H205" s="26">
        <v>7.4136280730000004E-2</v>
      </c>
    </row>
    <row r="206" spans="1:8" x14ac:dyDescent="0.2">
      <c r="A206" s="14" t="s">
        <v>184</v>
      </c>
      <c r="B206" s="22" t="s">
        <v>193</v>
      </c>
      <c r="C206" s="25">
        <v>139.18777779999999</v>
      </c>
      <c r="D206" s="15">
        <v>9</v>
      </c>
      <c r="E206" s="26">
        <v>8.3807113759999996E-2</v>
      </c>
      <c r="F206" s="25">
        <v>138.69423080000001</v>
      </c>
      <c r="G206" s="8">
        <v>22</v>
      </c>
      <c r="H206" s="26">
        <v>7.9160484929999997E-2</v>
      </c>
    </row>
    <row r="207" spans="1:8" x14ac:dyDescent="0.2">
      <c r="A207" s="14" t="s">
        <v>184</v>
      </c>
      <c r="B207" s="22" t="s">
        <v>194</v>
      </c>
      <c r="C207" s="25">
        <v>52.952631599999997</v>
      </c>
      <c r="D207" s="15">
        <v>7</v>
      </c>
      <c r="E207" s="26">
        <v>0.11052778054</v>
      </c>
      <c r="F207" s="25">
        <v>33.797818200000002</v>
      </c>
      <c r="G207" s="8">
        <v>16</v>
      </c>
      <c r="H207" s="26">
        <v>0.14992522379000001</v>
      </c>
    </row>
    <row r="208" spans="1:8" x14ac:dyDescent="0.2">
      <c r="A208" s="14" t="s">
        <v>184</v>
      </c>
      <c r="B208" s="22" t="s">
        <v>195</v>
      </c>
      <c r="C208" s="25">
        <v>94.8</v>
      </c>
      <c r="D208" s="15">
        <v>1</v>
      </c>
      <c r="E208" s="26">
        <v>8.7324191280000005E-2</v>
      </c>
      <c r="F208" s="25">
        <v>127.1428571</v>
      </c>
      <c r="G208" s="8">
        <v>5</v>
      </c>
      <c r="H208" s="26">
        <v>8.6887265919999998E-2</v>
      </c>
    </row>
    <row r="209" spans="1:8" x14ac:dyDescent="0.2">
      <c r="A209" s="14" t="s">
        <v>184</v>
      </c>
      <c r="B209" s="22" t="s">
        <v>196</v>
      </c>
      <c r="C209" s="25">
        <v>505.6</v>
      </c>
      <c r="D209" s="15">
        <v>3</v>
      </c>
      <c r="E209" s="26">
        <v>7.8392888539999997E-2</v>
      </c>
      <c r="F209" s="25">
        <v>414.51</v>
      </c>
      <c r="G209" s="8">
        <v>9</v>
      </c>
      <c r="H209" s="26">
        <v>7.5215475300000001E-2</v>
      </c>
    </row>
    <row r="210" spans="1:8" x14ac:dyDescent="0.2">
      <c r="A210" s="14" t="s">
        <v>184</v>
      </c>
      <c r="B210" s="22" t="s">
        <v>197</v>
      </c>
      <c r="C210" s="25">
        <v>65.422142899999997</v>
      </c>
      <c r="D210" s="15">
        <v>12</v>
      </c>
      <c r="E210" s="26">
        <v>0.10265819422</v>
      </c>
      <c r="F210" s="25">
        <v>62.8803226</v>
      </c>
      <c r="G210" s="8">
        <v>25</v>
      </c>
      <c r="H210" s="26">
        <v>0.11757973416</v>
      </c>
    </row>
    <row r="211" spans="1:8" x14ac:dyDescent="0.2">
      <c r="A211" s="14" t="s">
        <v>184</v>
      </c>
      <c r="B211" s="22" t="s">
        <v>198</v>
      </c>
      <c r="C211" s="27"/>
      <c r="D211" s="13"/>
      <c r="E211" s="28"/>
      <c r="F211" s="25">
        <v>248.89400000000001</v>
      </c>
      <c r="G211" s="8">
        <v>3</v>
      </c>
      <c r="H211" s="26">
        <v>6.8879121230000007E-2</v>
      </c>
    </row>
    <row r="212" spans="1:8" x14ac:dyDescent="0.2">
      <c r="A212" s="14" t="s">
        <v>184</v>
      </c>
      <c r="B212" s="22" t="s">
        <v>199</v>
      </c>
      <c r="C212" s="25">
        <v>30.500645200000001</v>
      </c>
      <c r="D212" s="15">
        <v>10</v>
      </c>
      <c r="E212" s="26">
        <v>0.16220809713000001</v>
      </c>
      <c r="F212" s="25">
        <v>33.6942308</v>
      </c>
      <c r="G212" s="8">
        <v>16</v>
      </c>
      <c r="H212" s="26">
        <v>0.15278465841</v>
      </c>
    </row>
    <row r="213" spans="1:8" x14ac:dyDescent="0.2">
      <c r="A213" s="14" t="s">
        <v>184</v>
      </c>
      <c r="B213" s="22" t="s">
        <v>200</v>
      </c>
      <c r="C213" s="25">
        <v>192.5</v>
      </c>
      <c r="D213" s="15">
        <v>1</v>
      </c>
      <c r="E213" s="26">
        <v>8.1747186149999998E-2</v>
      </c>
      <c r="F213" s="25">
        <v>180.0285714</v>
      </c>
      <c r="G213" s="8">
        <v>5</v>
      </c>
      <c r="H213" s="26">
        <v>7.5299687879999994E-2</v>
      </c>
    </row>
    <row r="214" spans="1:8" x14ac:dyDescent="0.2">
      <c r="A214" s="14" t="s">
        <v>184</v>
      </c>
      <c r="B214" s="22" t="s">
        <v>201</v>
      </c>
      <c r="C214" s="25">
        <v>72.563783799999996</v>
      </c>
      <c r="D214" s="15">
        <v>12</v>
      </c>
      <c r="E214" s="26">
        <v>0.13255216286999999</v>
      </c>
      <c r="F214" s="25">
        <v>59.790795500000002</v>
      </c>
      <c r="G214" s="8">
        <v>23</v>
      </c>
      <c r="H214" s="26">
        <v>0.14138786945000001</v>
      </c>
    </row>
    <row r="215" spans="1:8" x14ac:dyDescent="0.2">
      <c r="A215" s="14" t="s">
        <v>184</v>
      </c>
      <c r="B215" s="22" t="s">
        <v>202</v>
      </c>
      <c r="C215" s="25">
        <v>172.93</v>
      </c>
      <c r="D215" s="15">
        <v>3</v>
      </c>
      <c r="E215" s="26">
        <v>8.2349955340000003E-2</v>
      </c>
      <c r="F215" s="25">
        <v>188.79928570000001</v>
      </c>
      <c r="G215" s="8">
        <v>12</v>
      </c>
      <c r="H215" s="26">
        <v>7.7399657230000002E-2</v>
      </c>
    </row>
    <row r="216" spans="1:8" x14ac:dyDescent="0.2">
      <c r="A216" s="14" t="s">
        <v>184</v>
      </c>
      <c r="B216" s="22" t="s">
        <v>203</v>
      </c>
      <c r="C216" s="25">
        <v>97.4</v>
      </c>
      <c r="D216" s="15">
        <v>1</v>
      </c>
      <c r="E216" s="26">
        <v>8.7019164960000006E-2</v>
      </c>
      <c r="F216" s="25">
        <v>105.8</v>
      </c>
      <c r="G216" s="8">
        <v>5</v>
      </c>
      <c r="H216" s="26">
        <v>9.5450985690000004E-2</v>
      </c>
    </row>
    <row r="217" spans="1:8" x14ac:dyDescent="0.2">
      <c r="A217" s="14" t="s">
        <v>184</v>
      </c>
      <c r="B217" s="22" t="s">
        <v>204</v>
      </c>
      <c r="C217" s="25">
        <v>95.894000000000005</v>
      </c>
      <c r="D217" s="15">
        <v>10</v>
      </c>
      <c r="E217" s="26">
        <v>8.7182722589999997E-2</v>
      </c>
      <c r="F217" s="25">
        <v>106.27</v>
      </c>
      <c r="G217" s="8">
        <v>23</v>
      </c>
      <c r="H217" s="26">
        <v>8.8069024539999999E-2</v>
      </c>
    </row>
    <row r="218" spans="1:8" x14ac:dyDescent="0.2">
      <c r="A218" s="14" t="s">
        <v>184</v>
      </c>
      <c r="B218" s="22" t="s">
        <v>205</v>
      </c>
      <c r="C218" s="25">
        <v>117.8</v>
      </c>
      <c r="D218" s="15">
        <v>8</v>
      </c>
      <c r="E218" s="26">
        <v>8.5164119979999994E-2</v>
      </c>
      <c r="F218" s="25">
        <v>148.05384620000001</v>
      </c>
      <c r="G218" s="8">
        <v>22</v>
      </c>
      <c r="H218" s="26">
        <v>8.2075734750000004E-2</v>
      </c>
    </row>
    <row r="219" spans="1:8" x14ac:dyDescent="0.2">
      <c r="A219" s="14" t="s">
        <v>184</v>
      </c>
      <c r="B219" s="22" t="s">
        <v>206</v>
      </c>
      <c r="C219" s="25">
        <v>65.137272699999997</v>
      </c>
      <c r="D219" s="15">
        <v>11</v>
      </c>
      <c r="E219" s="26">
        <v>0.15289621451999999</v>
      </c>
      <c r="F219" s="25">
        <v>60.267307700000003</v>
      </c>
      <c r="G219" s="8">
        <v>23</v>
      </c>
      <c r="H219" s="26">
        <v>0.16145845964</v>
      </c>
    </row>
    <row r="220" spans="1:8" x14ac:dyDescent="0.2">
      <c r="A220" s="14" t="s">
        <v>184</v>
      </c>
      <c r="B220" s="22" t="s">
        <v>207</v>
      </c>
      <c r="C220" s="25">
        <v>82.756799999999998</v>
      </c>
      <c r="D220" s="15">
        <v>9</v>
      </c>
      <c r="E220" s="26">
        <v>9.6499139649999996E-2</v>
      </c>
      <c r="F220" s="25">
        <v>79.788552600000003</v>
      </c>
      <c r="G220" s="8">
        <v>22</v>
      </c>
      <c r="H220" s="26">
        <v>0.10422086007</v>
      </c>
    </row>
    <row r="221" spans="1:8" x14ac:dyDescent="0.2">
      <c r="A221" s="14" t="s">
        <v>184</v>
      </c>
      <c r="B221" s="22" t="s">
        <v>208</v>
      </c>
      <c r="C221" s="25">
        <v>31.836666699999999</v>
      </c>
      <c r="D221" s="15">
        <v>9</v>
      </c>
      <c r="E221" s="26">
        <v>0.10893332868</v>
      </c>
      <c r="F221" s="25">
        <v>30.937916699999999</v>
      </c>
      <c r="G221" s="8">
        <v>20</v>
      </c>
      <c r="H221" s="26">
        <v>0.14974029529999999</v>
      </c>
    </row>
    <row r="222" spans="1:8" x14ac:dyDescent="0.2">
      <c r="A222" s="14" t="s">
        <v>184</v>
      </c>
      <c r="B222" s="22" t="s">
        <v>209</v>
      </c>
      <c r="C222" s="25">
        <v>46.301250000000003</v>
      </c>
      <c r="D222" s="15">
        <v>8</v>
      </c>
      <c r="E222" s="26">
        <v>9.8795028930000001E-2</v>
      </c>
      <c r="F222" s="25">
        <v>38.830434799999999</v>
      </c>
      <c r="G222" s="8">
        <v>18</v>
      </c>
      <c r="H222" s="26">
        <v>0.14642555891</v>
      </c>
    </row>
    <row r="223" spans="1:8" x14ac:dyDescent="0.2">
      <c r="A223" s="14" t="s">
        <v>184</v>
      </c>
      <c r="B223" s="22" t="s">
        <v>210</v>
      </c>
      <c r="C223" s="25">
        <v>57.018421099999998</v>
      </c>
      <c r="D223" s="15">
        <v>7</v>
      </c>
      <c r="E223" s="26">
        <v>0.11478192643</v>
      </c>
      <c r="F223" s="25">
        <v>62.205714299999997</v>
      </c>
      <c r="G223" s="8">
        <v>14</v>
      </c>
      <c r="H223" s="26">
        <v>0.12296494843</v>
      </c>
    </row>
    <row r="224" spans="1:8" x14ac:dyDescent="0.2">
      <c r="A224" s="14" t="s">
        <v>184</v>
      </c>
      <c r="B224" s="22" t="s">
        <v>211</v>
      </c>
      <c r="C224" s="25">
        <v>205.49489800000001</v>
      </c>
      <c r="D224" s="15">
        <v>16</v>
      </c>
      <c r="E224" s="26">
        <v>8.7847257740000004E-2</v>
      </c>
      <c r="F224" s="25">
        <v>164.5663514</v>
      </c>
      <c r="G224" s="8">
        <v>41</v>
      </c>
      <c r="H224" s="26">
        <v>8.7138187089999999E-2</v>
      </c>
    </row>
    <row r="225" spans="1:8" x14ac:dyDescent="0.2">
      <c r="A225" s="14" t="s">
        <v>184</v>
      </c>
      <c r="B225" s="22" t="s">
        <v>212</v>
      </c>
      <c r="C225" s="25">
        <v>88.773750000000007</v>
      </c>
      <c r="D225" s="15">
        <v>8</v>
      </c>
      <c r="E225" s="26">
        <v>8.7977395720000004E-2</v>
      </c>
      <c r="F225" s="25">
        <v>54.352608699999998</v>
      </c>
      <c r="G225" s="8">
        <v>20</v>
      </c>
      <c r="H225" s="26">
        <v>0.12140264990000001</v>
      </c>
    </row>
    <row r="226" spans="1:8" x14ac:dyDescent="0.2">
      <c r="A226" s="14" t="s">
        <v>184</v>
      </c>
      <c r="B226" s="22" t="s">
        <v>213</v>
      </c>
      <c r="C226" s="25">
        <v>249.8</v>
      </c>
      <c r="D226" s="15">
        <v>1</v>
      </c>
      <c r="E226" s="26">
        <v>8.0499065920000001E-2</v>
      </c>
      <c r="F226" s="25">
        <v>249.8</v>
      </c>
      <c r="G226" s="8">
        <v>1</v>
      </c>
      <c r="H226" s="26">
        <v>8.0499065920000001E-2</v>
      </c>
    </row>
    <row r="227" spans="1:8" x14ac:dyDescent="0.2">
      <c r="A227" s="14" t="s">
        <v>184</v>
      </c>
      <c r="B227" s="22" t="s">
        <v>214</v>
      </c>
      <c r="C227" s="25">
        <v>27.12</v>
      </c>
      <c r="D227" s="15">
        <v>1</v>
      </c>
      <c r="E227" s="26">
        <v>0.73746312684000004</v>
      </c>
      <c r="F227" s="25">
        <v>35.135814000000003</v>
      </c>
      <c r="G227" s="8">
        <v>16</v>
      </c>
      <c r="H227" s="26">
        <v>0.21645508459000001</v>
      </c>
    </row>
    <row r="228" spans="1:8" x14ac:dyDescent="0.2">
      <c r="A228" s="14" t="s">
        <v>184</v>
      </c>
      <c r="B228" s="22" t="s">
        <v>215</v>
      </c>
      <c r="C228" s="25">
        <v>32.4332432</v>
      </c>
      <c r="D228" s="15">
        <v>12</v>
      </c>
      <c r="E228" s="26">
        <v>0.1058065215</v>
      </c>
      <c r="F228" s="25">
        <v>31.770377400000001</v>
      </c>
      <c r="G228" s="8">
        <v>16</v>
      </c>
      <c r="H228" s="26">
        <v>9.9270710230000003E-2</v>
      </c>
    </row>
    <row r="229" spans="1:8" x14ac:dyDescent="0.2">
      <c r="A229" s="14" t="s">
        <v>184</v>
      </c>
      <c r="B229" s="22" t="s">
        <v>216</v>
      </c>
      <c r="C229" s="25">
        <v>115.6483333</v>
      </c>
      <c r="D229" s="15">
        <v>17</v>
      </c>
      <c r="E229" s="26">
        <v>0.14835412593</v>
      </c>
      <c r="F229" s="25">
        <v>99.771627899999999</v>
      </c>
      <c r="G229" s="8">
        <v>34</v>
      </c>
      <c r="H229" s="26">
        <v>0.16181574355</v>
      </c>
    </row>
    <row r="230" spans="1:8" x14ac:dyDescent="0.2">
      <c r="A230" s="14" t="s">
        <v>184</v>
      </c>
      <c r="B230" s="22" t="s">
        <v>217</v>
      </c>
      <c r="C230" s="25">
        <v>34.4</v>
      </c>
      <c r="D230" s="15">
        <v>5</v>
      </c>
      <c r="E230" s="26">
        <v>0.10657751938</v>
      </c>
      <c r="F230" s="25">
        <v>35.617272700000001</v>
      </c>
      <c r="G230" s="8">
        <v>17</v>
      </c>
      <c r="H230" s="26">
        <v>0.15506861668999999</v>
      </c>
    </row>
    <row r="231" spans="1:8" x14ac:dyDescent="0.2">
      <c r="A231" s="14" t="s">
        <v>184</v>
      </c>
      <c r="B231" s="22" t="s">
        <v>218</v>
      </c>
      <c r="C231" s="27"/>
      <c r="D231" s="13"/>
      <c r="E231" s="28"/>
      <c r="F231" s="25">
        <v>202.84</v>
      </c>
      <c r="G231" s="8">
        <v>3</v>
      </c>
      <c r="H231" s="26">
        <v>7.1413922300000002E-2</v>
      </c>
    </row>
    <row r="232" spans="1:8" x14ac:dyDescent="0.2">
      <c r="A232" s="14" t="s">
        <v>184</v>
      </c>
      <c r="B232" s="22" t="s">
        <v>219</v>
      </c>
      <c r="C232" s="25">
        <v>145.07124999999999</v>
      </c>
      <c r="D232" s="15">
        <v>8</v>
      </c>
      <c r="E232" s="26">
        <v>8.3510114280000006E-2</v>
      </c>
      <c r="F232" s="25">
        <v>77.104799999999997</v>
      </c>
      <c r="G232" s="8">
        <v>19</v>
      </c>
      <c r="H232" s="26">
        <v>0.10823243170000001</v>
      </c>
    </row>
    <row r="233" spans="1:8" x14ac:dyDescent="0.2">
      <c r="A233" s="14" t="s">
        <v>184</v>
      </c>
      <c r="B233" s="22" t="s">
        <v>220</v>
      </c>
      <c r="C233" s="25">
        <v>44.69</v>
      </c>
      <c r="D233" s="15">
        <v>4</v>
      </c>
      <c r="E233" s="26">
        <v>9.9617736999999998E-2</v>
      </c>
      <c r="F233" s="25">
        <v>35.504285699999997</v>
      </c>
      <c r="G233" s="8">
        <v>5</v>
      </c>
      <c r="H233" s="26">
        <v>0.13073539075999999</v>
      </c>
    </row>
    <row r="234" spans="1:8" x14ac:dyDescent="0.2">
      <c r="A234" s="14" t="s">
        <v>184</v>
      </c>
      <c r="B234" s="22" t="s">
        <v>221</v>
      </c>
      <c r="C234" s="25">
        <v>164.7161538</v>
      </c>
      <c r="D234" s="15">
        <v>13</v>
      </c>
      <c r="E234" s="26">
        <v>8.2650028880000004E-2</v>
      </c>
      <c r="F234" s="25">
        <v>168.4645946</v>
      </c>
      <c r="G234" s="8">
        <v>31</v>
      </c>
      <c r="H234" s="26">
        <v>7.7496220500000004E-2</v>
      </c>
    </row>
    <row r="235" spans="1:8" x14ac:dyDescent="0.2">
      <c r="A235" s="14" t="s">
        <v>184</v>
      </c>
      <c r="B235" s="22" t="s">
        <v>222</v>
      </c>
      <c r="C235" s="25">
        <v>95.4936364</v>
      </c>
      <c r="D235" s="15">
        <v>8</v>
      </c>
      <c r="E235" s="26">
        <v>9.8145045360000002E-2</v>
      </c>
      <c r="F235" s="25">
        <v>81.86</v>
      </c>
      <c r="G235" s="8">
        <v>21</v>
      </c>
      <c r="H235" s="26">
        <v>9.3516980210000003E-2</v>
      </c>
    </row>
    <row r="236" spans="1:8" x14ac:dyDescent="0.2">
      <c r="A236" s="14" t="s">
        <v>184</v>
      </c>
      <c r="B236" s="22" t="s">
        <v>223</v>
      </c>
      <c r="C236" s="25">
        <v>183.5</v>
      </c>
      <c r="D236" s="15">
        <v>1</v>
      </c>
      <c r="E236" s="26">
        <v>8.2010899179999999E-2</v>
      </c>
      <c r="F236" s="25">
        <v>214.42857140000001</v>
      </c>
      <c r="G236" s="8">
        <v>5</v>
      </c>
      <c r="H236" s="26">
        <v>7.0092826999999996E-2</v>
      </c>
    </row>
    <row r="237" spans="1:8" x14ac:dyDescent="0.2">
      <c r="A237" s="14" t="s">
        <v>184</v>
      </c>
      <c r="B237" s="22" t="s">
        <v>224</v>
      </c>
      <c r="C237" s="27"/>
      <c r="D237" s="13"/>
      <c r="E237" s="28"/>
      <c r="F237" s="25">
        <v>34.637333300000002</v>
      </c>
      <c r="G237" s="8">
        <v>11</v>
      </c>
      <c r="H237" s="26">
        <v>0.14841468422000001</v>
      </c>
    </row>
    <row r="238" spans="1:8" x14ac:dyDescent="0.2">
      <c r="A238" s="14" t="s">
        <v>184</v>
      </c>
      <c r="B238" s="22" t="s">
        <v>225</v>
      </c>
      <c r="C238" s="27"/>
      <c r="D238" s="13"/>
      <c r="E238" s="28"/>
      <c r="F238" s="25">
        <v>38.386000000000003</v>
      </c>
      <c r="G238" s="8">
        <v>11</v>
      </c>
      <c r="H238" s="26">
        <v>0.17332476539</v>
      </c>
    </row>
    <row r="239" spans="1:8" x14ac:dyDescent="0.2">
      <c r="A239" s="14" t="s">
        <v>184</v>
      </c>
      <c r="B239" s="22" t="s">
        <v>226</v>
      </c>
      <c r="C239" s="25">
        <v>51.508076899999999</v>
      </c>
      <c r="D239" s="15">
        <v>16</v>
      </c>
      <c r="E239" s="26">
        <v>0.11103635726</v>
      </c>
      <c r="F239" s="25">
        <v>49.669391900000001</v>
      </c>
      <c r="G239" s="8">
        <v>41</v>
      </c>
      <c r="H239" s="26">
        <v>0.12703157500000001</v>
      </c>
    </row>
    <row r="240" spans="1:8" x14ac:dyDescent="0.2">
      <c r="A240" s="14" t="s">
        <v>184</v>
      </c>
      <c r="B240" s="22" t="s">
        <v>227</v>
      </c>
      <c r="C240" s="27"/>
      <c r="D240" s="13"/>
      <c r="E240" s="28"/>
      <c r="F240" s="25">
        <v>113.4</v>
      </c>
      <c r="G240" s="8">
        <v>2</v>
      </c>
      <c r="H240" s="26">
        <v>8.5509994120000002E-2</v>
      </c>
    </row>
    <row r="241" spans="1:8" x14ac:dyDescent="0.2">
      <c r="A241" s="14" t="s">
        <v>184</v>
      </c>
      <c r="B241" s="22" t="s">
        <v>228</v>
      </c>
      <c r="C241" s="25">
        <v>74.858750000000001</v>
      </c>
      <c r="D241" s="15">
        <v>8</v>
      </c>
      <c r="E241" s="26">
        <v>9.0226593420000001E-2</v>
      </c>
      <c r="F241" s="25">
        <v>63.751304300000001</v>
      </c>
      <c r="G241" s="8">
        <v>20</v>
      </c>
      <c r="H241" s="26">
        <v>0.11258445407999999</v>
      </c>
    </row>
    <row r="242" spans="1:8" x14ac:dyDescent="0.2">
      <c r="A242" s="14" t="s">
        <v>184</v>
      </c>
      <c r="B242" s="22" t="s">
        <v>229</v>
      </c>
      <c r="C242" s="25">
        <v>71.5485714</v>
      </c>
      <c r="D242" s="15">
        <v>6</v>
      </c>
      <c r="E242" s="26">
        <v>0.11033596891</v>
      </c>
      <c r="F242" s="25">
        <v>48.535925900000002</v>
      </c>
      <c r="G242" s="8">
        <v>21</v>
      </c>
      <c r="H242" s="26">
        <v>0.13384027613999999</v>
      </c>
    </row>
    <row r="243" spans="1:8" x14ac:dyDescent="0.2">
      <c r="A243" s="14" t="s">
        <v>184</v>
      </c>
      <c r="B243" s="22" t="s">
        <v>230</v>
      </c>
      <c r="C243" s="25">
        <v>124.1725</v>
      </c>
      <c r="D243" s="15">
        <v>12</v>
      </c>
      <c r="E243" s="26">
        <v>8.471257502E-2</v>
      </c>
      <c r="F243" s="25">
        <v>113.0308824</v>
      </c>
      <c r="G243" s="8">
        <v>29</v>
      </c>
      <c r="H243" s="26">
        <v>9.2209486389999998E-2</v>
      </c>
    </row>
    <row r="244" spans="1:8" x14ac:dyDescent="0.2">
      <c r="A244" s="14" t="s">
        <v>184</v>
      </c>
      <c r="B244" s="22" t="s">
        <v>231</v>
      </c>
      <c r="C244" s="25">
        <v>139.35</v>
      </c>
      <c r="D244" s="15">
        <v>8</v>
      </c>
      <c r="E244" s="26">
        <v>8.3797093650000001E-2</v>
      </c>
      <c r="F244" s="25">
        <v>156.30526320000001</v>
      </c>
      <c r="G244" s="8">
        <v>17</v>
      </c>
      <c r="H244" s="26">
        <v>8.4800211010000001E-2</v>
      </c>
    </row>
    <row r="245" spans="1:8" x14ac:dyDescent="0.2">
      <c r="A245" s="14" t="s">
        <v>184</v>
      </c>
      <c r="B245" s="22" t="s">
        <v>232</v>
      </c>
      <c r="C245" s="25">
        <v>168.57285709999999</v>
      </c>
      <c r="D245" s="15">
        <v>7</v>
      </c>
      <c r="E245" s="26">
        <v>8.2510317710000003E-2</v>
      </c>
      <c r="F245" s="25">
        <v>173.45947369999999</v>
      </c>
      <c r="G245" s="8">
        <v>16</v>
      </c>
      <c r="H245" s="26">
        <v>7.7442731449999996E-2</v>
      </c>
    </row>
    <row r="246" spans="1:8" x14ac:dyDescent="0.2">
      <c r="A246" s="14" t="s">
        <v>184</v>
      </c>
      <c r="B246" s="22" t="s">
        <v>233</v>
      </c>
      <c r="C246" s="25">
        <v>56.142222199999999</v>
      </c>
      <c r="D246" s="15">
        <v>9</v>
      </c>
      <c r="E246" s="26">
        <v>9.4866212790000001E-2</v>
      </c>
      <c r="F246" s="25">
        <v>54.032857100000001</v>
      </c>
      <c r="G246" s="8">
        <v>18</v>
      </c>
      <c r="H246" s="26">
        <v>0.12124956302000001</v>
      </c>
    </row>
    <row r="247" spans="1:8" x14ac:dyDescent="0.2">
      <c r="A247" s="14" t="s">
        <v>184</v>
      </c>
      <c r="B247" s="22" t="s">
        <v>234</v>
      </c>
      <c r="C247" s="25">
        <v>91.444444399999995</v>
      </c>
      <c r="D247" s="15">
        <v>9</v>
      </c>
      <c r="E247" s="26">
        <v>8.7709194010000005E-2</v>
      </c>
      <c r="F247" s="25">
        <v>88.414230799999999</v>
      </c>
      <c r="G247" s="8">
        <v>22</v>
      </c>
      <c r="H247" s="26">
        <v>9.6413734299999998E-2</v>
      </c>
    </row>
    <row r="248" spans="1:8" x14ac:dyDescent="0.2">
      <c r="A248" s="14" t="s">
        <v>184</v>
      </c>
      <c r="B248" s="22" t="s">
        <v>235</v>
      </c>
      <c r="C248" s="25">
        <v>83.3919231</v>
      </c>
      <c r="D248" s="15">
        <v>24</v>
      </c>
      <c r="E248" s="26">
        <v>9.472601571E-2</v>
      </c>
      <c r="F248" s="25">
        <v>77.5</v>
      </c>
      <c r="G248" s="8">
        <v>68</v>
      </c>
      <c r="H248" s="26">
        <v>0.10301303598</v>
      </c>
    </row>
    <row r="249" spans="1:8" x14ac:dyDescent="0.2">
      <c r="A249" s="14" t="s">
        <v>184</v>
      </c>
      <c r="B249" s="22" t="s">
        <v>236</v>
      </c>
      <c r="C249" s="25">
        <v>163.16249999999999</v>
      </c>
      <c r="D249" s="15">
        <v>7</v>
      </c>
      <c r="E249" s="26">
        <v>8.2023800399999999E-2</v>
      </c>
      <c r="F249" s="25">
        <v>167.15</v>
      </c>
      <c r="G249" s="8">
        <v>19</v>
      </c>
      <c r="H249" s="26">
        <v>8.1569531690000002E-2</v>
      </c>
    </row>
    <row r="250" spans="1:8" x14ac:dyDescent="0.2">
      <c r="A250" s="14" t="s">
        <v>184</v>
      </c>
      <c r="B250" s="22" t="s">
        <v>237</v>
      </c>
      <c r="C250" s="27"/>
      <c r="D250" s="13"/>
      <c r="E250" s="28"/>
      <c r="F250" s="25">
        <v>28.37</v>
      </c>
      <c r="G250" s="8">
        <v>1</v>
      </c>
      <c r="H250" s="26">
        <v>0.11299494771</v>
      </c>
    </row>
    <row r="251" spans="1:8" x14ac:dyDescent="0.2">
      <c r="A251" s="14" t="s">
        <v>184</v>
      </c>
      <c r="B251" s="22" t="s">
        <v>238</v>
      </c>
      <c r="C251" s="25">
        <v>42.385624999999997</v>
      </c>
      <c r="D251" s="15">
        <v>15</v>
      </c>
      <c r="E251" s="26">
        <v>0.11594241365000001</v>
      </c>
      <c r="F251" s="25">
        <v>36.872999999999998</v>
      </c>
      <c r="G251" s="8">
        <v>41</v>
      </c>
      <c r="H251" s="26">
        <v>0.15297028538999999</v>
      </c>
    </row>
    <row r="252" spans="1:8" x14ac:dyDescent="0.2">
      <c r="A252" s="14" t="s">
        <v>184</v>
      </c>
      <c r="B252" s="22" t="s">
        <v>239</v>
      </c>
      <c r="C252" s="25">
        <v>12.38</v>
      </c>
      <c r="D252" s="15">
        <v>1</v>
      </c>
      <c r="E252" s="26">
        <v>0.49404954226999998</v>
      </c>
      <c r="F252" s="25">
        <v>19.064444399999999</v>
      </c>
      <c r="G252" s="8">
        <v>18</v>
      </c>
      <c r="H252" s="26">
        <v>0.26704096567000002</v>
      </c>
    </row>
    <row r="253" spans="1:8" x14ac:dyDescent="0.2">
      <c r="A253" s="14" t="s">
        <v>184</v>
      </c>
      <c r="B253" s="22" t="s">
        <v>240</v>
      </c>
      <c r="C253" s="25">
        <v>75.364444399999996</v>
      </c>
      <c r="D253" s="15">
        <v>9</v>
      </c>
      <c r="E253" s="26">
        <v>9.0133376579999994E-2</v>
      </c>
      <c r="F253" s="25">
        <v>64.076923100000002</v>
      </c>
      <c r="G253" s="8">
        <v>22</v>
      </c>
      <c r="H253" s="26">
        <v>0.11004661865</v>
      </c>
    </row>
    <row r="254" spans="1:8" x14ac:dyDescent="0.2">
      <c r="A254" s="14" t="s">
        <v>184</v>
      </c>
      <c r="B254" s="22" t="s">
        <v>241</v>
      </c>
      <c r="C254" s="25">
        <v>73.281111100000004</v>
      </c>
      <c r="D254" s="15">
        <v>17</v>
      </c>
      <c r="E254" s="26">
        <v>9.6928368180000002E-2</v>
      </c>
      <c r="F254" s="25">
        <v>77.125961500000003</v>
      </c>
      <c r="G254" s="8">
        <v>43</v>
      </c>
      <c r="H254" s="26">
        <v>0.10461142071</v>
      </c>
    </row>
    <row r="255" spans="1:8" x14ac:dyDescent="0.2">
      <c r="A255" s="14" t="s">
        <v>184</v>
      </c>
      <c r="B255" s="22" t="s">
        <v>242</v>
      </c>
      <c r="C255" s="25">
        <v>18</v>
      </c>
      <c r="D255" s="15">
        <v>1</v>
      </c>
      <c r="E255" s="26">
        <v>0</v>
      </c>
      <c r="F255" s="25">
        <v>18</v>
      </c>
      <c r="G255" s="8">
        <v>1</v>
      </c>
      <c r="H255" s="26">
        <v>0</v>
      </c>
    </row>
    <row r="256" spans="1:8" x14ac:dyDescent="0.2">
      <c r="A256" s="14" t="s">
        <v>184</v>
      </c>
      <c r="B256" s="22" t="s">
        <v>243</v>
      </c>
      <c r="C256" s="25">
        <v>932.72500000000002</v>
      </c>
      <c r="D256" s="15">
        <v>8</v>
      </c>
      <c r="E256" s="26">
        <v>7.7451285209999998E-2</v>
      </c>
      <c r="F256" s="25">
        <v>808.00750000000005</v>
      </c>
      <c r="G256" s="8">
        <v>18</v>
      </c>
      <c r="H256" s="26">
        <v>7.3137708090000003E-2</v>
      </c>
    </row>
    <row r="257" spans="1:8" x14ac:dyDescent="0.2">
      <c r="A257" s="14" t="s">
        <v>184</v>
      </c>
      <c r="B257" s="22" t="s">
        <v>244</v>
      </c>
      <c r="C257" s="25">
        <v>60.963000000000001</v>
      </c>
      <c r="D257" s="15">
        <v>8</v>
      </c>
      <c r="E257" s="26">
        <v>0.10911919252000001</v>
      </c>
      <c r="F257" s="25">
        <v>59.005833299999999</v>
      </c>
      <c r="G257" s="8">
        <v>18</v>
      </c>
      <c r="H257" s="26">
        <v>0.13162022587</v>
      </c>
    </row>
    <row r="258" spans="1:8" x14ac:dyDescent="0.2">
      <c r="A258" s="14" t="s">
        <v>184</v>
      </c>
      <c r="B258" s="22" t="s">
        <v>245</v>
      </c>
      <c r="C258" s="27"/>
      <c r="D258" s="13"/>
      <c r="E258" s="28"/>
      <c r="F258" s="25">
        <v>171.34</v>
      </c>
      <c r="G258" s="8">
        <v>1</v>
      </c>
      <c r="H258" s="26">
        <v>8.2407299330000003E-2</v>
      </c>
    </row>
    <row r="259" spans="1:8" x14ac:dyDescent="0.2">
      <c r="A259" s="14" t="s">
        <v>184</v>
      </c>
      <c r="B259" s="22" t="s">
        <v>246</v>
      </c>
      <c r="C259" s="25">
        <v>152.63736840000001</v>
      </c>
      <c r="D259" s="15">
        <v>18</v>
      </c>
      <c r="E259" s="26">
        <v>8.351269435E-2</v>
      </c>
      <c r="F259" s="25">
        <v>140.90568630000001</v>
      </c>
      <c r="G259" s="8">
        <v>43</v>
      </c>
      <c r="H259" s="26">
        <v>8.5606837559999996E-2</v>
      </c>
    </row>
    <row r="260" spans="1:8" x14ac:dyDescent="0.2">
      <c r="A260" s="14" t="s">
        <v>184</v>
      </c>
      <c r="B260" s="22" t="s">
        <v>247</v>
      </c>
      <c r="C260" s="25">
        <v>158.8077778</v>
      </c>
      <c r="D260" s="15">
        <v>9</v>
      </c>
      <c r="E260" s="26">
        <v>8.2884969249999996E-2</v>
      </c>
      <c r="F260" s="25">
        <v>136.6503846</v>
      </c>
      <c r="G260" s="8">
        <v>22</v>
      </c>
      <c r="H260" s="26">
        <v>8.6820943959999994E-2</v>
      </c>
    </row>
    <row r="261" spans="1:8" x14ac:dyDescent="0.2">
      <c r="A261" s="14" t="s">
        <v>184</v>
      </c>
      <c r="B261" s="22" t="s">
        <v>248</v>
      </c>
      <c r="C261" s="25">
        <v>119.22333329999999</v>
      </c>
      <c r="D261" s="15">
        <v>9</v>
      </c>
      <c r="E261" s="26">
        <v>8.5055125300000006E-2</v>
      </c>
      <c r="F261" s="25">
        <v>98.705714299999997</v>
      </c>
      <c r="G261" s="8">
        <v>24</v>
      </c>
      <c r="H261" s="26">
        <v>9.2879265929999996E-2</v>
      </c>
    </row>
    <row r="262" spans="1:8" x14ac:dyDescent="0.2">
      <c r="A262" s="14" t="s">
        <v>184</v>
      </c>
      <c r="B262" s="22" t="s">
        <v>249</v>
      </c>
      <c r="C262" s="25">
        <v>92.1088235</v>
      </c>
      <c r="D262" s="15">
        <v>16</v>
      </c>
      <c r="E262" s="26">
        <v>9.1818288260000006E-2</v>
      </c>
      <c r="F262" s="25">
        <v>83.986956500000005</v>
      </c>
      <c r="G262" s="8">
        <v>38</v>
      </c>
      <c r="H262" s="26">
        <v>0.10219866783999999</v>
      </c>
    </row>
    <row r="263" spans="1:8" x14ac:dyDescent="0.2">
      <c r="A263" s="14" t="s">
        <v>184</v>
      </c>
      <c r="B263" s="22" t="s">
        <v>250</v>
      </c>
      <c r="C263" s="25">
        <v>261.12534879999998</v>
      </c>
      <c r="D263" s="15">
        <v>14</v>
      </c>
      <c r="E263" s="26">
        <v>8.6878350320000006E-2</v>
      </c>
      <c r="F263" s="25">
        <v>253.05301890000001</v>
      </c>
      <c r="G263" s="8">
        <v>28</v>
      </c>
      <c r="H263" s="26">
        <v>7.443074425E-2</v>
      </c>
    </row>
    <row r="264" spans="1:8" x14ac:dyDescent="0.2">
      <c r="A264" s="14" t="s">
        <v>184</v>
      </c>
      <c r="B264" s="22" t="s">
        <v>251</v>
      </c>
      <c r="C264" s="25">
        <v>66.265000000000001</v>
      </c>
      <c r="D264" s="15">
        <v>17</v>
      </c>
      <c r="E264" s="26">
        <v>9.8440325179999996E-2</v>
      </c>
      <c r="F264" s="25">
        <v>57.281363599999999</v>
      </c>
      <c r="G264" s="8">
        <v>36</v>
      </c>
      <c r="H264" s="26">
        <v>0.12171894714000001</v>
      </c>
    </row>
    <row r="265" spans="1:8" x14ac:dyDescent="0.2">
      <c r="A265" s="14" t="s">
        <v>184</v>
      </c>
      <c r="B265" s="22" t="s">
        <v>252</v>
      </c>
      <c r="C265" s="25">
        <v>45.9755556</v>
      </c>
      <c r="D265" s="15">
        <v>9</v>
      </c>
      <c r="E265" s="26">
        <v>9.8952744610000004E-2</v>
      </c>
      <c r="F265" s="25">
        <v>40.962222199999999</v>
      </c>
      <c r="G265" s="8">
        <v>15</v>
      </c>
      <c r="H265" s="26">
        <v>0.14201884302000001</v>
      </c>
    </row>
    <row r="266" spans="1:8" x14ac:dyDescent="0.2">
      <c r="A266" s="14" t="s">
        <v>184</v>
      </c>
      <c r="B266" s="22" t="s">
        <v>253</v>
      </c>
      <c r="C266" s="25">
        <v>677.53445450000004</v>
      </c>
      <c r="D266" s="15">
        <v>36</v>
      </c>
      <c r="E266" s="26">
        <v>7.680325952E-2</v>
      </c>
      <c r="F266" s="25">
        <v>685.34725100000003</v>
      </c>
      <c r="G266" s="8">
        <v>67</v>
      </c>
      <c r="H266" s="26">
        <v>6.6384575099999996E-2</v>
      </c>
    </row>
    <row r="267" spans="1:8" x14ac:dyDescent="0.2">
      <c r="A267" s="14" t="s">
        <v>184</v>
      </c>
      <c r="B267" s="22" t="s">
        <v>254</v>
      </c>
      <c r="C267" s="25">
        <v>15.26</v>
      </c>
      <c r="D267" s="15">
        <v>1</v>
      </c>
      <c r="E267" s="26">
        <v>0</v>
      </c>
      <c r="F267" s="25">
        <v>53.33</v>
      </c>
      <c r="G267" s="8">
        <v>2</v>
      </c>
      <c r="H267" s="26">
        <v>0</v>
      </c>
    </row>
    <row r="268" spans="1:8" x14ac:dyDescent="0.2">
      <c r="A268" s="14" t="s">
        <v>184</v>
      </c>
      <c r="B268" s="22" t="s">
        <v>255</v>
      </c>
      <c r="C268" s="25">
        <v>130.24</v>
      </c>
      <c r="D268" s="15">
        <v>2</v>
      </c>
      <c r="E268" s="26">
        <v>0</v>
      </c>
      <c r="F268" s="25">
        <v>130.24</v>
      </c>
      <c r="G268" s="8">
        <v>2</v>
      </c>
      <c r="H268" s="26">
        <v>0</v>
      </c>
    </row>
    <row r="269" spans="1:8" x14ac:dyDescent="0.2">
      <c r="A269" s="14" t="s">
        <v>184</v>
      </c>
      <c r="B269" s="22" t="s">
        <v>256</v>
      </c>
      <c r="C269" s="25">
        <v>78.277500000000003</v>
      </c>
      <c r="D269" s="15">
        <v>8</v>
      </c>
      <c r="E269" s="26">
        <v>8.9619196659999997E-2</v>
      </c>
      <c r="F269" s="25">
        <v>70.799199999999999</v>
      </c>
      <c r="G269" s="8">
        <v>21</v>
      </c>
      <c r="H269" s="26">
        <v>0.1110688633</v>
      </c>
    </row>
    <row r="270" spans="1:8" x14ac:dyDescent="0.2">
      <c r="A270" s="14" t="s">
        <v>184</v>
      </c>
      <c r="B270" s="22" t="s">
        <v>257</v>
      </c>
      <c r="C270" s="25">
        <v>94.226666699999996</v>
      </c>
      <c r="D270" s="15">
        <v>9</v>
      </c>
      <c r="E270" s="26">
        <v>8.7374023240000001E-2</v>
      </c>
      <c r="F270" s="25">
        <v>115.3356522</v>
      </c>
      <c r="G270" s="8">
        <v>20</v>
      </c>
      <c r="H270" s="26">
        <v>8.6625677289999994E-2</v>
      </c>
    </row>
    <row r="271" spans="1:8" x14ac:dyDescent="0.2">
      <c r="A271" s="14" t="s">
        <v>184</v>
      </c>
      <c r="B271" s="22" t="s">
        <v>258</v>
      </c>
      <c r="C271" s="25">
        <v>87.320363599999993</v>
      </c>
      <c r="D271" s="15">
        <v>17</v>
      </c>
      <c r="E271" s="26">
        <v>9.1965427200000005E-2</v>
      </c>
      <c r="F271" s="25">
        <v>79.406329099999994</v>
      </c>
      <c r="G271" s="8">
        <v>21</v>
      </c>
      <c r="H271" s="26">
        <v>9.9239450990000005E-2</v>
      </c>
    </row>
    <row r="272" spans="1:8" x14ac:dyDescent="0.2">
      <c r="A272" s="14" t="s">
        <v>184</v>
      </c>
      <c r="B272" s="22" t="s">
        <v>259</v>
      </c>
      <c r="C272" s="25">
        <v>73.483636399999995</v>
      </c>
      <c r="D272" s="15">
        <v>17</v>
      </c>
      <c r="E272" s="26">
        <v>9.7265192E-2</v>
      </c>
      <c r="F272" s="25">
        <v>76.140821900000006</v>
      </c>
      <c r="G272" s="8">
        <v>20</v>
      </c>
      <c r="H272" s="26">
        <v>0.10441161654</v>
      </c>
    </row>
    <row r="273" spans="1:8" x14ac:dyDescent="0.2">
      <c r="A273" s="14" t="s">
        <v>184</v>
      </c>
      <c r="B273" s="22" t="s">
        <v>260</v>
      </c>
      <c r="C273" s="25">
        <v>188.7816176</v>
      </c>
      <c r="D273" s="15">
        <v>43</v>
      </c>
      <c r="E273" s="26">
        <v>8.3885325009999998E-2</v>
      </c>
      <c r="F273" s="25">
        <v>176.5312275</v>
      </c>
      <c r="G273" s="8">
        <v>93</v>
      </c>
      <c r="H273" s="26">
        <v>8.1842909850000006E-2</v>
      </c>
    </row>
    <row r="274" spans="1:8" x14ac:dyDescent="0.2">
      <c r="A274" s="14" t="s">
        <v>184</v>
      </c>
      <c r="B274" s="22" t="s">
        <v>261</v>
      </c>
      <c r="C274" s="25">
        <v>80.305714300000005</v>
      </c>
      <c r="D274" s="15">
        <v>7</v>
      </c>
      <c r="E274" s="26">
        <v>8.9280250470000003E-2</v>
      </c>
      <c r="F274" s="25">
        <v>60.834782599999997</v>
      </c>
      <c r="G274" s="8">
        <v>19</v>
      </c>
      <c r="H274" s="26">
        <v>0.12105369735</v>
      </c>
    </row>
    <row r="275" spans="1:8" x14ac:dyDescent="0.2">
      <c r="A275" s="14" t="s">
        <v>184</v>
      </c>
      <c r="B275" s="22" t="s">
        <v>262</v>
      </c>
      <c r="C275" s="25">
        <v>46.183888899999999</v>
      </c>
      <c r="D275" s="15">
        <v>18</v>
      </c>
      <c r="E275" s="26">
        <v>9.8854418530000002E-2</v>
      </c>
      <c r="F275" s="25">
        <v>49.986296299999999</v>
      </c>
      <c r="G275" s="8">
        <v>46</v>
      </c>
      <c r="H275" s="26">
        <v>0.11236104215999999</v>
      </c>
    </row>
    <row r="276" spans="1:8" x14ac:dyDescent="0.2">
      <c r="A276" s="14" t="s">
        <v>184</v>
      </c>
      <c r="B276" s="22" t="s">
        <v>263</v>
      </c>
      <c r="C276" s="25">
        <v>155.22666670000001</v>
      </c>
      <c r="D276" s="15">
        <v>9</v>
      </c>
      <c r="E276" s="26">
        <v>8.3034606499999997E-2</v>
      </c>
      <c r="F276" s="25">
        <v>102.3266667</v>
      </c>
      <c r="G276" s="8">
        <v>21</v>
      </c>
      <c r="H276" s="26">
        <v>9.5015961950000005E-2</v>
      </c>
    </row>
    <row r="277" spans="1:8" x14ac:dyDescent="0.2">
      <c r="A277" s="14" t="s">
        <v>184</v>
      </c>
      <c r="B277" s="22" t="s">
        <v>173</v>
      </c>
      <c r="C277" s="25">
        <v>85.3</v>
      </c>
      <c r="D277" s="15">
        <v>1</v>
      </c>
      <c r="E277" s="26">
        <v>8.8522860489999994E-2</v>
      </c>
      <c r="F277" s="25">
        <v>85.3</v>
      </c>
      <c r="G277" s="8">
        <v>1</v>
      </c>
      <c r="H277" s="26">
        <v>8.8522860489999994E-2</v>
      </c>
    </row>
    <row r="278" spans="1:8" x14ac:dyDescent="0.2">
      <c r="A278" s="14" t="s">
        <v>184</v>
      </c>
      <c r="B278" s="22" t="s">
        <v>264</v>
      </c>
      <c r="C278" s="25">
        <v>236.72</v>
      </c>
      <c r="D278" s="15">
        <v>1</v>
      </c>
      <c r="E278" s="26">
        <v>8.0736735379999994E-2</v>
      </c>
      <c r="F278" s="25">
        <v>236.72</v>
      </c>
      <c r="G278" s="8">
        <v>1</v>
      </c>
      <c r="H278" s="26">
        <v>8.0736735379999994E-2</v>
      </c>
    </row>
    <row r="279" spans="1:8" x14ac:dyDescent="0.2">
      <c r="A279" s="14" t="s">
        <v>184</v>
      </c>
      <c r="B279" s="22" t="s">
        <v>265</v>
      </c>
      <c r="C279" s="25">
        <v>276.89</v>
      </c>
      <c r="D279" s="15">
        <v>5</v>
      </c>
      <c r="E279" s="26">
        <v>8.5248515790000007E-2</v>
      </c>
      <c r="F279" s="25">
        <v>305.2667568</v>
      </c>
      <c r="G279" s="8">
        <v>11</v>
      </c>
      <c r="H279" s="26">
        <v>7.4624143530000006E-2</v>
      </c>
    </row>
    <row r="280" spans="1:8" x14ac:dyDescent="0.2">
      <c r="A280" s="14" t="s">
        <v>184</v>
      </c>
      <c r="B280" s="22" t="s">
        <v>266</v>
      </c>
      <c r="C280" s="25">
        <v>1142.3251723999999</v>
      </c>
      <c r="D280" s="15">
        <v>20</v>
      </c>
      <c r="E280" s="26">
        <v>8.4441594169999995E-2</v>
      </c>
      <c r="F280" s="25">
        <v>931.33970590000001</v>
      </c>
      <c r="G280" s="8">
        <v>40</v>
      </c>
      <c r="H280" s="26">
        <v>7.5318319120000005E-2</v>
      </c>
    </row>
    <row r="281" spans="1:8" x14ac:dyDescent="0.2">
      <c r="A281" s="14" t="s">
        <v>184</v>
      </c>
      <c r="B281" s="22" t="s">
        <v>267</v>
      </c>
      <c r="C281" s="25">
        <v>152.30000000000001</v>
      </c>
      <c r="D281" s="15">
        <v>1</v>
      </c>
      <c r="E281" s="26">
        <v>0.13554169401999999</v>
      </c>
      <c r="F281" s="25">
        <v>229.8</v>
      </c>
      <c r="G281" s="8">
        <v>3</v>
      </c>
      <c r="H281" s="26">
        <v>0.11636858138</v>
      </c>
    </row>
    <row r="282" spans="1:8" x14ac:dyDescent="0.2">
      <c r="A282" s="14" t="s">
        <v>184</v>
      </c>
      <c r="B282" s="22" t="s">
        <v>268</v>
      </c>
      <c r="C282" s="25">
        <v>366.153211</v>
      </c>
      <c r="D282" s="15">
        <v>35</v>
      </c>
      <c r="E282" s="26">
        <v>7.7430137780000005E-2</v>
      </c>
      <c r="F282" s="25">
        <v>398.5065798</v>
      </c>
      <c r="G282" s="8">
        <v>86</v>
      </c>
      <c r="H282" s="26">
        <v>7.5068014520000004E-2</v>
      </c>
    </row>
    <row r="283" spans="1:8" x14ac:dyDescent="0.2">
      <c r="A283" s="14" t="s">
        <v>184</v>
      </c>
      <c r="B283" s="22" t="s">
        <v>269</v>
      </c>
      <c r="C283" s="25">
        <v>83.648947399999997</v>
      </c>
      <c r="D283" s="15">
        <v>7</v>
      </c>
      <c r="E283" s="26">
        <v>0.11001679953</v>
      </c>
      <c r="F283" s="25">
        <v>65.147049199999998</v>
      </c>
      <c r="G283" s="8">
        <v>17</v>
      </c>
      <c r="H283" s="26">
        <v>0.12490506974</v>
      </c>
    </row>
    <row r="284" spans="1:8" x14ac:dyDescent="0.2">
      <c r="A284" s="14" t="s">
        <v>184</v>
      </c>
      <c r="B284" s="22" t="s">
        <v>270</v>
      </c>
      <c r="C284" s="25">
        <v>68.757727299999999</v>
      </c>
      <c r="D284" s="15">
        <v>8</v>
      </c>
      <c r="E284" s="26">
        <v>0.10099294625000001</v>
      </c>
      <c r="F284" s="25">
        <v>51.292786900000003</v>
      </c>
      <c r="G284" s="8">
        <v>19</v>
      </c>
      <c r="H284" s="26">
        <v>0.1219773336</v>
      </c>
    </row>
    <row r="285" spans="1:8" x14ac:dyDescent="0.2">
      <c r="A285" s="14" t="s">
        <v>184</v>
      </c>
      <c r="B285" s="22" t="s">
        <v>271</v>
      </c>
      <c r="C285" s="25">
        <v>54.831111100000001</v>
      </c>
      <c r="D285" s="15">
        <v>9</v>
      </c>
      <c r="E285" s="26">
        <v>9.5291940229999997E-2</v>
      </c>
      <c r="F285" s="25">
        <v>61.48</v>
      </c>
      <c r="G285" s="8">
        <v>19</v>
      </c>
      <c r="H285" s="26">
        <v>0.10887305060999999</v>
      </c>
    </row>
    <row r="286" spans="1:8" x14ac:dyDescent="0.2">
      <c r="A286" s="14" t="s">
        <v>184</v>
      </c>
      <c r="B286" s="22" t="s">
        <v>272</v>
      </c>
      <c r="C286" s="25">
        <v>144.5733333</v>
      </c>
      <c r="D286" s="15">
        <v>9</v>
      </c>
      <c r="E286" s="26">
        <v>8.3532130299999993E-2</v>
      </c>
      <c r="F286" s="25">
        <v>135.47269230000001</v>
      </c>
      <c r="G286" s="8">
        <v>22</v>
      </c>
      <c r="H286" s="26">
        <v>9.1408430309999997E-2</v>
      </c>
    </row>
    <row r="287" spans="1:8" x14ac:dyDescent="0.2">
      <c r="A287" s="14" t="s">
        <v>184</v>
      </c>
      <c r="B287" s="22" t="s">
        <v>273</v>
      </c>
      <c r="C287" s="25">
        <v>45.186428599999999</v>
      </c>
      <c r="D287" s="15">
        <v>14</v>
      </c>
      <c r="E287" s="26">
        <v>9.9346095280000005E-2</v>
      </c>
      <c r="F287" s="25">
        <v>43.681904799999998</v>
      </c>
      <c r="G287" s="8">
        <v>34</v>
      </c>
      <c r="H287" s="26">
        <v>0.12921953807</v>
      </c>
    </row>
    <row r="288" spans="1:8" x14ac:dyDescent="0.2">
      <c r="A288" s="14" t="s">
        <v>184</v>
      </c>
      <c r="B288" s="22" t="s">
        <v>274</v>
      </c>
      <c r="C288" s="25">
        <v>441.61</v>
      </c>
      <c r="D288" s="15">
        <v>2</v>
      </c>
      <c r="E288" s="26">
        <v>7.869122831E-2</v>
      </c>
      <c r="F288" s="25">
        <v>420.14285710000001</v>
      </c>
      <c r="G288" s="8">
        <v>5</v>
      </c>
      <c r="H288" s="26">
        <v>6.38805395E-2</v>
      </c>
    </row>
    <row r="289" spans="1:8" x14ac:dyDescent="0.2">
      <c r="A289" s="14" t="s">
        <v>184</v>
      </c>
      <c r="B289" s="22" t="s">
        <v>275</v>
      </c>
      <c r="C289" s="25">
        <v>92.936666700000004</v>
      </c>
      <c r="D289" s="15">
        <v>9</v>
      </c>
      <c r="E289" s="26">
        <v>8.7523562439999994E-2</v>
      </c>
      <c r="F289" s="25">
        <v>74.457857099999998</v>
      </c>
      <c r="G289" s="8">
        <v>22</v>
      </c>
      <c r="H289" s="26">
        <v>0.11457727765</v>
      </c>
    </row>
    <row r="290" spans="1:8" x14ac:dyDescent="0.2">
      <c r="A290" s="14" t="s">
        <v>184</v>
      </c>
      <c r="B290" s="22" t="s">
        <v>276</v>
      </c>
      <c r="C290" s="25">
        <v>283.54846149999997</v>
      </c>
      <c r="D290" s="15">
        <v>37</v>
      </c>
      <c r="E290" s="26">
        <v>7.7882856370000003E-2</v>
      </c>
      <c r="F290" s="25">
        <v>255.59126319999999</v>
      </c>
      <c r="G290" s="8">
        <v>78</v>
      </c>
      <c r="H290" s="26">
        <v>7.4652402120000003E-2</v>
      </c>
    </row>
    <row r="291" spans="1:8" x14ac:dyDescent="0.2">
      <c r="A291" s="14" t="s">
        <v>184</v>
      </c>
      <c r="B291" s="22" t="s">
        <v>277</v>
      </c>
      <c r="C291" s="25">
        <v>261.3690909</v>
      </c>
      <c r="D291" s="15">
        <v>10</v>
      </c>
      <c r="E291" s="26">
        <v>8.0315889060000006E-2</v>
      </c>
      <c r="F291" s="25">
        <v>305.82153849999997</v>
      </c>
      <c r="G291" s="8">
        <v>21</v>
      </c>
      <c r="H291" s="26">
        <v>7.4378596869999994E-2</v>
      </c>
    </row>
    <row r="292" spans="1:8" x14ac:dyDescent="0.2">
      <c r="A292" s="14" t="s">
        <v>184</v>
      </c>
      <c r="B292" s="22" t="s">
        <v>278</v>
      </c>
      <c r="C292" s="25">
        <v>203</v>
      </c>
      <c r="D292" s="15">
        <v>1</v>
      </c>
      <c r="E292" s="26">
        <v>0</v>
      </c>
      <c r="F292" s="25">
        <v>203</v>
      </c>
      <c r="G292" s="8">
        <v>1</v>
      </c>
      <c r="H292" s="26">
        <v>0</v>
      </c>
    </row>
    <row r="293" spans="1:8" x14ac:dyDescent="0.2">
      <c r="A293" s="14" t="s">
        <v>184</v>
      </c>
      <c r="B293" s="22" t="s">
        <v>279</v>
      </c>
      <c r="C293" s="27"/>
      <c r="D293" s="13"/>
      <c r="E293" s="28"/>
      <c r="F293" s="25">
        <v>30.91</v>
      </c>
      <c r="G293" s="8">
        <v>1</v>
      </c>
      <c r="H293" s="26">
        <v>0.10995362881</v>
      </c>
    </row>
    <row r="294" spans="1:8" x14ac:dyDescent="0.2">
      <c r="A294" s="14" t="s">
        <v>280</v>
      </c>
      <c r="B294" s="22" t="s">
        <v>281</v>
      </c>
      <c r="C294" s="25">
        <v>125.80214290000001</v>
      </c>
      <c r="D294" s="15">
        <v>20</v>
      </c>
      <c r="E294" s="26">
        <v>0.11593446058</v>
      </c>
      <c r="F294" s="25">
        <v>101.8621831</v>
      </c>
      <c r="G294" s="8">
        <v>46</v>
      </c>
      <c r="H294" s="26">
        <v>0.12985240344999999</v>
      </c>
    </row>
    <row r="295" spans="1:8" x14ac:dyDescent="0.2">
      <c r="A295" s="14" t="s">
        <v>280</v>
      </c>
      <c r="B295" s="22" t="s">
        <v>282</v>
      </c>
      <c r="C295" s="25">
        <v>233.97575760000001</v>
      </c>
      <c r="D295" s="15">
        <v>12</v>
      </c>
      <c r="E295" s="26">
        <v>0.27515243744000001</v>
      </c>
      <c r="F295" s="25">
        <v>233.97575760000001</v>
      </c>
      <c r="G295" s="8">
        <v>12</v>
      </c>
      <c r="H295" s="26">
        <v>0.27515243744000001</v>
      </c>
    </row>
    <row r="296" spans="1:8" x14ac:dyDescent="0.2">
      <c r="A296" s="14" t="s">
        <v>280</v>
      </c>
      <c r="B296" s="22" t="s">
        <v>283</v>
      </c>
      <c r="C296" s="25">
        <v>167.92372549999999</v>
      </c>
      <c r="D296" s="15">
        <v>18</v>
      </c>
      <c r="E296" s="26">
        <v>0.21828246017</v>
      </c>
      <c r="F296" s="25">
        <v>161.25102190000001</v>
      </c>
      <c r="G296" s="8">
        <v>44</v>
      </c>
      <c r="H296" s="26">
        <v>0.22425343085999999</v>
      </c>
    </row>
    <row r="297" spans="1:8" x14ac:dyDescent="0.2">
      <c r="A297" s="14" t="s">
        <v>280</v>
      </c>
      <c r="B297" s="22" t="s">
        <v>284</v>
      </c>
      <c r="C297" s="25">
        <v>43.0296296</v>
      </c>
      <c r="D297" s="15">
        <v>10</v>
      </c>
      <c r="E297" s="26">
        <v>0.34543294886999998</v>
      </c>
      <c r="F297" s="25">
        <v>43.0296296</v>
      </c>
      <c r="G297" s="8">
        <v>10</v>
      </c>
      <c r="H297" s="26">
        <v>0.34543294886999998</v>
      </c>
    </row>
    <row r="298" spans="1:8" x14ac:dyDescent="0.2">
      <c r="A298" s="14" t="s">
        <v>280</v>
      </c>
      <c r="B298" s="22" t="s">
        <v>285</v>
      </c>
      <c r="C298" s="27"/>
      <c r="D298" s="13"/>
      <c r="E298" s="28"/>
      <c r="F298" s="25">
        <v>44.917586200000002</v>
      </c>
      <c r="G298" s="8">
        <v>9</v>
      </c>
      <c r="H298" s="26">
        <v>0.35830371330999999</v>
      </c>
    </row>
    <row r="299" spans="1:8" x14ac:dyDescent="0.2">
      <c r="A299" s="14" t="s">
        <v>280</v>
      </c>
      <c r="B299" s="22" t="s">
        <v>286</v>
      </c>
      <c r="C299" s="25">
        <v>56.980499999999999</v>
      </c>
      <c r="D299" s="15">
        <v>21</v>
      </c>
      <c r="E299" s="26">
        <v>0.29731019090999999</v>
      </c>
      <c r="F299" s="25">
        <v>65.623286699999994</v>
      </c>
      <c r="G299" s="8">
        <v>46</v>
      </c>
      <c r="H299" s="26">
        <v>0.27992877336999999</v>
      </c>
    </row>
    <row r="300" spans="1:8" x14ac:dyDescent="0.2">
      <c r="A300" s="14" t="s">
        <v>287</v>
      </c>
      <c r="B300" s="22" t="s">
        <v>288</v>
      </c>
      <c r="C300" s="25">
        <v>172.48374999999999</v>
      </c>
      <c r="D300" s="15">
        <v>39</v>
      </c>
      <c r="E300" s="26">
        <v>0.23508997224</v>
      </c>
      <c r="F300" s="25">
        <v>151.45051280000001</v>
      </c>
      <c r="G300" s="8">
        <v>76</v>
      </c>
      <c r="H300" s="26">
        <v>0.24042782021</v>
      </c>
    </row>
    <row r="301" spans="1:8" x14ac:dyDescent="0.2">
      <c r="A301" s="14" t="s">
        <v>287</v>
      </c>
      <c r="B301" s="22" t="s">
        <v>289</v>
      </c>
      <c r="C301" s="27"/>
      <c r="D301" s="13"/>
      <c r="E301" s="28"/>
      <c r="F301" s="25">
        <v>32.43</v>
      </c>
      <c r="G301" s="8">
        <v>1</v>
      </c>
      <c r="H301" s="26">
        <v>0.14609929078</v>
      </c>
    </row>
    <row r="302" spans="1:8" x14ac:dyDescent="0.2">
      <c r="A302" s="14" t="s">
        <v>290</v>
      </c>
      <c r="B302" s="22" t="s">
        <v>188</v>
      </c>
      <c r="C302" s="27"/>
      <c r="D302" s="13"/>
      <c r="E302" s="28"/>
      <c r="F302" s="25">
        <v>460.69333330000001</v>
      </c>
      <c r="G302" s="8">
        <v>6</v>
      </c>
      <c r="H302" s="26">
        <v>0.15394857750999999</v>
      </c>
    </row>
    <row r="303" spans="1:8" x14ac:dyDescent="0.2">
      <c r="A303" s="14" t="s">
        <v>290</v>
      </c>
      <c r="B303" s="22" t="s">
        <v>268</v>
      </c>
      <c r="C303" s="25">
        <v>655.92499999999995</v>
      </c>
      <c r="D303" s="15">
        <v>2</v>
      </c>
      <c r="E303" s="26">
        <v>7.2120288140000002E-2</v>
      </c>
      <c r="F303" s="25">
        <v>655.92499999999995</v>
      </c>
      <c r="G303" s="8">
        <v>2</v>
      </c>
      <c r="H303" s="26">
        <v>7.2120288140000002E-2</v>
      </c>
    </row>
    <row r="304" spans="1:8" x14ac:dyDescent="0.2">
      <c r="A304" s="14" t="s">
        <v>291</v>
      </c>
      <c r="B304" s="22" t="s">
        <v>292</v>
      </c>
      <c r="C304" s="25">
        <v>27.894666699999998</v>
      </c>
      <c r="D304" s="15">
        <v>10</v>
      </c>
      <c r="E304" s="26">
        <v>0.70687347640999998</v>
      </c>
      <c r="F304" s="25">
        <v>42.0129412</v>
      </c>
      <c r="G304" s="8">
        <v>12</v>
      </c>
      <c r="H304" s="26">
        <v>0.41411609867999999</v>
      </c>
    </row>
    <row r="305" spans="1:8" x14ac:dyDescent="0.2">
      <c r="A305" s="14" t="s">
        <v>291</v>
      </c>
      <c r="B305" s="22" t="s">
        <v>293</v>
      </c>
      <c r="C305" s="25">
        <v>81.228800000000007</v>
      </c>
      <c r="D305" s="15">
        <v>17</v>
      </c>
      <c r="E305" s="26">
        <v>0.24936968169000001</v>
      </c>
      <c r="F305" s="25">
        <v>76.007118599999998</v>
      </c>
      <c r="G305" s="8">
        <v>43</v>
      </c>
      <c r="H305" s="26">
        <v>0.22584860472000001</v>
      </c>
    </row>
    <row r="306" spans="1:8" x14ac:dyDescent="0.2">
      <c r="A306" s="14" t="s">
        <v>291</v>
      </c>
      <c r="B306" s="22" t="s">
        <v>294</v>
      </c>
      <c r="C306" s="25">
        <v>130.5907143</v>
      </c>
      <c r="D306" s="15">
        <v>9</v>
      </c>
      <c r="E306" s="26">
        <v>0.28941020746000001</v>
      </c>
      <c r="F306" s="25">
        <v>121.7055172</v>
      </c>
      <c r="G306" s="8">
        <v>20</v>
      </c>
      <c r="H306" s="26">
        <v>0.28955930936000002</v>
      </c>
    </row>
    <row r="307" spans="1:8" x14ac:dyDescent="0.2">
      <c r="A307" s="14" t="s">
        <v>291</v>
      </c>
      <c r="B307" s="22" t="s">
        <v>121</v>
      </c>
      <c r="C307" s="27"/>
      <c r="D307" s="13"/>
      <c r="E307" s="28"/>
      <c r="F307" s="25">
        <v>17.7854545</v>
      </c>
      <c r="G307" s="8">
        <v>9</v>
      </c>
      <c r="H307" s="26">
        <v>0.67887446330000001</v>
      </c>
    </row>
    <row r="308" spans="1:8" x14ac:dyDescent="0.2">
      <c r="A308" s="14" t="s">
        <v>291</v>
      </c>
      <c r="B308" s="22" t="s">
        <v>122</v>
      </c>
      <c r="C308" s="27"/>
      <c r="D308" s="13"/>
      <c r="E308" s="28"/>
      <c r="F308" s="25">
        <v>18.0227273</v>
      </c>
      <c r="G308" s="8">
        <v>8</v>
      </c>
      <c r="H308" s="26">
        <v>0.67376040353</v>
      </c>
    </row>
    <row r="309" spans="1:8" x14ac:dyDescent="0.2">
      <c r="A309" s="14" t="s">
        <v>291</v>
      </c>
      <c r="B309" s="22" t="s">
        <v>123</v>
      </c>
      <c r="C309" s="27"/>
      <c r="D309" s="13"/>
      <c r="E309" s="28"/>
      <c r="F309" s="25">
        <v>33.345714299999997</v>
      </c>
      <c r="G309" s="8">
        <v>13</v>
      </c>
      <c r="H309" s="26">
        <v>0.45731728215</v>
      </c>
    </row>
    <row r="310" spans="1:8" x14ac:dyDescent="0.2">
      <c r="A310" s="14" t="s">
        <v>291</v>
      </c>
      <c r="B310" s="22" t="s">
        <v>21</v>
      </c>
      <c r="C310" s="27"/>
      <c r="D310" s="13"/>
      <c r="E310" s="28"/>
      <c r="F310" s="25">
        <v>31.404285699999999</v>
      </c>
      <c r="G310" s="8">
        <v>6</v>
      </c>
      <c r="H310" s="26">
        <v>0.59089751171000005</v>
      </c>
    </row>
    <row r="311" spans="1:8" x14ac:dyDescent="0.2">
      <c r="A311" s="14" t="s">
        <v>291</v>
      </c>
      <c r="B311" s="22" t="s">
        <v>124</v>
      </c>
      <c r="C311" s="27"/>
      <c r="D311" s="13"/>
      <c r="E311" s="28"/>
      <c r="F311" s="25">
        <v>17.662500000000001</v>
      </c>
      <c r="G311" s="8">
        <v>9</v>
      </c>
      <c r="H311" s="26">
        <v>0.66011323425000001</v>
      </c>
    </row>
    <row r="312" spans="1:8" x14ac:dyDescent="0.2">
      <c r="A312" s="14" t="s">
        <v>291</v>
      </c>
      <c r="B312" s="22" t="s">
        <v>125</v>
      </c>
      <c r="C312" s="27"/>
      <c r="D312" s="13"/>
      <c r="E312" s="28"/>
      <c r="F312" s="25">
        <v>17.687999999999999</v>
      </c>
      <c r="G312" s="8">
        <v>4</v>
      </c>
      <c r="H312" s="26">
        <v>0.97852781547000001</v>
      </c>
    </row>
    <row r="313" spans="1:8" x14ac:dyDescent="0.2">
      <c r="A313" s="14" t="s">
        <v>291</v>
      </c>
      <c r="B313" s="22" t="s">
        <v>126</v>
      </c>
      <c r="C313" s="27"/>
      <c r="D313" s="13"/>
      <c r="E313" s="28"/>
      <c r="F313" s="25">
        <v>18.185454499999999</v>
      </c>
      <c r="G313" s="8">
        <v>8</v>
      </c>
      <c r="H313" s="26">
        <v>0.66722155568999997</v>
      </c>
    </row>
    <row r="314" spans="1:8" x14ac:dyDescent="0.2">
      <c r="A314" s="14" t="s">
        <v>291</v>
      </c>
      <c r="B314" s="22" t="s">
        <v>104</v>
      </c>
      <c r="C314" s="27"/>
      <c r="D314" s="13"/>
      <c r="E314" s="28"/>
      <c r="F314" s="25">
        <v>18.673333299999999</v>
      </c>
      <c r="G314" s="8">
        <v>3</v>
      </c>
      <c r="H314" s="26">
        <v>0.41979650125000001</v>
      </c>
    </row>
    <row r="315" spans="1:8" x14ac:dyDescent="0.2">
      <c r="A315" s="14" t="s">
        <v>291</v>
      </c>
      <c r="B315" s="22" t="s">
        <v>105</v>
      </c>
      <c r="C315" s="27"/>
      <c r="D315" s="13"/>
      <c r="E315" s="28"/>
      <c r="F315" s="25">
        <v>26.73</v>
      </c>
      <c r="G315" s="8">
        <v>3</v>
      </c>
      <c r="H315" s="26">
        <v>0.36936026935999999</v>
      </c>
    </row>
    <row r="316" spans="1:8" x14ac:dyDescent="0.2">
      <c r="A316" s="14" t="s">
        <v>291</v>
      </c>
      <c r="B316" s="22" t="s">
        <v>106</v>
      </c>
      <c r="C316" s="27"/>
      <c r="D316" s="13"/>
      <c r="E316" s="28"/>
      <c r="F316" s="25">
        <v>22.192499999999999</v>
      </c>
      <c r="G316" s="8">
        <v>4</v>
      </c>
      <c r="H316" s="26">
        <v>0.39318463445000001</v>
      </c>
    </row>
    <row r="317" spans="1:8" x14ac:dyDescent="0.2">
      <c r="A317" s="14" t="s">
        <v>291</v>
      </c>
      <c r="B317" s="22" t="s">
        <v>127</v>
      </c>
      <c r="C317" s="27"/>
      <c r="D317" s="13"/>
      <c r="E317" s="28"/>
      <c r="F317" s="25">
        <v>35.071538500000003</v>
      </c>
      <c r="G317" s="8">
        <v>13</v>
      </c>
      <c r="H317" s="26">
        <v>0.34155462461000002</v>
      </c>
    </row>
    <row r="318" spans="1:8" x14ac:dyDescent="0.2">
      <c r="A318" s="14" t="s">
        <v>291</v>
      </c>
      <c r="B318" s="22" t="s">
        <v>128</v>
      </c>
      <c r="C318" s="27"/>
      <c r="D318" s="13"/>
      <c r="E318" s="28"/>
      <c r="F318" s="25">
        <v>21.6245455</v>
      </c>
      <c r="G318" s="8">
        <v>9</v>
      </c>
      <c r="H318" s="26">
        <v>0.60517509564000005</v>
      </c>
    </row>
    <row r="319" spans="1:8" x14ac:dyDescent="0.2">
      <c r="A319" s="14" t="s">
        <v>291</v>
      </c>
      <c r="B319" s="22" t="s">
        <v>31</v>
      </c>
      <c r="C319" s="27"/>
      <c r="D319" s="13"/>
      <c r="E319" s="28"/>
      <c r="F319" s="25">
        <v>19.136666699999999</v>
      </c>
      <c r="G319" s="8">
        <v>5</v>
      </c>
      <c r="H319" s="26">
        <v>0.84052429890000002</v>
      </c>
    </row>
    <row r="320" spans="1:8" x14ac:dyDescent="0.2">
      <c r="A320" s="14" t="s">
        <v>291</v>
      </c>
      <c r="B320" s="22" t="s">
        <v>107</v>
      </c>
      <c r="C320" s="27"/>
      <c r="D320" s="13"/>
      <c r="E320" s="28"/>
      <c r="F320" s="25">
        <v>67.872857100000004</v>
      </c>
      <c r="G320" s="8">
        <v>7</v>
      </c>
      <c r="H320" s="26">
        <v>0.29861295279</v>
      </c>
    </row>
    <row r="321" spans="1:8" x14ac:dyDescent="0.2">
      <c r="A321" s="14" t="s">
        <v>291</v>
      </c>
      <c r="B321" s="22" t="s">
        <v>108</v>
      </c>
      <c r="C321" s="27"/>
      <c r="D321" s="13"/>
      <c r="E321" s="28"/>
      <c r="F321" s="25">
        <v>20.28</v>
      </c>
      <c r="G321" s="8">
        <v>2</v>
      </c>
      <c r="H321" s="26">
        <v>0.40660749506999999</v>
      </c>
    </row>
    <row r="322" spans="1:8" x14ac:dyDescent="0.2">
      <c r="A322" s="14" t="s">
        <v>291</v>
      </c>
      <c r="B322" s="22" t="s">
        <v>109</v>
      </c>
      <c r="C322" s="27"/>
      <c r="D322" s="13"/>
      <c r="E322" s="28"/>
      <c r="F322" s="25">
        <v>31.355</v>
      </c>
      <c r="G322" s="8">
        <v>2</v>
      </c>
      <c r="H322" s="26">
        <v>0.35214479349</v>
      </c>
    </row>
    <row r="323" spans="1:8" x14ac:dyDescent="0.2">
      <c r="A323" s="14" t="s">
        <v>291</v>
      </c>
      <c r="B323" s="22" t="s">
        <v>130</v>
      </c>
      <c r="C323" s="27"/>
      <c r="D323" s="13"/>
      <c r="E323" s="28"/>
      <c r="F323" s="25">
        <v>34.003571399999998</v>
      </c>
      <c r="G323" s="8">
        <v>14</v>
      </c>
      <c r="H323" s="26">
        <v>0.34437979204000002</v>
      </c>
    </row>
    <row r="324" spans="1:8" x14ac:dyDescent="0.2">
      <c r="A324" s="14" t="s">
        <v>291</v>
      </c>
      <c r="B324" s="22" t="s">
        <v>110</v>
      </c>
      <c r="C324" s="27"/>
      <c r="D324" s="13"/>
      <c r="E324" s="28"/>
      <c r="F324" s="25">
        <v>17.4590909</v>
      </c>
      <c r="G324" s="8">
        <v>11</v>
      </c>
      <c r="H324" s="26">
        <v>0.43129393386999998</v>
      </c>
    </row>
    <row r="325" spans="1:8" x14ac:dyDescent="0.2">
      <c r="A325" s="14" t="s">
        <v>291</v>
      </c>
      <c r="B325" s="22" t="s">
        <v>41</v>
      </c>
      <c r="C325" s="27"/>
      <c r="D325" s="13"/>
      <c r="E325" s="28"/>
      <c r="F325" s="25">
        <v>18.38</v>
      </c>
      <c r="G325" s="8">
        <v>4</v>
      </c>
      <c r="H325" s="26">
        <v>0.42245647443000001</v>
      </c>
    </row>
    <row r="326" spans="1:8" x14ac:dyDescent="0.2">
      <c r="A326" s="14" t="s">
        <v>291</v>
      </c>
      <c r="B326" s="22" t="s">
        <v>42</v>
      </c>
      <c r="C326" s="27"/>
      <c r="D326" s="13"/>
      <c r="E326" s="28"/>
      <c r="F326" s="25">
        <v>19.437142900000001</v>
      </c>
      <c r="G326" s="8">
        <v>6</v>
      </c>
      <c r="H326" s="26">
        <v>0.76991033367999995</v>
      </c>
    </row>
    <row r="327" spans="1:8" x14ac:dyDescent="0.2">
      <c r="A327" s="14" t="s">
        <v>291</v>
      </c>
      <c r="B327" s="22" t="s">
        <v>131</v>
      </c>
      <c r="C327" s="27"/>
      <c r="D327" s="13"/>
      <c r="E327" s="28"/>
      <c r="F327" s="25">
        <v>18.2075</v>
      </c>
      <c r="G327" s="8">
        <v>4</v>
      </c>
      <c r="H327" s="26">
        <v>0.42387752299999998</v>
      </c>
    </row>
    <row r="328" spans="1:8" x14ac:dyDescent="0.2">
      <c r="A328" s="14" t="s">
        <v>291</v>
      </c>
      <c r="B328" s="22" t="s">
        <v>49</v>
      </c>
      <c r="C328" s="27"/>
      <c r="D328" s="13"/>
      <c r="E328" s="28"/>
      <c r="F328" s="25">
        <v>16.725000000000001</v>
      </c>
      <c r="G328" s="8">
        <v>2</v>
      </c>
      <c r="H328" s="26">
        <v>0.43931240657999998</v>
      </c>
    </row>
    <row r="329" spans="1:8" x14ac:dyDescent="0.2">
      <c r="A329" s="14" t="s">
        <v>291</v>
      </c>
      <c r="B329" s="22" t="s">
        <v>50</v>
      </c>
      <c r="C329" s="27"/>
      <c r="D329" s="13"/>
      <c r="E329" s="28"/>
      <c r="F329" s="25">
        <v>30.01</v>
      </c>
      <c r="G329" s="8">
        <v>5</v>
      </c>
      <c r="H329" s="26">
        <v>0.64791736087999996</v>
      </c>
    </row>
    <row r="330" spans="1:8" x14ac:dyDescent="0.2">
      <c r="A330" s="14" t="s">
        <v>291</v>
      </c>
      <c r="B330" s="22" t="s">
        <v>295</v>
      </c>
      <c r="C330" s="25">
        <v>106.23520000000001</v>
      </c>
      <c r="D330" s="15">
        <v>17</v>
      </c>
      <c r="E330" s="26">
        <v>0.38410357396</v>
      </c>
      <c r="F330" s="25">
        <v>112.8642105</v>
      </c>
      <c r="G330" s="8">
        <v>41</v>
      </c>
      <c r="H330" s="26">
        <v>0.36294786779999999</v>
      </c>
    </row>
    <row r="331" spans="1:8" x14ac:dyDescent="0.2">
      <c r="A331" s="14" t="s">
        <v>291</v>
      </c>
      <c r="B331" s="22" t="s">
        <v>133</v>
      </c>
      <c r="C331" s="25">
        <v>316.72000000000003</v>
      </c>
      <c r="D331" s="15">
        <v>1</v>
      </c>
      <c r="E331" s="26">
        <v>0.24033373326999999</v>
      </c>
      <c r="F331" s="25">
        <v>453.17399999999998</v>
      </c>
      <c r="G331" s="8">
        <v>3</v>
      </c>
      <c r="H331" s="26">
        <v>0.23994977646999999</v>
      </c>
    </row>
    <row r="332" spans="1:8" x14ac:dyDescent="0.2">
      <c r="A332" s="14" t="s">
        <v>291</v>
      </c>
      <c r="B332" s="22" t="s">
        <v>181</v>
      </c>
      <c r="C332" s="25">
        <v>136.96250000000001</v>
      </c>
      <c r="D332" s="15">
        <v>3</v>
      </c>
      <c r="E332" s="26">
        <v>0.37653919869000002</v>
      </c>
      <c r="F332" s="25">
        <v>144.4975</v>
      </c>
      <c r="G332" s="8">
        <v>9</v>
      </c>
      <c r="H332" s="26">
        <v>0.39220805435</v>
      </c>
    </row>
    <row r="333" spans="1:8" x14ac:dyDescent="0.2">
      <c r="A333" s="14" t="s">
        <v>291</v>
      </c>
      <c r="B333" s="22" t="s">
        <v>91</v>
      </c>
      <c r="C333" s="27"/>
      <c r="D333" s="13"/>
      <c r="E333" s="28"/>
      <c r="F333" s="25">
        <v>19.66</v>
      </c>
      <c r="G333" s="8">
        <v>2</v>
      </c>
      <c r="H333" s="26">
        <v>1.1935401831100001</v>
      </c>
    </row>
    <row r="334" spans="1:8" x14ac:dyDescent="0.2">
      <c r="A334" s="14" t="s">
        <v>291</v>
      </c>
      <c r="B334" s="22" t="s">
        <v>97</v>
      </c>
      <c r="C334" s="27"/>
      <c r="D334" s="13"/>
      <c r="E334" s="28"/>
      <c r="F334" s="25">
        <v>400.09</v>
      </c>
      <c r="G334" s="8">
        <v>1</v>
      </c>
      <c r="H334" s="26">
        <v>0.20931790347000001</v>
      </c>
    </row>
    <row r="335" spans="1:8" x14ac:dyDescent="0.2">
      <c r="A335" s="14" t="s">
        <v>291</v>
      </c>
      <c r="B335" s="22" t="s">
        <v>296</v>
      </c>
      <c r="C335" s="25">
        <v>99.221818200000001</v>
      </c>
      <c r="D335" s="15">
        <v>14</v>
      </c>
      <c r="E335" s="26">
        <v>0.42840650882999998</v>
      </c>
      <c r="F335" s="25">
        <v>108.8843636</v>
      </c>
      <c r="G335" s="8">
        <v>39</v>
      </c>
      <c r="H335" s="26">
        <v>0.37080939912999999</v>
      </c>
    </row>
    <row r="336" spans="1:8" x14ac:dyDescent="0.2">
      <c r="A336" s="14" t="s">
        <v>297</v>
      </c>
      <c r="B336" s="22" t="s">
        <v>293</v>
      </c>
      <c r="C336" s="25">
        <v>75.47</v>
      </c>
      <c r="D336" s="15">
        <v>1</v>
      </c>
      <c r="E336" s="26">
        <v>0</v>
      </c>
      <c r="F336" s="25">
        <v>75.47</v>
      </c>
      <c r="G336" s="8">
        <v>1</v>
      </c>
      <c r="H336" s="26">
        <v>0</v>
      </c>
    </row>
    <row r="337" spans="1:8" x14ac:dyDescent="0.2">
      <c r="A337" s="14" t="s">
        <v>297</v>
      </c>
      <c r="B337" s="22" t="s">
        <v>267</v>
      </c>
      <c r="C337" s="25">
        <v>412.16142860000002</v>
      </c>
      <c r="D337" s="15">
        <v>9</v>
      </c>
      <c r="E337" s="26">
        <v>0.32462644664000001</v>
      </c>
      <c r="F337" s="25">
        <v>404.19407410000002</v>
      </c>
      <c r="G337" s="8">
        <v>19</v>
      </c>
      <c r="H337" s="26">
        <v>0.33515784497000001</v>
      </c>
    </row>
    <row r="338" spans="1:8" x14ac:dyDescent="0.2">
      <c r="A338" s="14" t="s">
        <v>297</v>
      </c>
      <c r="B338" s="22" t="s">
        <v>279</v>
      </c>
      <c r="C338" s="27"/>
      <c r="D338" s="13"/>
      <c r="E338" s="28"/>
      <c r="F338" s="25">
        <v>35.799999999999997</v>
      </c>
      <c r="G338" s="8">
        <v>1</v>
      </c>
      <c r="H338" s="26">
        <v>0.47326815641999997</v>
      </c>
    </row>
    <row r="339" spans="1:8" x14ac:dyDescent="0.2">
      <c r="A339" s="14" t="s">
        <v>298</v>
      </c>
      <c r="B339" s="22" t="s">
        <v>299</v>
      </c>
      <c r="C339" s="27"/>
      <c r="D339" s="13"/>
      <c r="E339" s="28"/>
      <c r="F339" s="25">
        <v>356.21</v>
      </c>
      <c r="G339" s="8">
        <v>1</v>
      </c>
      <c r="H339" s="26">
        <v>0.17412668556999999</v>
      </c>
    </row>
    <row r="340" spans="1:8" x14ac:dyDescent="0.2">
      <c r="A340" s="14" t="s">
        <v>298</v>
      </c>
      <c r="B340" s="22" t="s">
        <v>300</v>
      </c>
      <c r="C340" s="25">
        <v>35.062727299999999</v>
      </c>
      <c r="D340" s="15">
        <v>4</v>
      </c>
      <c r="E340" s="26">
        <v>1.80743602375</v>
      </c>
      <c r="F340" s="25">
        <v>33.624000000000002</v>
      </c>
      <c r="G340" s="8">
        <v>9</v>
      </c>
      <c r="H340" s="26">
        <v>1.8151796335999999</v>
      </c>
    </row>
    <row r="341" spans="1:8" x14ac:dyDescent="0.2">
      <c r="A341" s="14" t="s">
        <v>298</v>
      </c>
      <c r="B341" s="22" t="s">
        <v>168</v>
      </c>
      <c r="C341" s="25">
        <v>123.9141379</v>
      </c>
      <c r="D341" s="15">
        <v>10</v>
      </c>
      <c r="E341" s="26">
        <v>0.63167404570999997</v>
      </c>
      <c r="F341" s="25">
        <v>94.103442599999994</v>
      </c>
      <c r="G341" s="8">
        <v>22</v>
      </c>
      <c r="H341" s="26">
        <v>0.71134381244</v>
      </c>
    </row>
    <row r="342" spans="1:8" x14ac:dyDescent="0.2">
      <c r="A342" s="14" t="s">
        <v>298</v>
      </c>
      <c r="B342" s="22" t="s">
        <v>301</v>
      </c>
      <c r="C342" s="25">
        <v>193.93962959999999</v>
      </c>
      <c r="D342" s="15">
        <v>10</v>
      </c>
      <c r="E342" s="26">
        <v>0.28954733909000002</v>
      </c>
      <c r="F342" s="25">
        <v>185.08226669999999</v>
      </c>
      <c r="G342" s="8">
        <v>28</v>
      </c>
      <c r="H342" s="26">
        <v>0.28075111823999999</v>
      </c>
    </row>
    <row r="343" spans="1:8" x14ac:dyDescent="0.2">
      <c r="A343" s="14" t="s">
        <v>298</v>
      </c>
      <c r="B343" s="22" t="s">
        <v>302</v>
      </c>
      <c r="C343" s="27"/>
      <c r="D343" s="13"/>
      <c r="E343" s="28"/>
      <c r="F343" s="25">
        <v>57.05</v>
      </c>
      <c r="G343" s="8">
        <v>1</v>
      </c>
      <c r="H343" s="26">
        <v>0.40411919368999999</v>
      </c>
    </row>
    <row r="344" spans="1:8" x14ac:dyDescent="0.2">
      <c r="A344" s="14" t="s">
        <v>298</v>
      </c>
      <c r="B344" s="22" t="s">
        <v>174</v>
      </c>
      <c r="C344" s="25">
        <v>290.75920000000002</v>
      </c>
      <c r="D344" s="15">
        <v>9</v>
      </c>
      <c r="E344" s="26">
        <v>0.28349795981999998</v>
      </c>
      <c r="F344" s="25">
        <v>305.24036360000002</v>
      </c>
      <c r="G344" s="8">
        <v>20</v>
      </c>
      <c r="H344" s="26">
        <v>0.30059577489</v>
      </c>
    </row>
    <row r="345" spans="1:8" x14ac:dyDescent="0.2">
      <c r="A345" s="14" t="s">
        <v>298</v>
      </c>
      <c r="B345" s="22" t="s">
        <v>177</v>
      </c>
      <c r="C345" s="27"/>
      <c r="D345" s="13"/>
      <c r="E345" s="28"/>
      <c r="F345" s="25">
        <v>169.2</v>
      </c>
      <c r="G345" s="8">
        <v>1</v>
      </c>
      <c r="H345" s="26">
        <v>0.32981481481000002</v>
      </c>
    </row>
    <row r="346" spans="1:8" x14ac:dyDescent="0.2">
      <c r="A346" s="14" t="s">
        <v>298</v>
      </c>
      <c r="B346" s="22" t="s">
        <v>303</v>
      </c>
      <c r="C346" s="25">
        <v>253.62700000000001</v>
      </c>
      <c r="D346" s="15">
        <v>11</v>
      </c>
      <c r="E346" s="26">
        <v>0.31142951395000001</v>
      </c>
      <c r="F346" s="25">
        <v>237.3004225</v>
      </c>
      <c r="G346" s="8">
        <v>27</v>
      </c>
      <c r="H346" s="26">
        <v>0.30988002965</v>
      </c>
    </row>
    <row r="347" spans="1:8" x14ac:dyDescent="0.2">
      <c r="A347" s="14" t="s">
        <v>298</v>
      </c>
      <c r="B347" s="22" t="s">
        <v>304</v>
      </c>
      <c r="C347" s="25">
        <v>171.7743333</v>
      </c>
      <c r="D347" s="15">
        <v>11</v>
      </c>
      <c r="E347" s="26">
        <v>0.26887777181</v>
      </c>
      <c r="F347" s="25">
        <v>195.4908824</v>
      </c>
      <c r="G347" s="8">
        <v>25</v>
      </c>
      <c r="H347" s="26">
        <v>0.28022218578000002</v>
      </c>
    </row>
    <row r="348" spans="1:8" x14ac:dyDescent="0.2">
      <c r="A348" s="14" t="s">
        <v>298</v>
      </c>
      <c r="B348" s="22" t="s">
        <v>305</v>
      </c>
      <c r="C348" s="25">
        <v>254.40888889999999</v>
      </c>
      <c r="D348" s="15">
        <v>13</v>
      </c>
      <c r="E348" s="26">
        <v>0.30350420146000001</v>
      </c>
      <c r="F348" s="25">
        <v>207.63797869999999</v>
      </c>
      <c r="G348" s="8">
        <v>35</v>
      </c>
      <c r="H348" s="26">
        <v>0.28977670320999999</v>
      </c>
    </row>
    <row r="349" spans="1:8" x14ac:dyDescent="0.2">
      <c r="A349" s="5" t="s">
        <v>306</v>
      </c>
      <c r="B349" s="22" t="s">
        <v>307</v>
      </c>
      <c r="C349" s="25">
        <v>9702.34</v>
      </c>
      <c r="D349" s="15">
        <v>1</v>
      </c>
      <c r="E349" s="26">
        <v>7.2147543790000004E-2</v>
      </c>
      <c r="F349" s="25">
        <v>9424.27</v>
      </c>
      <c r="G349" s="8">
        <v>2</v>
      </c>
      <c r="H349" s="26">
        <v>7.4276309999999998E-2</v>
      </c>
    </row>
    <row r="350" spans="1:8" x14ac:dyDescent="0.2">
      <c r="A350" s="14" t="s">
        <v>308</v>
      </c>
      <c r="B350" s="22" t="s">
        <v>309</v>
      </c>
      <c r="C350" s="27"/>
      <c r="D350" s="13"/>
      <c r="E350" s="28"/>
      <c r="F350" s="25">
        <v>411.23</v>
      </c>
      <c r="G350" s="8">
        <v>2</v>
      </c>
      <c r="H350" s="26">
        <v>0.21776621355</v>
      </c>
    </row>
    <row r="351" spans="1:8" x14ac:dyDescent="0.2">
      <c r="A351" s="14" t="s">
        <v>308</v>
      </c>
      <c r="B351" s="22" t="s">
        <v>310</v>
      </c>
      <c r="C351" s="25">
        <v>236.27111110000001</v>
      </c>
      <c r="D351" s="15">
        <v>9</v>
      </c>
      <c r="E351" s="26">
        <v>0.21962764056</v>
      </c>
      <c r="F351" s="25">
        <v>275.28806450000002</v>
      </c>
      <c r="G351" s="8">
        <v>31</v>
      </c>
      <c r="H351" s="26">
        <v>0.2190117566</v>
      </c>
    </row>
    <row r="352" spans="1:8" x14ac:dyDescent="0.2">
      <c r="A352" s="14" t="s">
        <v>308</v>
      </c>
      <c r="B352" s="22" t="s">
        <v>311</v>
      </c>
      <c r="C352" s="25">
        <v>234.37625</v>
      </c>
      <c r="D352" s="15">
        <v>16</v>
      </c>
      <c r="E352" s="26">
        <v>0.21966576178</v>
      </c>
      <c r="F352" s="25">
        <v>206.4745455</v>
      </c>
      <c r="G352" s="8">
        <v>44</v>
      </c>
      <c r="H352" s="26">
        <v>0.22684647458000001</v>
      </c>
    </row>
    <row r="353" spans="1:8" x14ac:dyDescent="0.2">
      <c r="A353" s="14" t="s">
        <v>308</v>
      </c>
      <c r="B353" s="22" t="s">
        <v>312</v>
      </c>
      <c r="C353" s="25">
        <v>246.6</v>
      </c>
      <c r="D353" s="15">
        <v>6</v>
      </c>
      <c r="E353" s="26">
        <v>0.21944849959000001</v>
      </c>
      <c r="F353" s="25">
        <v>240.75444440000001</v>
      </c>
      <c r="G353" s="8">
        <v>9</v>
      </c>
      <c r="H353" s="26">
        <v>0.21955011792000001</v>
      </c>
    </row>
    <row r="354" spans="1:8" x14ac:dyDescent="0.2">
      <c r="A354" s="14" t="s">
        <v>308</v>
      </c>
      <c r="B354" s="22" t="s">
        <v>313</v>
      </c>
      <c r="C354" s="25">
        <v>335.62777779999999</v>
      </c>
      <c r="D354" s="15">
        <v>9</v>
      </c>
      <c r="E354" s="26">
        <v>0.21833876815</v>
      </c>
      <c r="F354" s="25">
        <v>274.77352939999997</v>
      </c>
      <c r="G354" s="8">
        <v>17</v>
      </c>
      <c r="H354" s="26">
        <v>0.21902101196000001</v>
      </c>
    </row>
    <row r="355" spans="1:8" x14ac:dyDescent="0.2">
      <c r="A355" s="14" t="s">
        <v>308</v>
      </c>
      <c r="B355" s="22" t="s">
        <v>314</v>
      </c>
      <c r="C355" s="25">
        <v>88.297272699999994</v>
      </c>
      <c r="D355" s="15">
        <v>11</v>
      </c>
      <c r="E355" s="26">
        <v>0.29601552605999998</v>
      </c>
      <c r="F355" s="25">
        <v>82.404285700000003</v>
      </c>
      <c r="G355" s="8">
        <v>14</v>
      </c>
      <c r="H355" s="26">
        <v>0.31659327705000001</v>
      </c>
    </row>
    <row r="356" spans="1:8" x14ac:dyDescent="0.2">
      <c r="A356" s="14" t="s">
        <v>308</v>
      </c>
      <c r="B356" s="22" t="s">
        <v>315</v>
      </c>
      <c r="C356" s="27"/>
      <c r="D356" s="13"/>
      <c r="E356" s="28"/>
      <c r="F356" s="25">
        <v>886.02243239999996</v>
      </c>
      <c r="G356" s="8">
        <v>37</v>
      </c>
      <c r="H356" s="26">
        <v>0.21643317553999999</v>
      </c>
    </row>
    <row r="357" spans="1:8" x14ac:dyDescent="0.2">
      <c r="A357" s="14" t="s">
        <v>308</v>
      </c>
      <c r="B357" s="22" t="s">
        <v>316</v>
      </c>
      <c r="C357" s="25">
        <v>395.4</v>
      </c>
      <c r="D357" s="15">
        <v>2</v>
      </c>
      <c r="E357" s="26">
        <v>0.21786418816</v>
      </c>
      <c r="F357" s="25">
        <v>299.1333333</v>
      </c>
      <c r="G357" s="8">
        <v>6</v>
      </c>
      <c r="H357" s="26">
        <v>0.22292734567</v>
      </c>
    </row>
    <row r="358" spans="1:8" x14ac:dyDescent="0.2">
      <c r="A358" s="14" t="s">
        <v>308</v>
      </c>
      <c r="B358" s="22" t="s">
        <v>317</v>
      </c>
      <c r="C358" s="25">
        <v>126.83374999999999</v>
      </c>
      <c r="D358" s="15">
        <v>8</v>
      </c>
      <c r="E358" s="26">
        <v>0.23995486217000001</v>
      </c>
      <c r="F358" s="25">
        <v>102.9256</v>
      </c>
      <c r="G358" s="8">
        <v>25</v>
      </c>
      <c r="H358" s="26">
        <v>0.27090558616999999</v>
      </c>
    </row>
    <row r="359" spans="1:8" x14ac:dyDescent="0.2">
      <c r="A359" s="14" t="s">
        <v>308</v>
      </c>
      <c r="B359" s="22" t="s">
        <v>318</v>
      </c>
      <c r="C359" s="25">
        <v>209.7</v>
      </c>
      <c r="D359" s="15">
        <v>1</v>
      </c>
      <c r="E359" s="26">
        <v>0.22015736766999999</v>
      </c>
      <c r="F359" s="25">
        <v>209.7</v>
      </c>
      <c r="G359" s="8">
        <v>1</v>
      </c>
      <c r="H359" s="26">
        <v>0.22015736766999999</v>
      </c>
    </row>
    <row r="360" spans="1:8" x14ac:dyDescent="0.2">
      <c r="A360" s="14" t="s">
        <v>308</v>
      </c>
      <c r="B360" s="22" t="s">
        <v>319</v>
      </c>
      <c r="C360" s="25">
        <v>226.56</v>
      </c>
      <c r="D360" s="15">
        <v>23</v>
      </c>
      <c r="E360" s="26">
        <v>0.22342368275999999</v>
      </c>
      <c r="F360" s="25">
        <v>196.19679249999999</v>
      </c>
      <c r="G360" s="8">
        <v>53</v>
      </c>
      <c r="H360" s="26">
        <v>0.22344488542999999</v>
      </c>
    </row>
    <row r="361" spans="1:8" x14ac:dyDescent="0.2">
      <c r="A361" s="14" t="s">
        <v>308</v>
      </c>
      <c r="B361" s="22" t="s">
        <v>320</v>
      </c>
      <c r="C361" s="25">
        <v>164.82749999999999</v>
      </c>
      <c r="D361" s="15">
        <v>12</v>
      </c>
      <c r="E361" s="26">
        <v>0.22444575894999999</v>
      </c>
      <c r="F361" s="25">
        <v>144.6670968</v>
      </c>
      <c r="G361" s="8">
        <v>31</v>
      </c>
      <c r="H361" s="26">
        <v>0.22642708064</v>
      </c>
    </row>
    <row r="362" spans="1:8" x14ac:dyDescent="0.2">
      <c r="A362" s="14" t="s">
        <v>308</v>
      </c>
      <c r="B362" s="22" t="s">
        <v>321</v>
      </c>
      <c r="C362" s="25">
        <v>53.78</v>
      </c>
      <c r="D362" s="15">
        <v>5</v>
      </c>
      <c r="E362" s="26">
        <v>0.48177761250000001</v>
      </c>
      <c r="F362" s="25">
        <v>51.222857099999999</v>
      </c>
      <c r="G362" s="8">
        <v>7</v>
      </c>
      <c r="H362" s="26">
        <v>0.50582887103999996</v>
      </c>
    </row>
    <row r="363" spans="1:8" x14ac:dyDescent="0.2">
      <c r="A363" s="14" t="s">
        <v>308</v>
      </c>
      <c r="B363" s="22" t="s">
        <v>322</v>
      </c>
      <c r="C363" s="25">
        <v>126.5783333</v>
      </c>
      <c r="D363" s="15">
        <v>6</v>
      </c>
      <c r="E363" s="26">
        <v>0.23559324266000001</v>
      </c>
      <c r="F363" s="25">
        <v>161.2223529</v>
      </c>
      <c r="G363" s="8">
        <v>17</v>
      </c>
      <c r="H363" s="26">
        <v>0.23854559651000001</v>
      </c>
    </row>
    <row r="364" spans="1:8" x14ac:dyDescent="0.2">
      <c r="A364" s="14" t="s">
        <v>308</v>
      </c>
      <c r="B364" s="22" t="s">
        <v>323</v>
      </c>
      <c r="C364" s="27"/>
      <c r="D364" s="13"/>
      <c r="E364" s="28"/>
      <c r="F364" s="25">
        <v>509.15</v>
      </c>
      <c r="G364" s="8">
        <v>1</v>
      </c>
      <c r="H364" s="26">
        <v>0.21728763626</v>
      </c>
    </row>
    <row r="365" spans="1:8" x14ac:dyDescent="0.2">
      <c r="A365" s="14" t="s">
        <v>308</v>
      </c>
      <c r="B365" s="22" t="s">
        <v>324</v>
      </c>
      <c r="C365" s="25">
        <v>730.38</v>
      </c>
      <c r="D365" s="15">
        <v>19</v>
      </c>
      <c r="E365" s="26">
        <v>0.21809569928</v>
      </c>
      <c r="F365" s="25">
        <v>672.42558140000006</v>
      </c>
      <c r="G365" s="8">
        <v>43</v>
      </c>
      <c r="H365" s="26">
        <v>0.21924663575</v>
      </c>
    </row>
    <row r="366" spans="1:8" x14ac:dyDescent="0.2">
      <c r="A366" s="14" t="s">
        <v>308</v>
      </c>
      <c r="B366" s="22" t="s">
        <v>325</v>
      </c>
      <c r="C366" s="25">
        <v>204.76818180000001</v>
      </c>
      <c r="D366" s="15">
        <v>11</v>
      </c>
      <c r="E366" s="26">
        <v>0.22029922972999999</v>
      </c>
      <c r="F366" s="25">
        <v>225.70724139999999</v>
      </c>
      <c r="G366" s="8">
        <v>29</v>
      </c>
      <c r="H366" s="26">
        <v>0.21983054031999999</v>
      </c>
    </row>
    <row r="367" spans="1:8" x14ac:dyDescent="0.2">
      <c r="A367" s="14" t="s">
        <v>308</v>
      </c>
      <c r="B367" s="22" t="s">
        <v>326</v>
      </c>
      <c r="C367" s="25">
        <v>194.73</v>
      </c>
      <c r="D367" s="15">
        <v>2</v>
      </c>
      <c r="E367" s="26">
        <v>0.22055410054999999</v>
      </c>
      <c r="F367" s="25">
        <v>194.73</v>
      </c>
      <c r="G367" s="8">
        <v>2</v>
      </c>
      <c r="H367" s="26">
        <v>0.22055410054999999</v>
      </c>
    </row>
    <row r="368" spans="1:8" x14ac:dyDescent="0.2">
      <c r="A368" s="14" t="s">
        <v>308</v>
      </c>
      <c r="B368" s="22" t="s">
        <v>327</v>
      </c>
      <c r="C368" s="25">
        <v>121.5422222</v>
      </c>
      <c r="D368" s="15">
        <v>9</v>
      </c>
      <c r="E368" s="26">
        <v>0.23254835997000001</v>
      </c>
      <c r="F368" s="25">
        <v>122.1</v>
      </c>
      <c r="G368" s="8">
        <v>23</v>
      </c>
      <c r="H368" s="26">
        <v>0.23154613111</v>
      </c>
    </row>
    <row r="369" spans="1:8" x14ac:dyDescent="0.2">
      <c r="A369" s="14" t="s">
        <v>308</v>
      </c>
      <c r="B369" s="22" t="s">
        <v>328</v>
      </c>
      <c r="C369" s="25">
        <v>109.7404545</v>
      </c>
      <c r="D369" s="15">
        <v>22</v>
      </c>
      <c r="E369" s="26">
        <v>0.25384191626000002</v>
      </c>
      <c r="F369" s="25">
        <v>125.71362070000001</v>
      </c>
      <c r="G369" s="8">
        <v>58</v>
      </c>
      <c r="H369" s="26">
        <v>0.25055784974</v>
      </c>
    </row>
    <row r="370" spans="1:8" x14ac:dyDescent="0.2">
      <c r="A370" s="14" t="s">
        <v>308</v>
      </c>
      <c r="B370" s="22" t="s">
        <v>329</v>
      </c>
      <c r="C370" s="27"/>
      <c r="D370" s="13"/>
      <c r="E370" s="28"/>
      <c r="F370" s="25">
        <v>260.54000000000002</v>
      </c>
      <c r="G370" s="8">
        <v>5</v>
      </c>
      <c r="H370" s="26">
        <v>0.21922468718999999</v>
      </c>
    </row>
    <row r="371" spans="1:8" x14ac:dyDescent="0.2">
      <c r="A371" s="14" t="s">
        <v>308</v>
      </c>
      <c r="B371" s="22" t="s">
        <v>330</v>
      </c>
      <c r="C371" s="25">
        <v>271.36874999999998</v>
      </c>
      <c r="D371" s="15">
        <v>40</v>
      </c>
      <c r="E371" s="26">
        <v>0.21992565467</v>
      </c>
      <c r="F371" s="25">
        <v>283.01478259999999</v>
      </c>
      <c r="G371" s="8">
        <v>92</v>
      </c>
      <c r="H371" s="26">
        <v>0.21926696869000001</v>
      </c>
    </row>
    <row r="372" spans="1:8" x14ac:dyDescent="0.2">
      <c r="A372" s="14" t="s">
        <v>308</v>
      </c>
      <c r="B372" s="22" t="s">
        <v>331</v>
      </c>
      <c r="C372" s="27"/>
      <c r="D372" s="13"/>
      <c r="E372" s="28"/>
      <c r="F372" s="25">
        <v>224.3</v>
      </c>
      <c r="G372" s="8">
        <v>1</v>
      </c>
      <c r="H372" s="26">
        <v>0.21987962550000001</v>
      </c>
    </row>
    <row r="373" spans="1:8" x14ac:dyDescent="0.2">
      <c r="A373" s="14" t="s">
        <v>308</v>
      </c>
      <c r="B373" s="22" t="s">
        <v>332</v>
      </c>
      <c r="C373" s="25">
        <v>128.75529409999999</v>
      </c>
      <c r="D373" s="15">
        <v>17</v>
      </c>
      <c r="E373" s="26">
        <v>0.25556230697999999</v>
      </c>
      <c r="F373" s="25">
        <v>129.8357895</v>
      </c>
      <c r="G373" s="8">
        <v>19</v>
      </c>
      <c r="H373" s="26">
        <v>0.25364671164000002</v>
      </c>
    </row>
    <row r="374" spans="1:8" x14ac:dyDescent="0.2">
      <c r="A374" s="14" t="s">
        <v>308</v>
      </c>
      <c r="B374" s="22" t="s">
        <v>333</v>
      </c>
      <c r="C374" s="25">
        <v>65.901666700000007</v>
      </c>
      <c r="D374" s="15">
        <v>6</v>
      </c>
      <c r="E374" s="26">
        <v>0.39573354240000003</v>
      </c>
      <c r="F374" s="25">
        <v>48.533124999999998</v>
      </c>
      <c r="G374" s="8">
        <v>16</v>
      </c>
      <c r="H374" s="26">
        <v>0.53517185427000002</v>
      </c>
    </row>
    <row r="375" spans="1:8" x14ac:dyDescent="0.2">
      <c r="A375" s="14" t="s">
        <v>308</v>
      </c>
      <c r="B375" s="22" t="s">
        <v>334</v>
      </c>
      <c r="C375" s="25">
        <v>194.49625</v>
      </c>
      <c r="D375" s="15">
        <v>8</v>
      </c>
      <c r="E375" s="26">
        <v>0.22056145041</v>
      </c>
      <c r="F375" s="25">
        <v>194.49625</v>
      </c>
      <c r="G375" s="8">
        <v>8</v>
      </c>
      <c r="H375" s="26">
        <v>0.22056145041</v>
      </c>
    </row>
    <row r="376" spans="1:8" x14ac:dyDescent="0.2">
      <c r="A376" s="14" t="s">
        <v>308</v>
      </c>
      <c r="B376" s="22" t="s">
        <v>335</v>
      </c>
      <c r="C376" s="27"/>
      <c r="D376" s="13"/>
      <c r="E376" s="28"/>
      <c r="F376" s="25">
        <v>183.2</v>
      </c>
      <c r="G376" s="8">
        <v>4</v>
      </c>
      <c r="H376" s="26">
        <v>0.22088700873</v>
      </c>
    </row>
    <row r="377" spans="1:8" x14ac:dyDescent="0.2">
      <c r="A377" s="14" t="s">
        <v>308</v>
      </c>
      <c r="B377" s="22" t="s">
        <v>336</v>
      </c>
      <c r="C377" s="25">
        <v>200.53333330000001</v>
      </c>
      <c r="D377" s="15">
        <v>21</v>
      </c>
      <c r="E377" s="26">
        <v>0.22444576367999999</v>
      </c>
      <c r="F377" s="25">
        <v>188.4033962</v>
      </c>
      <c r="G377" s="8">
        <v>53</v>
      </c>
      <c r="H377" s="26">
        <v>0.22600131392</v>
      </c>
    </row>
    <row r="378" spans="1:8" x14ac:dyDescent="0.2">
      <c r="A378" s="14" t="s">
        <v>308</v>
      </c>
      <c r="B378" s="22" t="s">
        <v>337</v>
      </c>
      <c r="C378" s="25">
        <v>0</v>
      </c>
      <c r="D378" s="15">
        <v>1</v>
      </c>
      <c r="E378" s="28"/>
      <c r="F378" s="25">
        <v>19.12</v>
      </c>
      <c r="G378" s="8">
        <v>2</v>
      </c>
      <c r="H378" s="26">
        <v>1.3551255230100001</v>
      </c>
    </row>
    <row r="379" spans="1:8" x14ac:dyDescent="0.2">
      <c r="A379" s="14" t="s">
        <v>308</v>
      </c>
      <c r="B379" s="22" t="s">
        <v>338</v>
      </c>
      <c r="C379" s="25">
        <v>355.06222220000001</v>
      </c>
      <c r="D379" s="15">
        <v>9</v>
      </c>
      <c r="E379" s="26">
        <v>0.21817177584</v>
      </c>
      <c r="F379" s="25">
        <v>355.06222220000001</v>
      </c>
      <c r="G379" s="8">
        <v>9</v>
      </c>
      <c r="H379" s="26">
        <v>0.21817177584</v>
      </c>
    </row>
    <row r="380" spans="1:8" x14ac:dyDescent="0.2">
      <c r="A380" s="14" t="s">
        <v>308</v>
      </c>
      <c r="B380" s="22" t="s">
        <v>339</v>
      </c>
      <c r="C380" s="25">
        <v>241.50555560000001</v>
      </c>
      <c r="D380" s="15">
        <v>18</v>
      </c>
      <c r="E380" s="26">
        <v>0.22630673322</v>
      </c>
      <c r="F380" s="25">
        <v>244.0465116</v>
      </c>
      <c r="G380" s="8">
        <v>43</v>
      </c>
      <c r="H380" s="26">
        <v>0.22500505051</v>
      </c>
    </row>
    <row r="381" spans="1:8" x14ac:dyDescent="0.2">
      <c r="A381" s="14" t="s">
        <v>308</v>
      </c>
      <c r="B381" s="22" t="s">
        <v>340</v>
      </c>
      <c r="C381" s="25">
        <v>121.057</v>
      </c>
      <c r="D381" s="15">
        <v>20</v>
      </c>
      <c r="E381" s="26">
        <v>0.24888730102000001</v>
      </c>
      <c r="F381" s="25">
        <v>118.6422</v>
      </c>
      <c r="G381" s="8">
        <v>50</v>
      </c>
      <c r="H381" s="26">
        <v>0.25424730828999997</v>
      </c>
    </row>
    <row r="382" spans="1:8" x14ac:dyDescent="0.2">
      <c r="A382" s="14" t="s">
        <v>308</v>
      </c>
      <c r="B382" s="22" t="s">
        <v>341</v>
      </c>
      <c r="C382" s="25">
        <v>209.62666669999999</v>
      </c>
      <c r="D382" s="15">
        <v>9</v>
      </c>
      <c r="E382" s="26">
        <v>0.23052251622</v>
      </c>
      <c r="F382" s="25">
        <v>183.51227270000001</v>
      </c>
      <c r="G382" s="8">
        <v>22</v>
      </c>
      <c r="H382" s="26">
        <v>0.22675520834999999</v>
      </c>
    </row>
    <row r="383" spans="1:8" x14ac:dyDescent="0.2">
      <c r="A383" s="14" t="s">
        <v>308</v>
      </c>
      <c r="B383" s="22" t="s">
        <v>342</v>
      </c>
      <c r="C383" s="25">
        <v>90.244</v>
      </c>
      <c r="D383" s="15">
        <v>20</v>
      </c>
      <c r="E383" s="26">
        <v>0.29685574663999997</v>
      </c>
      <c r="F383" s="25">
        <v>104.60425530000001</v>
      </c>
      <c r="G383" s="8">
        <v>47</v>
      </c>
      <c r="H383" s="26">
        <v>0.27260536164999999</v>
      </c>
    </row>
    <row r="384" spans="1:8" x14ac:dyDescent="0.2">
      <c r="A384" s="14" t="s">
        <v>308</v>
      </c>
      <c r="B384" s="22" t="s">
        <v>343</v>
      </c>
      <c r="C384" s="25">
        <v>360.48250000000002</v>
      </c>
      <c r="D384" s="15">
        <v>12</v>
      </c>
      <c r="E384" s="26">
        <v>0.21812686238000001</v>
      </c>
      <c r="F384" s="25">
        <v>302.21708330000001</v>
      </c>
      <c r="G384" s="8">
        <v>24</v>
      </c>
      <c r="H384" s="26">
        <v>0.21934178108999999</v>
      </c>
    </row>
    <row r="385" spans="1:8" x14ac:dyDescent="0.2">
      <c r="A385" s="14" t="s">
        <v>308</v>
      </c>
      <c r="B385" s="22" t="s">
        <v>344</v>
      </c>
      <c r="C385" s="27"/>
      <c r="D385" s="13"/>
      <c r="E385" s="28"/>
      <c r="F385" s="25">
        <v>114.4</v>
      </c>
      <c r="G385" s="8">
        <v>1</v>
      </c>
      <c r="H385" s="26">
        <v>0.22430069929999999</v>
      </c>
    </row>
    <row r="386" spans="1:8" x14ac:dyDescent="0.2">
      <c r="A386" s="14" t="s">
        <v>308</v>
      </c>
      <c r="B386" s="22" t="s">
        <v>345</v>
      </c>
      <c r="C386" s="25">
        <v>186.95571430000001</v>
      </c>
      <c r="D386" s="15">
        <v>7</v>
      </c>
      <c r="E386" s="26">
        <v>0.22078337880000001</v>
      </c>
      <c r="F386" s="25">
        <v>184.8943333</v>
      </c>
      <c r="G386" s="8">
        <v>30</v>
      </c>
      <c r="H386" s="26">
        <v>0.22933224923000001</v>
      </c>
    </row>
    <row r="387" spans="1:8" x14ac:dyDescent="0.2">
      <c r="A387" s="14" t="s">
        <v>308</v>
      </c>
      <c r="B387" s="22" t="s">
        <v>346</v>
      </c>
      <c r="C387" s="25">
        <v>263.41149999999999</v>
      </c>
      <c r="D387" s="15">
        <v>20</v>
      </c>
      <c r="E387" s="26">
        <v>0.22085311385</v>
      </c>
      <c r="F387" s="25">
        <v>249.1518519</v>
      </c>
      <c r="G387" s="8">
        <v>54</v>
      </c>
      <c r="H387" s="26">
        <v>0.22481856967</v>
      </c>
    </row>
    <row r="388" spans="1:8" x14ac:dyDescent="0.2">
      <c r="A388" s="14" t="s">
        <v>308</v>
      </c>
      <c r="B388" s="22" t="s">
        <v>347</v>
      </c>
      <c r="C388" s="25">
        <v>148.35733329999999</v>
      </c>
      <c r="D388" s="15">
        <v>15</v>
      </c>
      <c r="E388" s="26">
        <v>0.23785454938</v>
      </c>
      <c r="F388" s="25">
        <v>164.90447370000001</v>
      </c>
      <c r="G388" s="8">
        <v>38</v>
      </c>
      <c r="H388" s="26">
        <v>0.23417640515999999</v>
      </c>
    </row>
    <row r="389" spans="1:8" x14ac:dyDescent="0.2">
      <c r="A389" s="14" t="s">
        <v>308</v>
      </c>
      <c r="B389" s="22" t="s">
        <v>348</v>
      </c>
      <c r="C389" s="25">
        <v>781.45</v>
      </c>
      <c r="D389" s="15">
        <v>2</v>
      </c>
      <c r="E389" s="26">
        <v>0.21658839336999999</v>
      </c>
      <c r="F389" s="25">
        <v>364.56041670000002</v>
      </c>
      <c r="G389" s="8">
        <v>24</v>
      </c>
      <c r="H389" s="26">
        <v>0.22110224071000001</v>
      </c>
    </row>
    <row r="390" spans="1:8" x14ac:dyDescent="0.2">
      <c r="A390" s="14" t="s">
        <v>308</v>
      </c>
      <c r="B390" s="22" t="s">
        <v>349</v>
      </c>
      <c r="C390" s="25">
        <v>90.701875000000001</v>
      </c>
      <c r="D390" s="15">
        <v>16</v>
      </c>
      <c r="E390" s="26">
        <v>0.30322485063999999</v>
      </c>
      <c r="F390" s="25">
        <v>85.821428600000004</v>
      </c>
      <c r="G390" s="8">
        <v>49</v>
      </c>
      <c r="H390" s="26">
        <v>0.31567088758</v>
      </c>
    </row>
    <row r="391" spans="1:8" x14ac:dyDescent="0.2">
      <c r="A391" s="14" t="s">
        <v>308</v>
      </c>
      <c r="B391" s="22" t="s">
        <v>350</v>
      </c>
      <c r="C391" s="25">
        <v>140.06</v>
      </c>
      <c r="D391" s="15">
        <v>17</v>
      </c>
      <c r="E391" s="26">
        <v>0.23737599851999999</v>
      </c>
      <c r="F391" s="25">
        <v>143.51256409999999</v>
      </c>
      <c r="G391" s="8">
        <v>39</v>
      </c>
      <c r="H391" s="26">
        <v>0.23217926064</v>
      </c>
    </row>
    <row r="392" spans="1:8" x14ac:dyDescent="0.2">
      <c r="A392" s="14" t="s">
        <v>308</v>
      </c>
      <c r="B392" s="22" t="s">
        <v>351</v>
      </c>
      <c r="C392" s="25">
        <v>41.483846200000002</v>
      </c>
      <c r="D392" s="15">
        <v>12</v>
      </c>
      <c r="E392" s="26">
        <v>0.62458046691000002</v>
      </c>
      <c r="F392" s="25">
        <v>42.0403333</v>
      </c>
      <c r="G392" s="8">
        <v>29</v>
      </c>
      <c r="H392" s="26">
        <v>0.61631290585999998</v>
      </c>
    </row>
    <row r="393" spans="1:8" x14ac:dyDescent="0.2">
      <c r="A393" s="14" t="s">
        <v>308</v>
      </c>
      <c r="B393" s="22" t="s">
        <v>352</v>
      </c>
      <c r="C393" s="25">
        <v>215.31</v>
      </c>
      <c r="D393" s="15">
        <v>22</v>
      </c>
      <c r="E393" s="26">
        <v>0.22441849173</v>
      </c>
      <c r="F393" s="25">
        <v>217.9593548</v>
      </c>
      <c r="G393" s="8">
        <v>61</v>
      </c>
      <c r="H393" s="26">
        <v>0.22808114564000001</v>
      </c>
    </row>
    <row r="394" spans="1:8" x14ac:dyDescent="0.2">
      <c r="A394" s="14" t="s">
        <v>308</v>
      </c>
      <c r="B394" s="22" t="s">
        <v>353</v>
      </c>
      <c r="C394" s="25">
        <v>22.25</v>
      </c>
      <c r="D394" s="15">
        <v>16</v>
      </c>
      <c r="E394" s="26">
        <v>1.16449438202</v>
      </c>
      <c r="F394" s="25">
        <v>23.914285700000001</v>
      </c>
      <c r="G394" s="8">
        <v>41</v>
      </c>
      <c r="H394" s="26">
        <v>1.0834528076500001</v>
      </c>
    </row>
    <row r="395" spans="1:8" x14ac:dyDescent="0.2">
      <c r="A395" s="14" t="s">
        <v>308</v>
      </c>
      <c r="B395" s="22" t="s">
        <v>354</v>
      </c>
      <c r="C395" s="25">
        <v>618.37588240000002</v>
      </c>
      <c r="D395" s="15">
        <v>17</v>
      </c>
      <c r="E395" s="26">
        <v>0.21693639601</v>
      </c>
      <c r="F395" s="25">
        <v>578.77125000000001</v>
      </c>
      <c r="G395" s="8">
        <v>24</v>
      </c>
      <c r="H395" s="26">
        <v>0.21704940999</v>
      </c>
    </row>
    <row r="396" spans="1:8" x14ac:dyDescent="0.2">
      <c r="A396" s="14" t="s">
        <v>308</v>
      </c>
      <c r="B396" s="22" t="s">
        <v>355</v>
      </c>
      <c r="C396" s="27"/>
      <c r="D396" s="13"/>
      <c r="E396" s="28"/>
      <c r="F396" s="25">
        <v>113.0366667</v>
      </c>
      <c r="G396" s="8">
        <v>3</v>
      </c>
      <c r="H396" s="26">
        <v>0.23800831588999999</v>
      </c>
    </row>
    <row r="397" spans="1:8" x14ac:dyDescent="0.2">
      <c r="A397" s="14" t="s">
        <v>308</v>
      </c>
      <c r="B397" s="22" t="s">
        <v>356</v>
      </c>
      <c r="C397" s="25">
        <v>241.5316</v>
      </c>
      <c r="D397" s="15">
        <v>25</v>
      </c>
      <c r="E397" s="26">
        <v>0.21953417275000001</v>
      </c>
      <c r="F397" s="25">
        <v>214.04338240000001</v>
      </c>
      <c r="G397" s="8">
        <v>68</v>
      </c>
      <c r="H397" s="26">
        <v>0.22291722059999999</v>
      </c>
    </row>
    <row r="398" spans="1:8" x14ac:dyDescent="0.2">
      <c r="A398" s="14" t="s">
        <v>308</v>
      </c>
      <c r="B398" s="22" t="s">
        <v>357</v>
      </c>
      <c r="C398" s="25">
        <v>152.66666670000001</v>
      </c>
      <c r="D398" s="15">
        <v>6</v>
      </c>
      <c r="E398" s="26">
        <v>0.2281419214</v>
      </c>
      <c r="F398" s="25">
        <v>159.7363636</v>
      </c>
      <c r="G398" s="8">
        <v>11</v>
      </c>
      <c r="H398" s="26">
        <v>0.22491491661999999</v>
      </c>
    </row>
    <row r="399" spans="1:8" x14ac:dyDescent="0.2">
      <c r="A399" s="14" t="s">
        <v>308</v>
      </c>
      <c r="B399" s="22" t="s">
        <v>358</v>
      </c>
      <c r="C399" s="25">
        <v>108.59714289999999</v>
      </c>
      <c r="D399" s="15">
        <v>7</v>
      </c>
      <c r="E399" s="26">
        <v>0.25073009023999998</v>
      </c>
      <c r="F399" s="25">
        <v>108.59714289999999</v>
      </c>
      <c r="G399" s="8">
        <v>7</v>
      </c>
      <c r="H399" s="26">
        <v>0.25073009023999998</v>
      </c>
    </row>
    <row r="400" spans="1:8" x14ac:dyDescent="0.2">
      <c r="A400" s="14" t="s">
        <v>308</v>
      </c>
      <c r="B400" s="22" t="s">
        <v>359</v>
      </c>
      <c r="C400" s="25">
        <v>373.47333329999998</v>
      </c>
      <c r="D400" s="15">
        <v>3</v>
      </c>
      <c r="E400" s="26">
        <v>0.21803252351999999</v>
      </c>
      <c r="F400" s="25">
        <v>377.51</v>
      </c>
      <c r="G400" s="8">
        <v>9</v>
      </c>
      <c r="H400" s="26">
        <v>0.21800070050000001</v>
      </c>
    </row>
    <row r="401" spans="1:8" x14ac:dyDescent="0.2">
      <c r="A401" s="14" t="s">
        <v>308</v>
      </c>
      <c r="B401" s="22" t="s">
        <v>360</v>
      </c>
      <c r="C401" s="25">
        <v>251.86153849999999</v>
      </c>
      <c r="D401" s="15">
        <v>13</v>
      </c>
      <c r="E401" s="26">
        <v>0.21936014904000001</v>
      </c>
      <c r="F401" s="25">
        <v>240.41153850000001</v>
      </c>
      <c r="G401" s="8">
        <v>26</v>
      </c>
      <c r="H401" s="26">
        <v>0.22164813541</v>
      </c>
    </row>
    <row r="402" spans="1:8" x14ac:dyDescent="0.2">
      <c r="A402" s="14" t="s">
        <v>308</v>
      </c>
      <c r="B402" s="22" t="s">
        <v>361</v>
      </c>
      <c r="C402" s="25">
        <v>125.6925</v>
      </c>
      <c r="D402" s="15">
        <v>8</v>
      </c>
      <c r="E402" s="26">
        <v>0.24810847903</v>
      </c>
      <c r="F402" s="25">
        <v>125.6925</v>
      </c>
      <c r="G402" s="8">
        <v>8</v>
      </c>
      <c r="H402" s="26">
        <v>0.24810847903</v>
      </c>
    </row>
    <row r="403" spans="1:8" x14ac:dyDescent="0.2">
      <c r="A403" s="14" t="s">
        <v>308</v>
      </c>
      <c r="B403" s="22" t="s">
        <v>362</v>
      </c>
      <c r="C403" s="25">
        <v>64.963999999999999</v>
      </c>
      <c r="D403" s="15">
        <v>10</v>
      </c>
      <c r="E403" s="26">
        <v>0.39192937627000002</v>
      </c>
      <c r="F403" s="25">
        <v>58.310400000000001</v>
      </c>
      <c r="G403" s="8">
        <v>25</v>
      </c>
      <c r="H403" s="26">
        <v>0.44126810997999999</v>
      </c>
    </row>
    <row r="404" spans="1:8" x14ac:dyDescent="0.2">
      <c r="A404" s="14" t="s">
        <v>308</v>
      </c>
      <c r="B404" s="22" t="s">
        <v>363</v>
      </c>
      <c r="C404" s="25">
        <v>105.33333330000001</v>
      </c>
      <c r="D404" s="15">
        <v>4</v>
      </c>
      <c r="E404" s="26">
        <v>0.25009493670999999</v>
      </c>
      <c r="F404" s="25">
        <v>91.357142899999999</v>
      </c>
      <c r="G404" s="8">
        <v>10</v>
      </c>
      <c r="H404" s="26">
        <v>0.28353166536000002</v>
      </c>
    </row>
    <row r="405" spans="1:8" x14ac:dyDescent="0.2">
      <c r="A405" s="14" t="s">
        <v>308</v>
      </c>
      <c r="B405" s="22" t="s">
        <v>364</v>
      </c>
      <c r="C405" s="25">
        <v>234.16</v>
      </c>
      <c r="D405" s="15">
        <v>10</v>
      </c>
      <c r="E405" s="26">
        <v>0.21967671677</v>
      </c>
      <c r="F405" s="25">
        <v>220.55103449999999</v>
      </c>
      <c r="G405" s="8">
        <v>28</v>
      </c>
      <c r="H405" s="26">
        <v>0.22154540820999999</v>
      </c>
    </row>
    <row r="406" spans="1:8" x14ac:dyDescent="0.2">
      <c r="A406" s="14" t="s">
        <v>308</v>
      </c>
      <c r="B406" s="22" t="s">
        <v>365</v>
      </c>
      <c r="C406" s="25">
        <v>87.86</v>
      </c>
      <c r="D406" s="15">
        <v>1</v>
      </c>
      <c r="E406" s="26">
        <v>0.29490097882999999</v>
      </c>
      <c r="F406" s="25">
        <v>87.86</v>
      </c>
      <c r="G406" s="8">
        <v>1</v>
      </c>
      <c r="H406" s="26">
        <v>0.29490097882999999</v>
      </c>
    </row>
    <row r="407" spans="1:8" x14ac:dyDescent="0.2">
      <c r="A407" s="14" t="s">
        <v>308</v>
      </c>
      <c r="B407" s="22" t="s">
        <v>366</v>
      </c>
      <c r="C407" s="25">
        <v>135.87375</v>
      </c>
      <c r="D407" s="15">
        <v>16</v>
      </c>
      <c r="E407" s="26">
        <v>0.22653014287000001</v>
      </c>
      <c r="F407" s="25">
        <v>144.46789469999999</v>
      </c>
      <c r="G407" s="8">
        <v>37</v>
      </c>
      <c r="H407" s="26">
        <v>0.22385705802</v>
      </c>
    </row>
    <row r="408" spans="1:8" x14ac:dyDescent="0.2">
      <c r="A408" s="14" t="s">
        <v>308</v>
      </c>
      <c r="B408" s="22" t="s">
        <v>367</v>
      </c>
      <c r="C408" s="25">
        <v>21.3371429</v>
      </c>
      <c r="D408" s="15">
        <v>7</v>
      </c>
      <c r="E408" s="26">
        <v>1.2143144081399999</v>
      </c>
      <c r="F408" s="25">
        <v>18.279375000000002</v>
      </c>
      <c r="G408" s="8">
        <v>16</v>
      </c>
      <c r="H408" s="26">
        <v>1.41744452422</v>
      </c>
    </row>
    <row r="409" spans="1:8" x14ac:dyDescent="0.2">
      <c r="A409" s="14" t="s">
        <v>308</v>
      </c>
      <c r="B409" s="22" t="s">
        <v>368</v>
      </c>
      <c r="C409" s="25">
        <v>283.79928569999998</v>
      </c>
      <c r="D409" s="15">
        <v>14</v>
      </c>
      <c r="E409" s="26">
        <v>0.22061643163</v>
      </c>
      <c r="F409" s="25">
        <v>265.36488370000001</v>
      </c>
      <c r="G409" s="8">
        <v>43</v>
      </c>
      <c r="H409" s="26">
        <v>0.22495870101000001</v>
      </c>
    </row>
    <row r="410" spans="1:8" x14ac:dyDescent="0.2">
      <c r="A410" s="14" t="s">
        <v>308</v>
      </c>
      <c r="B410" s="22" t="s">
        <v>369</v>
      </c>
      <c r="C410" s="25">
        <v>225.4375</v>
      </c>
      <c r="D410" s="15">
        <v>8</v>
      </c>
      <c r="E410" s="26">
        <v>0.22592237316</v>
      </c>
      <c r="F410" s="25">
        <v>237.68333329999999</v>
      </c>
      <c r="G410" s="8">
        <v>33</v>
      </c>
      <c r="H410" s="26">
        <v>0.22261348497</v>
      </c>
    </row>
    <row r="411" spans="1:8" x14ac:dyDescent="0.2">
      <c r="A411" s="14" t="s">
        <v>308</v>
      </c>
      <c r="B411" s="22" t="s">
        <v>370</v>
      </c>
      <c r="C411" s="25">
        <v>409.0025</v>
      </c>
      <c r="D411" s="15">
        <v>8</v>
      </c>
      <c r="E411" s="26">
        <v>0.2177865661</v>
      </c>
      <c r="F411" s="25">
        <v>260.948125</v>
      </c>
      <c r="G411" s="8">
        <v>16</v>
      </c>
      <c r="H411" s="26">
        <v>0.22879762980000001</v>
      </c>
    </row>
    <row r="412" spans="1:8" x14ac:dyDescent="0.2">
      <c r="A412" s="14" t="s">
        <v>308</v>
      </c>
      <c r="B412" s="22" t="s">
        <v>371</v>
      </c>
      <c r="C412" s="25">
        <v>73.703846200000001</v>
      </c>
      <c r="D412" s="15">
        <v>13</v>
      </c>
      <c r="E412" s="26">
        <v>0.35548296196000001</v>
      </c>
      <c r="F412" s="25">
        <v>97.706060600000001</v>
      </c>
      <c r="G412" s="8">
        <v>33</v>
      </c>
      <c r="H412" s="26">
        <v>0.29587879540000001</v>
      </c>
    </row>
    <row r="413" spans="1:8" x14ac:dyDescent="0.2">
      <c r="A413" s="14" t="s">
        <v>308</v>
      </c>
      <c r="B413" s="22" t="s">
        <v>372</v>
      </c>
      <c r="C413" s="25">
        <v>121.065</v>
      </c>
      <c r="D413" s="15">
        <v>8</v>
      </c>
      <c r="E413" s="26">
        <v>0.22756990047</v>
      </c>
      <c r="F413" s="25">
        <v>99.060434799999996</v>
      </c>
      <c r="G413" s="8">
        <v>23</v>
      </c>
      <c r="H413" s="26">
        <v>0.26521096037000003</v>
      </c>
    </row>
    <row r="414" spans="1:8" x14ac:dyDescent="0.2">
      <c r="A414" s="14" t="s">
        <v>308</v>
      </c>
      <c r="B414" s="22" t="s">
        <v>373</v>
      </c>
      <c r="C414" s="25">
        <v>488.05399999999997</v>
      </c>
      <c r="D414" s="15">
        <v>5</v>
      </c>
      <c r="E414" s="26">
        <v>0.21738045380000001</v>
      </c>
      <c r="F414" s="25">
        <v>488.05399999999997</v>
      </c>
      <c r="G414" s="8">
        <v>5</v>
      </c>
      <c r="H414" s="26">
        <v>0.21738045380000001</v>
      </c>
    </row>
    <row r="415" spans="1:8" x14ac:dyDescent="0.2">
      <c r="A415" s="14" t="s">
        <v>308</v>
      </c>
      <c r="B415" s="22" t="s">
        <v>374</v>
      </c>
      <c r="C415" s="25">
        <v>138.8233333</v>
      </c>
      <c r="D415" s="15">
        <v>3</v>
      </c>
      <c r="E415" s="26">
        <v>0.23645880856000001</v>
      </c>
      <c r="F415" s="25">
        <v>138.8233333</v>
      </c>
      <c r="G415" s="8">
        <v>3</v>
      </c>
      <c r="H415" s="26">
        <v>0.23645880856000001</v>
      </c>
    </row>
    <row r="416" spans="1:8" x14ac:dyDescent="0.2">
      <c r="A416" s="14" t="s">
        <v>308</v>
      </c>
      <c r="B416" s="22" t="s">
        <v>375</v>
      </c>
      <c r="C416" s="25">
        <v>81.538749999999993</v>
      </c>
      <c r="D416" s="15">
        <v>24</v>
      </c>
      <c r="E416" s="26">
        <v>0.34666441824999999</v>
      </c>
      <c r="F416" s="25">
        <v>90.053214299999993</v>
      </c>
      <c r="G416" s="8">
        <v>56</v>
      </c>
      <c r="H416" s="26">
        <v>0.32217994122999999</v>
      </c>
    </row>
    <row r="417" spans="1:8" x14ac:dyDescent="0.2">
      <c r="A417" s="14" t="s">
        <v>308</v>
      </c>
      <c r="B417" s="22" t="s">
        <v>376</v>
      </c>
      <c r="C417" s="27"/>
      <c r="D417" s="13"/>
      <c r="E417" s="28"/>
      <c r="F417" s="25">
        <v>13.59</v>
      </c>
      <c r="G417" s="8">
        <v>1</v>
      </c>
      <c r="H417" s="26">
        <v>1.9065489330400001</v>
      </c>
    </row>
    <row r="418" spans="1:8" x14ac:dyDescent="0.2">
      <c r="A418" s="14" t="s">
        <v>308</v>
      </c>
      <c r="B418" s="22" t="s">
        <v>377</v>
      </c>
      <c r="C418" s="27"/>
      <c r="D418" s="13"/>
      <c r="E418" s="28"/>
      <c r="F418" s="25">
        <v>24.551428600000001</v>
      </c>
      <c r="G418" s="8">
        <v>7</v>
      </c>
      <c r="H418" s="26">
        <v>1.0553357383899999</v>
      </c>
    </row>
    <row r="419" spans="1:8" x14ac:dyDescent="0.2">
      <c r="A419" s="14" t="s">
        <v>308</v>
      </c>
      <c r="B419" s="22" t="s">
        <v>378</v>
      </c>
      <c r="C419" s="25">
        <v>26.152916699999999</v>
      </c>
      <c r="D419" s="15">
        <v>23</v>
      </c>
      <c r="E419" s="26">
        <v>0.99071167969999996</v>
      </c>
      <c r="F419" s="25">
        <v>30.054285700000001</v>
      </c>
      <c r="G419" s="8">
        <v>55</v>
      </c>
      <c r="H419" s="26">
        <v>0.86210666413000003</v>
      </c>
    </row>
    <row r="420" spans="1:8" x14ac:dyDescent="0.2">
      <c r="A420" s="14" t="s">
        <v>308</v>
      </c>
      <c r="B420" s="22" t="s">
        <v>379</v>
      </c>
      <c r="C420" s="27"/>
      <c r="D420" s="13"/>
      <c r="E420" s="28"/>
      <c r="F420" s="25">
        <v>176.9</v>
      </c>
      <c r="G420" s="8">
        <v>1</v>
      </c>
      <c r="H420" s="26">
        <v>0.22109666478000001</v>
      </c>
    </row>
    <row r="421" spans="1:8" x14ac:dyDescent="0.2">
      <c r="A421" s="14" t="s">
        <v>308</v>
      </c>
      <c r="B421" s="22" t="s">
        <v>380</v>
      </c>
      <c r="C421" s="27"/>
      <c r="D421" s="13"/>
      <c r="E421" s="28"/>
      <c r="F421" s="25">
        <v>176.25</v>
      </c>
      <c r="G421" s="8">
        <v>1</v>
      </c>
      <c r="H421" s="26">
        <v>0.22114042552999999</v>
      </c>
    </row>
    <row r="422" spans="1:8" x14ac:dyDescent="0.2">
      <c r="A422" s="14" t="s">
        <v>308</v>
      </c>
      <c r="B422" s="22" t="s">
        <v>381</v>
      </c>
      <c r="C422" s="25">
        <v>14.576666700000001</v>
      </c>
      <c r="D422" s="15">
        <v>3</v>
      </c>
      <c r="E422" s="26">
        <v>1.7774982849300001</v>
      </c>
      <c r="F422" s="25">
        <v>18.456190500000002</v>
      </c>
      <c r="G422" s="8">
        <v>21</v>
      </c>
      <c r="H422" s="26">
        <v>1.40386500851</v>
      </c>
    </row>
    <row r="423" spans="1:8" x14ac:dyDescent="0.2">
      <c r="A423" s="14" t="s">
        <v>308</v>
      </c>
      <c r="B423" s="22" t="s">
        <v>382</v>
      </c>
      <c r="C423" s="27"/>
      <c r="D423" s="13"/>
      <c r="E423" s="28"/>
      <c r="F423" s="25">
        <v>182.04</v>
      </c>
      <c r="G423" s="8">
        <v>1</v>
      </c>
      <c r="H423" s="26">
        <v>0.22091847946000001</v>
      </c>
    </row>
    <row r="424" spans="1:8" x14ac:dyDescent="0.2">
      <c r="A424" s="14" t="s">
        <v>308</v>
      </c>
      <c r="B424" s="22" t="s">
        <v>383</v>
      </c>
      <c r="C424" s="27"/>
      <c r="D424" s="13"/>
      <c r="E424" s="28"/>
      <c r="F424" s="25">
        <v>31.692499999999999</v>
      </c>
      <c r="G424" s="8">
        <v>4</v>
      </c>
      <c r="H424" s="26">
        <v>0.81754358286999995</v>
      </c>
    </row>
    <row r="425" spans="1:8" x14ac:dyDescent="0.2">
      <c r="A425" s="14" t="s">
        <v>308</v>
      </c>
      <c r="B425" s="22" t="s">
        <v>384</v>
      </c>
      <c r="C425" s="25">
        <v>30.38</v>
      </c>
      <c r="D425" s="15">
        <v>1</v>
      </c>
      <c r="E425" s="26">
        <v>0.85286372613999994</v>
      </c>
      <c r="F425" s="25">
        <v>35.533888900000001</v>
      </c>
      <c r="G425" s="8">
        <v>18</v>
      </c>
      <c r="H425" s="26">
        <v>0.72916308375000005</v>
      </c>
    </row>
    <row r="426" spans="1:8" x14ac:dyDescent="0.2">
      <c r="A426" s="14" t="s">
        <v>308</v>
      </c>
      <c r="B426" s="22" t="s">
        <v>385</v>
      </c>
      <c r="C426" s="25">
        <v>6.6666667000000004</v>
      </c>
      <c r="D426" s="15">
        <v>3</v>
      </c>
      <c r="E426" s="26">
        <v>3.8864999999999998</v>
      </c>
      <c r="F426" s="25">
        <v>6.6666667000000004</v>
      </c>
      <c r="G426" s="8">
        <v>3</v>
      </c>
      <c r="H426" s="26">
        <v>3.8864999999999998</v>
      </c>
    </row>
    <row r="427" spans="1:8" x14ac:dyDescent="0.2">
      <c r="A427" s="14" t="s">
        <v>308</v>
      </c>
      <c r="B427" s="22" t="s">
        <v>386</v>
      </c>
      <c r="C427" s="25">
        <v>96.9808333</v>
      </c>
      <c r="D427" s="15">
        <v>11</v>
      </c>
      <c r="E427" s="26">
        <v>0.26540381690999998</v>
      </c>
      <c r="F427" s="25">
        <v>103.04875</v>
      </c>
      <c r="G427" s="8">
        <v>22</v>
      </c>
      <c r="H427" s="26">
        <v>0.25689782748000001</v>
      </c>
    </row>
    <row r="428" spans="1:8" x14ac:dyDescent="0.2">
      <c r="A428" s="14" t="s">
        <v>308</v>
      </c>
      <c r="B428" s="22" t="s">
        <v>387</v>
      </c>
      <c r="C428" s="25">
        <v>140.43199999999999</v>
      </c>
      <c r="D428" s="15">
        <v>5</v>
      </c>
      <c r="E428" s="26">
        <v>0.22260168623000001</v>
      </c>
      <c r="F428" s="25">
        <v>138.57900000000001</v>
      </c>
      <c r="G428" s="8">
        <v>10</v>
      </c>
      <c r="H428" s="26">
        <v>0.22269607949</v>
      </c>
    </row>
    <row r="429" spans="1:8" x14ac:dyDescent="0.2">
      <c r="A429" s="14" t="s">
        <v>308</v>
      </c>
      <c r="B429" s="22" t="s">
        <v>388</v>
      </c>
      <c r="C429" s="25">
        <v>174.38631580000001</v>
      </c>
      <c r="D429" s="15">
        <v>19</v>
      </c>
      <c r="E429" s="26">
        <v>0.22737087047999999</v>
      </c>
      <c r="F429" s="25">
        <v>148.84916670000001</v>
      </c>
      <c r="G429" s="8">
        <v>48</v>
      </c>
      <c r="H429" s="26">
        <v>0.24185305034999999</v>
      </c>
    </row>
    <row r="430" spans="1:8" x14ac:dyDescent="0.2">
      <c r="A430" s="14" t="s">
        <v>308</v>
      </c>
      <c r="B430" s="22" t="s">
        <v>389</v>
      </c>
      <c r="C430" s="25">
        <v>56.04</v>
      </c>
      <c r="D430" s="15">
        <v>11</v>
      </c>
      <c r="E430" s="26">
        <v>0.46234832262999997</v>
      </c>
      <c r="F430" s="25">
        <v>67.068620699999997</v>
      </c>
      <c r="G430" s="8">
        <v>28</v>
      </c>
      <c r="H430" s="26">
        <v>0.38529504007999998</v>
      </c>
    </row>
    <row r="431" spans="1:8" x14ac:dyDescent="0.2">
      <c r="A431" s="14" t="s">
        <v>308</v>
      </c>
      <c r="B431" s="22" t="s">
        <v>390</v>
      </c>
      <c r="C431" s="25">
        <v>446.32600000000002</v>
      </c>
      <c r="D431" s="15">
        <v>25</v>
      </c>
      <c r="E431" s="26">
        <v>0.21758051289999999</v>
      </c>
      <c r="F431" s="25">
        <v>452.48730769999997</v>
      </c>
      <c r="G431" s="8">
        <v>26</v>
      </c>
      <c r="H431" s="26">
        <v>0.21754872852000001</v>
      </c>
    </row>
    <row r="432" spans="1:8" x14ac:dyDescent="0.2">
      <c r="A432" s="14" t="s">
        <v>308</v>
      </c>
      <c r="B432" s="22" t="s">
        <v>391</v>
      </c>
      <c r="C432" s="25">
        <v>245.4</v>
      </c>
      <c r="D432" s="15">
        <v>1</v>
      </c>
      <c r="E432" s="26">
        <v>0.21947432762999999</v>
      </c>
      <c r="F432" s="25">
        <v>245.4</v>
      </c>
      <c r="G432" s="8">
        <v>1</v>
      </c>
      <c r="H432" s="26">
        <v>0.21947432762999999</v>
      </c>
    </row>
    <row r="433" spans="1:8" x14ac:dyDescent="0.2">
      <c r="A433" s="14" t="s">
        <v>308</v>
      </c>
      <c r="B433" s="22" t="s">
        <v>392</v>
      </c>
      <c r="C433" s="27"/>
      <c r="D433" s="13"/>
      <c r="E433" s="28"/>
      <c r="F433" s="25">
        <v>77.47</v>
      </c>
      <c r="G433" s="8">
        <v>1</v>
      </c>
      <c r="H433" s="26">
        <v>0.33445204595</v>
      </c>
    </row>
    <row r="434" spans="1:8" x14ac:dyDescent="0.2">
      <c r="A434" s="14" t="s">
        <v>308</v>
      </c>
      <c r="B434" s="22" t="s">
        <v>393</v>
      </c>
      <c r="C434" s="27"/>
      <c r="D434" s="13"/>
      <c r="E434" s="28"/>
      <c r="F434" s="25">
        <v>317.73</v>
      </c>
      <c r="G434" s="8">
        <v>1</v>
      </c>
      <c r="H434" s="26">
        <v>0.21850627891999999</v>
      </c>
    </row>
    <row r="435" spans="1:8" x14ac:dyDescent="0.2">
      <c r="A435" s="14" t="s">
        <v>308</v>
      </c>
      <c r="B435" s="22" t="s">
        <v>394</v>
      </c>
      <c r="C435" s="27"/>
      <c r="D435" s="13"/>
      <c r="E435" s="28"/>
      <c r="F435" s="25">
        <v>18.600000000000001</v>
      </c>
      <c r="G435" s="8">
        <v>2</v>
      </c>
      <c r="H435" s="26">
        <v>1.39301075269</v>
      </c>
    </row>
    <row r="436" spans="1:8" x14ac:dyDescent="0.2">
      <c r="A436" s="14" t="s">
        <v>308</v>
      </c>
      <c r="B436" s="22" t="s">
        <v>395</v>
      </c>
      <c r="C436" s="27"/>
      <c r="D436" s="13"/>
      <c r="E436" s="28"/>
      <c r="F436" s="25">
        <v>175.12</v>
      </c>
      <c r="G436" s="8">
        <v>1</v>
      </c>
      <c r="H436" s="26">
        <v>0.22116263134</v>
      </c>
    </row>
    <row r="437" spans="1:8" x14ac:dyDescent="0.2">
      <c r="A437" s="14" t="s">
        <v>308</v>
      </c>
      <c r="B437" s="22" t="s">
        <v>396</v>
      </c>
      <c r="C437" s="25">
        <v>127.2445455</v>
      </c>
      <c r="D437" s="15">
        <v>22</v>
      </c>
      <c r="E437" s="26">
        <v>0.24085511792</v>
      </c>
      <c r="F437" s="25">
        <v>136.28461540000001</v>
      </c>
      <c r="G437" s="8">
        <v>52</v>
      </c>
      <c r="H437" s="26">
        <v>0.23963424958999999</v>
      </c>
    </row>
    <row r="438" spans="1:8" x14ac:dyDescent="0.2">
      <c r="A438" s="14" t="s">
        <v>308</v>
      </c>
      <c r="B438" s="22" t="s">
        <v>397</v>
      </c>
      <c r="C438" s="27"/>
      <c r="D438" s="13"/>
      <c r="E438" s="28"/>
      <c r="F438" s="25">
        <v>612.476</v>
      </c>
      <c r="G438" s="8">
        <v>5</v>
      </c>
      <c r="H438" s="26">
        <v>0.22082530581000001</v>
      </c>
    </row>
    <row r="439" spans="1:8" x14ac:dyDescent="0.2">
      <c r="A439" s="14" t="s">
        <v>308</v>
      </c>
      <c r="B439" s="22" t="s">
        <v>398</v>
      </c>
      <c r="C439" s="25">
        <v>328.30647060000001</v>
      </c>
      <c r="D439" s="15">
        <v>17</v>
      </c>
      <c r="E439" s="26">
        <v>0.21967100324</v>
      </c>
      <c r="F439" s="25">
        <v>338.69749999999999</v>
      </c>
      <c r="G439" s="8">
        <v>40</v>
      </c>
      <c r="H439" s="26">
        <v>0.21883221754000001</v>
      </c>
    </row>
    <row r="440" spans="1:8" x14ac:dyDescent="0.2">
      <c r="A440" s="14" t="s">
        <v>308</v>
      </c>
      <c r="B440" s="22" t="s">
        <v>399</v>
      </c>
      <c r="C440" s="25">
        <v>250.2021622</v>
      </c>
      <c r="D440" s="15">
        <v>37</v>
      </c>
      <c r="E440" s="26">
        <v>0.22222483873000001</v>
      </c>
      <c r="F440" s="25">
        <v>223.70750000000001</v>
      </c>
      <c r="G440" s="8">
        <v>92</v>
      </c>
      <c r="H440" s="26">
        <v>0.22388328315</v>
      </c>
    </row>
    <row r="441" spans="1:8" x14ac:dyDescent="0.2">
      <c r="A441" s="14" t="s">
        <v>308</v>
      </c>
      <c r="B441" s="22" t="s">
        <v>400</v>
      </c>
      <c r="C441" s="25">
        <v>214.6</v>
      </c>
      <c r="D441" s="15">
        <v>2</v>
      </c>
      <c r="E441" s="26">
        <v>0.22006756757000001</v>
      </c>
      <c r="F441" s="25">
        <v>174.0166667</v>
      </c>
      <c r="G441" s="8">
        <v>18</v>
      </c>
      <c r="H441" s="26">
        <v>0.22387861953999999</v>
      </c>
    </row>
    <row r="442" spans="1:8" x14ac:dyDescent="0.2">
      <c r="A442" s="14" t="s">
        <v>308</v>
      </c>
      <c r="B442" s="22" t="s">
        <v>401</v>
      </c>
      <c r="C442" s="25">
        <v>285.98250000000002</v>
      </c>
      <c r="D442" s="15">
        <v>8</v>
      </c>
      <c r="E442" s="26">
        <v>0.21887877754999999</v>
      </c>
      <c r="F442" s="25">
        <v>227.25294120000001</v>
      </c>
      <c r="G442" s="8">
        <v>17</v>
      </c>
      <c r="H442" s="26">
        <v>0.21980457121999999</v>
      </c>
    </row>
    <row r="443" spans="1:8" x14ac:dyDescent="0.2">
      <c r="A443" s="14" t="s">
        <v>308</v>
      </c>
      <c r="B443" s="22" t="s">
        <v>402</v>
      </c>
      <c r="C443" s="25">
        <v>150.52555559999999</v>
      </c>
      <c r="D443" s="15">
        <v>9</v>
      </c>
      <c r="E443" s="26">
        <v>0.22541392012</v>
      </c>
      <c r="F443" s="25">
        <v>184.36805559999999</v>
      </c>
      <c r="G443" s="8">
        <v>36</v>
      </c>
      <c r="H443" s="26">
        <v>0.2262408377</v>
      </c>
    </row>
    <row r="444" spans="1:8" x14ac:dyDescent="0.2">
      <c r="A444" s="14" t="s">
        <v>308</v>
      </c>
      <c r="B444" s="22" t="s">
        <v>403</v>
      </c>
      <c r="C444" s="25">
        <v>258.72857140000002</v>
      </c>
      <c r="D444" s="15">
        <v>14</v>
      </c>
      <c r="E444" s="26">
        <v>0.22503036828</v>
      </c>
      <c r="F444" s="25">
        <v>242.2435897</v>
      </c>
      <c r="G444" s="8">
        <v>39</v>
      </c>
      <c r="H444" s="26">
        <v>0.22173802593</v>
      </c>
    </row>
    <row r="445" spans="1:8" x14ac:dyDescent="0.2">
      <c r="A445" s="14" t="s">
        <v>308</v>
      </c>
      <c r="B445" s="22" t="s">
        <v>404</v>
      </c>
      <c r="C445" s="25">
        <v>234.71285710000001</v>
      </c>
      <c r="D445" s="15">
        <v>7</v>
      </c>
      <c r="E445" s="26">
        <v>0.22379320628999999</v>
      </c>
      <c r="F445" s="25">
        <v>387.07888889999998</v>
      </c>
      <c r="G445" s="8">
        <v>18</v>
      </c>
      <c r="H445" s="26">
        <v>0.21890685504999999</v>
      </c>
    </row>
    <row r="446" spans="1:8" x14ac:dyDescent="0.2">
      <c r="A446" s="14" t="s">
        <v>308</v>
      </c>
      <c r="B446" s="22" t="s">
        <v>405</v>
      </c>
      <c r="C446" s="25">
        <v>436.35</v>
      </c>
      <c r="D446" s="15">
        <v>18</v>
      </c>
      <c r="E446" s="26">
        <v>0.21763250703000001</v>
      </c>
      <c r="F446" s="25">
        <v>395.84326090000002</v>
      </c>
      <c r="G446" s="8">
        <v>46</v>
      </c>
      <c r="H446" s="26">
        <v>0.21787345561999999</v>
      </c>
    </row>
    <row r="447" spans="1:8" x14ac:dyDescent="0.2">
      <c r="A447" s="14" t="s">
        <v>308</v>
      </c>
      <c r="B447" s="22" t="s">
        <v>47</v>
      </c>
      <c r="C447" s="25">
        <v>191.32</v>
      </c>
      <c r="D447" s="15">
        <v>1</v>
      </c>
      <c r="E447" s="26">
        <v>0.22065649173999999</v>
      </c>
      <c r="F447" s="25">
        <v>143.93199999999999</v>
      </c>
      <c r="G447" s="8">
        <v>5</v>
      </c>
      <c r="H447" s="26">
        <v>0.23626017841999999</v>
      </c>
    </row>
    <row r="448" spans="1:8" x14ac:dyDescent="0.2">
      <c r="A448" s="14" t="s">
        <v>308</v>
      </c>
      <c r="B448" s="22" t="s">
        <v>406</v>
      </c>
      <c r="C448" s="25">
        <v>58.15</v>
      </c>
      <c r="D448" s="15">
        <v>2</v>
      </c>
      <c r="E448" s="26">
        <v>0.44557179708</v>
      </c>
      <c r="F448" s="25">
        <v>58.15</v>
      </c>
      <c r="G448" s="8">
        <v>2</v>
      </c>
      <c r="H448" s="26">
        <v>0.44557179708</v>
      </c>
    </row>
    <row r="449" spans="1:8" x14ac:dyDescent="0.2">
      <c r="A449" s="14" t="s">
        <v>308</v>
      </c>
      <c r="B449" s="22" t="s">
        <v>407</v>
      </c>
      <c r="C449" s="25">
        <v>47.951818199999998</v>
      </c>
      <c r="D449" s="15">
        <v>11</v>
      </c>
      <c r="E449" s="26">
        <v>0.54033404743000002</v>
      </c>
      <c r="F449" s="25">
        <v>57.897804899999997</v>
      </c>
      <c r="G449" s="8">
        <v>41</v>
      </c>
      <c r="H449" s="26">
        <v>0.45518638813000001</v>
      </c>
    </row>
    <row r="450" spans="1:8" x14ac:dyDescent="0.2">
      <c r="A450" s="14" t="s">
        <v>308</v>
      </c>
      <c r="B450" s="22" t="s">
        <v>408</v>
      </c>
      <c r="C450" s="27"/>
      <c r="D450" s="13"/>
      <c r="E450" s="28"/>
      <c r="F450" s="25">
        <v>176.78666670000001</v>
      </c>
      <c r="G450" s="8">
        <v>12</v>
      </c>
      <c r="H450" s="26">
        <v>0.22837176635000001</v>
      </c>
    </row>
    <row r="451" spans="1:8" x14ac:dyDescent="0.2">
      <c r="A451" s="14" t="s">
        <v>308</v>
      </c>
      <c r="B451" s="22" t="s">
        <v>409</v>
      </c>
      <c r="C451" s="25">
        <v>77.534285699999998</v>
      </c>
      <c r="D451" s="15">
        <v>21</v>
      </c>
      <c r="E451" s="26">
        <v>0.33421343552999999</v>
      </c>
      <c r="F451" s="25">
        <v>77.580689699999994</v>
      </c>
      <c r="G451" s="8">
        <v>58</v>
      </c>
      <c r="H451" s="26">
        <v>0.33367172776999998</v>
      </c>
    </row>
    <row r="452" spans="1:8" x14ac:dyDescent="0.2">
      <c r="A452" s="14" t="s">
        <v>308</v>
      </c>
      <c r="B452" s="22" t="s">
        <v>410</v>
      </c>
      <c r="C452" s="27"/>
      <c r="D452" s="13"/>
      <c r="E452" s="28"/>
      <c r="F452" s="25">
        <v>154.37200000000001</v>
      </c>
      <c r="G452" s="8">
        <v>5</v>
      </c>
      <c r="H452" s="26">
        <v>0.24642033528999999</v>
      </c>
    </row>
    <row r="453" spans="1:8" x14ac:dyDescent="0.2">
      <c r="A453" s="14" t="s">
        <v>308</v>
      </c>
      <c r="B453" s="22" t="s">
        <v>411</v>
      </c>
      <c r="C453" s="25">
        <v>180.94571429999999</v>
      </c>
      <c r="D453" s="15">
        <v>14</v>
      </c>
      <c r="E453" s="26">
        <v>0.22096485133999999</v>
      </c>
      <c r="F453" s="25">
        <v>171.1394737</v>
      </c>
      <c r="G453" s="8">
        <v>38</v>
      </c>
      <c r="H453" s="26">
        <v>0.22272323282000001</v>
      </c>
    </row>
    <row r="454" spans="1:8" x14ac:dyDescent="0.2">
      <c r="A454" s="14" t="s">
        <v>308</v>
      </c>
      <c r="B454" s="22" t="s">
        <v>412</v>
      </c>
      <c r="C454" s="25">
        <v>192.00375</v>
      </c>
      <c r="D454" s="15">
        <v>8</v>
      </c>
      <c r="E454" s="26">
        <v>0.22063436261</v>
      </c>
      <c r="F454" s="25">
        <v>197.4109091</v>
      </c>
      <c r="G454" s="8">
        <v>11</v>
      </c>
      <c r="H454" s="26">
        <v>0.22048979517</v>
      </c>
    </row>
    <row r="455" spans="1:8" x14ac:dyDescent="0.2">
      <c r="A455" s="14" t="s">
        <v>308</v>
      </c>
      <c r="B455" s="22" t="s">
        <v>413</v>
      </c>
      <c r="C455" s="25">
        <v>115.0077778</v>
      </c>
      <c r="D455" s="15">
        <v>18</v>
      </c>
      <c r="E455" s="26">
        <v>0.24358207657</v>
      </c>
      <c r="F455" s="25">
        <v>114.25404760000001</v>
      </c>
      <c r="G455" s="8">
        <v>42</v>
      </c>
      <c r="H455" s="26">
        <v>0.24492515635000001</v>
      </c>
    </row>
    <row r="456" spans="1:8" x14ac:dyDescent="0.2">
      <c r="A456" s="14" t="s">
        <v>308</v>
      </c>
      <c r="B456" s="22" t="s">
        <v>414</v>
      </c>
      <c r="C456" s="25">
        <v>161.47999999999999</v>
      </c>
      <c r="D456" s="15">
        <v>2</v>
      </c>
      <c r="E456" s="26">
        <v>0.2216652217</v>
      </c>
      <c r="F456" s="25">
        <v>172.00333330000001</v>
      </c>
      <c r="G456" s="8">
        <v>3</v>
      </c>
      <c r="H456" s="26">
        <v>0.22126702971000001</v>
      </c>
    </row>
    <row r="457" spans="1:8" x14ac:dyDescent="0.2">
      <c r="A457" s="14" t="s">
        <v>308</v>
      </c>
      <c r="B457" s="22" t="s">
        <v>415</v>
      </c>
      <c r="C457" s="25">
        <v>135.27925930000001</v>
      </c>
      <c r="D457" s="15">
        <v>27</v>
      </c>
      <c r="E457" s="26">
        <v>0.23140609001000001</v>
      </c>
      <c r="F457" s="25">
        <v>134.848806</v>
      </c>
      <c r="G457" s="8">
        <v>67</v>
      </c>
      <c r="H457" s="26">
        <v>0.23715449143</v>
      </c>
    </row>
    <row r="458" spans="1:8" x14ac:dyDescent="0.2">
      <c r="A458" s="14" t="s">
        <v>308</v>
      </c>
      <c r="B458" s="22" t="s">
        <v>416</v>
      </c>
      <c r="C458" s="25">
        <v>81.713333300000002</v>
      </c>
      <c r="D458" s="15">
        <v>9</v>
      </c>
      <c r="E458" s="26">
        <v>0.31754099697999999</v>
      </c>
      <c r="F458" s="25">
        <v>98.121333300000003</v>
      </c>
      <c r="G458" s="8">
        <v>15</v>
      </c>
      <c r="H458" s="26">
        <v>0.28062466877999998</v>
      </c>
    </row>
    <row r="459" spans="1:8" x14ac:dyDescent="0.2">
      <c r="A459" s="14" t="s">
        <v>308</v>
      </c>
      <c r="B459" s="22" t="s">
        <v>417</v>
      </c>
      <c r="C459" s="25">
        <v>45.32</v>
      </c>
      <c r="D459" s="15">
        <v>1</v>
      </c>
      <c r="E459" s="26">
        <v>0.57171226830999999</v>
      </c>
      <c r="F459" s="25">
        <v>45.32</v>
      </c>
      <c r="G459" s="8">
        <v>1</v>
      </c>
      <c r="H459" s="26">
        <v>0.57171226830999999</v>
      </c>
    </row>
    <row r="460" spans="1:8" x14ac:dyDescent="0.2">
      <c r="A460" s="14" t="s">
        <v>308</v>
      </c>
      <c r="B460" s="22" t="s">
        <v>284</v>
      </c>
      <c r="C460" s="25">
        <v>40.6</v>
      </c>
      <c r="D460" s="15">
        <v>1</v>
      </c>
      <c r="E460" s="26">
        <v>0.63817733990000003</v>
      </c>
      <c r="F460" s="25">
        <v>40.6</v>
      </c>
      <c r="G460" s="8">
        <v>1</v>
      </c>
      <c r="H460" s="26">
        <v>0.63817733990000003</v>
      </c>
    </row>
    <row r="461" spans="1:8" x14ac:dyDescent="0.2">
      <c r="A461" s="14" t="s">
        <v>308</v>
      </c>
      <c r="B461" s="22" t="s">
        <v>418</v>
      </c>
      <c r="C461" s="25">
        <v>152.1777778</v>
      </c>
      <c r="D461" s="15">
        <v>9</v>
      </c>
      <c r="E461" s="26">
        <v>0.23226197430000001</v>
      </c>
      <c r="F461" s="25">
        <v>143.96777779999999</v>
      </c>
      <c r="G461" s="8">
        <v>18</v>
      </c>
      <c r="H461" s="26">
        <v>0.23819064450999999</v>
      </c>
    </row>
    <row r="462" spans="1:8" x14ac:dyDescent="0.2">
      <c r="A462" s="14" t="s">
        <v>308</v>
      </c>
      <c r="B462" s="22" t="s">
        <v>419</v>
      </c>
      <c r="C462" s="25">
        <v>493.95</v>
      </c>
      <c r="D462" s="15">
        <v>4</v>
      </c>
      <c r="E462" s="26">
        <v>0.21735145257999999</v>
      </c>
      <c r="F462" s="25">
        <v>376.85714289999999</v>
      </c>
      <c r="G462" s="8">
        <v>7</v>
      </c>
      <c r="H462" s="26">
        <v>0.2211884003</v>
      </c>
    </row>
    <row r="463" spans="1:8" x14ac:dyDescent="0.2">
      <c r="A463" s="14" t="s">
        <v>308</v>
      </c>
      <c r="B463" s="22" t="s">
        <v>420</v>
      </c>
      <c r="C463" s="25">
        <v>142.52090910000001</v>
      </c>
      <c r="D463" s="15">
        <v>11</v>
      </c>
      <c r="E463" s="26">
        <v>0.22573848813</v>
      </c>
      <c r="F463" s="25">
        <v>139.16166670000001</v>
      </c>
      <c r="G463" s="8">
        <v>24</v>
      </c>
      <c r="H463" s="26">
        <v>0.22858396110000001</v>
      </c>
    </row>
    <row r="464" spans="1:8" x14ac:dyDescent="0.2">
      <c r="A464" s="14" t="s">
        <v>308</v>
      </c>
      <c r="B464" s="22" t="s">
        <v>421</v>
      </c>
      <c r="C464" s="25">
        <v>114.539</v>
      </c>
      <c r="D464" s="15">
        <v>10</v>
      </c>
      <c r="E464" s="26">
        <v>0.25988527924999999</v>
      </c>
      <c r="F464" s="25">
        <v>118.3623077</v>
      </c>
      <c r="G464" s="8">
        <v>13</v>
      </c>
      <c r="H464" s="26">
        <v>0.25503441193999998</v>
      </c>
    </row>
    <row r="465" spans="1:8" x14ac:dyDescent="0.2">
      <c r="A465" s="14" t="s">
        <v>308</v>
      </c>
      <c r="B465" s="22" t="s">
        <v>422</v>
      </c>
      <c r="C465" s="25">
        <v>97.546666700000003</v>
      </c>
      <c r="D465" s="15">
        <v>3</v>
      </c>
      <c r="E465" s="26">
        <v>0.26701066155999997</v>
      </c>
      <c r="F465" s="25">
        <v>127.175</v>
      </c>
      <c r="G465" s="8">
        <v>8</v>
      </c>
      <c r="H465" s="26">
        <v>0.24157558481999999</v>
      </c>
    </row>
    <row r="466" spans="1:8" x14ac:dyDescent="0.2">
      <c r="A466" s="14" t="s">
        <v>308</v>
      </c>
      <c r="B466" s="22" t="s">
        <v>423</v>
      </c>
      <c r="C466" s="25">
        <v>254.84039999999999</v>
      </c>
      <c r="D466" s="15">
        <v>25</v>
      </c>
      <c r="E466" s="26">
        <v>0.21996229797</v>
      </c>
      <c r="F466" s="25">
        <v>238.60911759999999</v>
      </c>
      <c r="G466" s="8">
        <v>68</v>
      </c>
      <c r="H466" s="26">
        <v>0.22101591206999999</v>
      </c>
    </row>
    <row r="467" spans="1:8" x14ac:dyDescent="0.2">
      <c r="A467" s="14" t="s">
        <v>308</v>
      </c>
      <c r="B467" s="22" t="s">
        <v>424</v>
      </c>
      <c r="C467" s="25">
        <v>106.36499999999999</v>
      </c>
      <c r="D467" s="15">
        <v>16</v>
      </c>
      <c r="E467" s="26">
        <v>0.26296420344999999</v>
      </c>
      <c r="F467" s="25">
        <v>97.321052600000002</v>
      </c>
      <c r="G467" s="8">
        <v>38</v>
      </c>
      <c r="H467" s="26">
        <v>0.27585014331000002</v>
      </c>
    </row>
    <row r="468" spans="1:8" x14ac:dyDescent="0.2">
      <c r="A468" s="14" t="s">
        <v>308</v>
      </c>
      <c r="B468" s="22" t="s">
        <v>425</v>
      </c>
      <c r="C468" s="25">
        <v>229.4272727</v>
      </c>
      <c r="D468" s="15">
        <v>22</v>
      </c>
      <c r="E468" s="26">
        <v>0.23248444743999999</v>
      </c>
      <c r="F468" s="25">
        <v>229.00454550000001</v>
      </c>
      <c r="G468" s="8">
        <v>44</v>
      </c>
      <c r="H468" s="26">
        <v>0.22972023183000001</v>
      </c>
    </row>
    <row r="469" spans="1:8" x14ac:dyDescent="0.2">
      <c r="A469" s="14" t="s">
        <v>308</v>
      </c>
      <c r="B469" s="22" t="s">
        <v>426</v>
      </c>
      <c r="C469" s="25">
        <v>240.83</v>
      </c>
      <c r="D469" s="15">
        <v>3</v>
      </c>
      <c r="E469" s="26">
        <v>0.2195476754</v>
      </c>
      <c r="F469" s="25">
        <v>278.46166670000002</v>
      </c>
      <c r="G469" s="8">
        <v>6</v>
      </c>
      <c r="H469" s="26">
        <v>0.21897149219000001</v>
      </c>
    </row>
    <row r="470" spans="1:8" x14ac:dyDescent="0.2">
      <c r="A470" s="14" t="s">
        <v>308</v>
      </c>
      <c r="B470" s="22" t="s">
        <v>427</v>
      </c>
      <c r="C470" s="25">
        <v>105.89</v>
      </c>
      <c r="D470" s="15">
        <v>4</v>
      </c>
      <c r="E470" s="26">
        <v>0.25191708376999999</v>
      </c>
      <c r="F470" s="25">
        <v>110.4696</v>
      </c>
      <c r="G470" s="8">
        <v>25</v>
      </c>
      <c r="H470" s="26">
        <v>0.26139933520000003</v>
      </c>
    </row>
    <row r="471" spans="1:8" x14ac:dyDescent="0.2">
      <c r="A471" s="14" t="s">
        <v>308</v>
      </c>
      <c r="B471" s="22" t="s">
        <v>428</v>
      </c>
      <c r="C471" s="27"/>
      <c r="D471" s="13"/>
      <c r="E471" s="28"/>
      <c r="F471" s="25">
        <v>1156.1053333</v>
      </c>
      <c r="G471" s="8">
        <v>15</v>
      </c>
      <c r="H471" s="26">
        <v>0.21616092650999999</v>
      </c>
    </row>
    <row r="472" spans="1:8" x14ac:dyDescent="0.2">
      <c r="A472" s="14" t="s">
        <v>308</v>
      </c>
      <c r="B472" s="22" t="s">
        <v>429</v>
      </c>
      <c r="C472" s="25">
        <v>597.01576920000002</v>
      </c>
      <c r="D472" s="15">
        <v>25</v>
      </c>
      <c r="E472" s="26">
        <v>0.21902700676</v>
      </c>
      <c r="F472" s="25">
        <v>629.00421879999999</v>
      </c>
      <c r="G472" s="8">
        <v>63</v>
      </c>
      <c r="H472" s="26">
        <v>0.21768971641000001</v>
      </c>
    </row>
    <row r="473" spans="1:8" x14ac:dyDescent="0.2">
      <c r="A473" s="14" t="s">
        <v>308</v>
      </c>
      <c r="B473" s="22" t="s">
        <v>430</v>
      </c>
      <c r="C473" s="27"/>
      <c r="D473" s="13"/>
      <c r="E473" s="28"/>
      <c r="F473" s="25">
        <v>66.873333299999999</v>
      </c>
      <c r="G473" s="8">
        <v>3</v>
      </c>
      <c r="H473" s="26">
        <v>0.38113348618999998</v>
      </c>
    </row>
    <row r="474" spans="1:8" x14ac:dyDescent="0.2">
      <c r="A474" s="14" t="s">
        <v>308</v>
      </c>
      <c r="B474" s="22" t="s">
        <v>431</v>
      </c>
      <c r="C474" s="25">
        <v>319.02193549999998</v>
      </c>
      <c r="D474" s="15">
        <v>31</v>
      </c>
      <c r="E474" s="26">
        <v>0.21908959643000001</v>
      </c>
      <c r="F474" s="25">
        <v>300.15014489999999</v>
      </c>
      <c r="G474" s="8">
        <v>69</v>
      </c>
      <c r="H474" s="26">
        <v>0.21966774117000001</v>
      </c>
    </row>
    <row r="475" spans="1:8" x14ac:dyDescent="0.2">
      <c r="A475" s="14" t="s">
        <v>308</v>
      </c>
      <c r="B475" s="22" t="s">
        <v>432</v>
      </c>
      <c r="C475" s="25">
        <v>93.410588200000007</v>
      </c>
      <c r="D475" s="15">
        <v>17</v>
      </c>
      <c r="E475" s="26">
        <v>0.28475421605000001</v>
      </c>
      <c r="F475" s="25">
        <v>92.249555599999994</v>
      </c>
      <c r="G475" s="8">
        <v>45</v>
      </c>
      <c r="H475" s="26">
        <v>0.29113033968000002</v>
      </c>
    </row>
    <row r="476" spans="1:8" x14ac:dyDescent="0.2">
      <c r="A476" s="14" t="s">
        <v>308</v>
      </c>
      <c r="B476" s="22" t="s">
        <v>433</v>
      </c>
      <c r="C476" s="25">
        <v>369.4477273</v>
      </c>
      <c r="D476" s="15">
        <v>22</v>
      </c>
      <c r="E476" s="26">
        <v>0.21949925257</v>
      </c>
      <c r="F476" s="25">
        <v>360.95549019999999</v>
      </c>
      <c r="G476" s="8">
        <v>51</v>
      </c>
      <c r="H476" s="26">
        <v>0.22045964062000001</v>
      </c>
    </row>
    <row r="477" spans="1:8" x14ac:dyDescent="0.2">
      <c r="A477" s="14" t="s">
        <v>308</v>
      </c>
      <c r="B477" s="22" t="s">
        <v>434</v>
      </c>
      <c r="C477" s="25">
        <v>266.67</v>
      </c>
      <c r="D477" s="15">
        <v>6</v>
      </c>
      <c r="E477" s="26">
        <v>0.21913726078000001</v>
      </c>
      <c r="F477" s="25">
        <v>266.67</v>
      </c>
      <c r="G477" s="8">
        <v>6</v>
      </c>
      <c r="H477" s="26">
        <v>0.21913726078000001</v>
      </c>
    </row>
    <row r="478" spans="1:8" x14ac:dyDescent="0.2">
      <c r="A478" s="14" t="s">
        <v>308</v>
      </c>
      <c r="B478" s="22" t="s">
        <v>435</v>
      </c>
      <c r="C478" s="25">
        <v>254.65600000000001</v>
      </c>
      <c r="D478" s="15">
        <v>5</v>
      </c>
      <c r="E478" s="26">
        <v>0.21931939557999999</v>
      </c>
      <c r="F478" s="25">
        <v>250.82526319999999</v>
      </c>
      <c r="G478" s="8">
        <v>19</v>
      </c>
      <c r="H478" s="26">
        <v>0.22203148344000001</v>
      </c>
    </row>
    <row r="479" spans="1:8" x14ac:dyDescent="0.2">
      <c r="A479" s="14" t="s">
        <v>308</v>
      </c>
      <c r="B479" s="22" t="s">
        <v>436</v>
      </c>
      <c r="C479" s="25">
        <v>49.61</v>
      </c>
      <c r="D479" s="15">
        <v>1</v>
      </c>
      <c r="E479" s="26">
        <v>0.52227373512999997</v>
      </c>
      <c r="F479" s="25">
        <v>61.211428599999998</v>
      </c>
      <c r="G479" s="8">
        <v>7</v>
      </c>
      <c r="H479" s="26">
        <v>0.42328696788999998</v>
      </c>
    </row>
    <row r="480" spans="1:8" x14ac:dyDescent="0.2">
      <c r="A480" s="14" t="s">
        <v>308</v>
      </c>
      <c r="B480" s="22" t="s">
        <v>437</v>
      </c>
      <c r="C480" s="25">
        <v>105.33</v>
      </c>
      <c r="D480" s="15">
        <v>2</v>
      </c>
      <c r="E480" s="26">
        <v>0.24388113548000001</v>
      </c>
      <c r="F480" s="25">
        <v>96.2985714</v>
      </c>
      <c r="G480" s="8">
        <v>7</v>
      </c>
      <c r="H480" s="26">
        <v>0.2747422451</v>
      </c>
    </row>
    <row r="481" spans="1:8" x14ac:dyDescent="0.2">
      <c r="A481" s="14" t="s">
        <v>308</v>
      </c>
      <c r="B481" s="22" t="s">
        <v>438</v>
      </c>
      <c r="C481" s="25">
        <v>61.524999999999999</v>
      </c>
      <c r="D481" s="15">
        <v>4</v>
      </c>
      <c r="E481" s="26">
        <v>0.42112962209999999</v>
      </c>
      <c r="F481" s="25">
        <v>63.621000000000002</v>
      </c>
      <c r="G481" s="8">
        <v>10</v>
      </c>
      <c r="H481" s="26">
        <v>0.40725546596000001</v>
      </c>
    </row>
    <row r="482" spans="1:8" x14ac:dyDescent="0.2">
      <c r="A482" s="14" t="s">
        <v>308</v>
      </c>
      <c r="B482" s="22" t="s">
        <v>439</v>
      </c>
      <c r="C482" s="25">
        <v>212.69</v>
      </c>
      <c r="D482" s="15">
        <v>5</v>
      </c>
      <c r="E482" s="26">
        <v>0.22010531759999999</v>
      </c>
      <c r="F482" s="25">
        <v>163.9978571</v>
      </c>
      <c r="G482" s="8">
        <v>14</v>
      </c>
      <c r="H482" s="26">
        <v>0.23078393881000001</v>
      </c>
    </row>
    <row r="483" spans="1:8" x14ac:dyDescent="0.2">
      <c r="A483" s="14" t="s">
        <v>308</v>
      </c>
      <c r="B483" s="22" t="s">
        <v>440</v>
      </c>
      <c r="C483" s="25">
        <v>965.25</v>
      </c>
      <c r="D483" s="15">
        <v>27</v>
      </c>
      <c r="E483" s="26">
        <v>0.21662382611</v>
      </c>
      <c r="F483" s="25">
        <v>971.20620689999998</v>
      </c>
      <c r="G483" s="8">
        <v>29</v>
      </c>
      <c r="H483" s="26">
        <v>0.21659560916000001</v>
      </c>
    </row>
    <row r="484" spans="1:8" x14ac:dyDescent="0.2">
      <c r="A484" s="14" t="s">
        <v>308</v>
      </c>
      <c r="B484" s="22" t="s">
        <v>441</v>
      </c>
      <c r="C484" s="25">
        <v>254.50800000000001</v>
      </c>
      <c r="D484" s="15">
        <v>20</v>
      </c>
      <c r="E484" s="26">
        <v>0.2199838512</v>
      </c>
      <c r="F484" s="25">
        <v>227.57624999999999</v>
      </c>
      <c r="G484" s="8">
        <v>48</v>
      </c>
      <c r="H484" s="26">
        <v>0.22679916804</v>
      </c>
    </row>
    <row r="485" spans="1:8" x14ac:dyDescent="0.2">
      <c r="A485" s="14" t="s">
        <v>308</v>
      </c>
      <c r="B485" s="22" t="s">
        <v>442</v>
      </c>
      <c r="C485" s="25">
        <v>176.5335714</v>
      </c>
      <c r="D485" s="15">
        <v>14</v>
      </c>
      <c r="E485" s="26">
        <v>0.23023423306999999</v>
      </c>
      <c r="F485" s="25">
        <v>180.15387100000001</v>
      </c>
      <c r="G485" s="8">
        <v>31</v>
      </c>
      <c r="H485" s="26">
        <v>0.22768654752</v>
      </c>
    </row>
    <row r="486" spans="1:8" x14ac:dyDescent="0.2">
      <c r="A486" s="14" t="s">
        <v>308</v>
      </c>
      <c r="B486" s="22" t="s">
        <v>443</v>
      </c>
      <c r="C486" s="27"/>
      <c r="D486" s="13"/>
      <c r="E486" s="28"/>
      <c r="F486" s="25">
        <v>393.30272730000002</v>
      </c>
      <c r="G486" s="8">
        <v>11</v>
      </c>
      <c r="H486" s="26">
        <v>0.21788975876</v>
      </c>
    </row>
    <row r="487" spans="1:8" x14ac:dyDescent="0.2">
      <c r="A487" s="14" t="s">
        <v>308</v>
      </c>
      <c r="B487" s="22" t="s">
        <v>444</v>
      </c>
      <c r="C487" s="25">
        <v>217.05199999999999</v>
      </c>
      <c r="D487" s="15">
        <v>5</v>
      </c>
      <c r="E487" s="26">
        <v>0.22001179440999999</v>
      </c>
      <c r="F487" s="25">
        <v>202.22499999999999</v>
      </c>
      <c r="G487" s="8">
        <v>22</v>
      </c>
      <c r="H487" s="26">
        <v>0.22036030974000001</v>
      </c>
    </row>
    <row r="488" spans="1:8" x14ac:dyDescent="0.2">
      <c r="A488" s="14" t="s">
        <v>308</v>
      </c>
      <c r="B488" s="22" t="s">
        <v>445</v>
      </c>
      <c r="C488" s="25">
        <v>245.25555560000001</v>
      </c>
      <c r="D488" s="15">
        <v>27</v>
      </c>
      <c r="E488" s="26">
        <v>0.22539135293000001</v>
      </c>
      <c r="F488" s="25">
        <v>255.1101515</v>
      </c>
      <c r="G488" s="8">
        <v>66</v>
      </c>
      <c r="H488" s="26">
        <v>0.22240410708</v>
      </c>
    </row>
    <row r="489" spans="1:8" x14ac:dyDescent="0.2">
      <c r="A489" s="14" t="s">
        <v>308</v>
      </c>
      <c r="B489" s="22" t="s">
        <v>446</v>
      </c>
      <c r="C489" s="25">
        <v>399.93</v>
      </c>
      <c r="D489" s="15">
        <v>36</v>
      </c>
      <c r="E489" s="26">
        <v>0.21895540053000001</v>
      </c>
      <c r="F489" s="25">
        <v>420.6625641</v>
      </c>
      <c r="G489" s="8">
        <v>78</v>
      </c>
      <c r="H489" s="26">
        <v>0.21906827080999999</v>
      </c>
    </row>
    <row r="490" spans="1:8" x14ac:dyDescent="0.2">
      <c r="A490" s="14" t="s">
        <v>308</v>
      </c>
      <c r="B490" s="22" t="s">
        <v>447</v>
      </c>
      <c r="C490" s="25">
        <v>108.21285709999999</v>
      </c>
      <c r="D490" s="15">
        <v>14</v>
      </c>
      <c r="E490" s="26">
        <v>0.27415411425000002</v>
      </c>
      <c r="F490" s="25">
        <v>107.3609091</v>
      </c>
      <c r="G490" s="8">
        <v>32</v>
      </c>
      <c r="H490" s="26">
        <v>0.27658788962000003</v>
      </c>
    </row>
    <row r="491" spans="1:8" x14ac:dyDescent="0.2">
      <c r="A491" s="14" t="s">
        <v>308</v>
      </c>
      <c r="B491" s="22" t="s">
        <v>448</v>
      </c>
      <c r="C491" s="25">
        <v>532.80100000000004</v>
      </c>
      <c r="D491" s="15">
        <v>10</v>
      </c>
      <c r="E491" s="26">
        <v>0.21720379653999999</v>
      </c>
      <c r="F491" s="25">
        <v>452.81964290000002</v>
      </c>
      <c r="G491" s="8">
        <v>28</v>
      </c>
      <c r="H491" s="26">
        <v>0.21754640566</v>
      </c>
    </row>
    <row r="492" spans="1:8" x14ac:dyDescent="0.2">
      <c r="A492" s="14" t="s">
        <v>308</v>
      </c>
      <c r="B492" s="22" t="s">
        <v>449</v>
      </c>
      <c r="C492" s="25">
        <v>131.59230769999999</v>
      </c>
      <c r="D492" s="15">
        <v>13</v>
      </c>
      <c r="E492" s="26">
        <v>0.25928099607999999</v>
      </c>
      <c r="F492" s="25">
        <v>151.5436364</v>
      </c>
      <c r="G492" s="8">
        <v>32</v>
      </c>
      <c r="H492" s="26">
        <v>0.24218826861000001</v>
      </c>
    </row>
    <row r="493" spans="1:8" x14ac:dyDescent="0.2">
      <c r="A493" s="14" t="s">
        <v>308</v>
      </c>
      <c r="B493" s="22" t="s">
        <v>450</v>
      </c>
      <c r="C493" s="25">
        <v>220.6045</v>
      </c>
      <c r="D493" s="15">
        <v>20</v>
      </c>
      <c r="E493" s="26">
        <v>0.22154239827</v>
      </c>
      <c r="F493" s="25">
        <v>245.832807</v>
      </c>
      <c r="G493" s="8">
        <v>57</v>
      </c>
      <c r="H493" s="26">
        <v>0.22577589817999999</v>
      </c>
    </row>
    <row r="494" spans="1:8" x14ac:dyDescent="0.2">
      <c r="A494" s="14" t="s">
        <v>308</v>
      </c>
      <c r="B494" s="22" t="s">
        <v>451</v>
      </c>
      <c r="C494" s="25">
        <v>222.0538095</v>
      </c>
      <c r="D494" s="15">
        <v>21</v>
      </c>
      <c r="E494" s="26">
        <v>0.22442715515</v>
      </c>
      <c r="F494" s="25">
        <v>198.07065220000001</v>
      </c>
      <c r="G494" s="8">
        <v>46</v>
      </c>
      <c r="H494" s="26">
        <v>0.22482315818000001</v>
      </c>
    </row>
    <row r="495" spans="1:8" x14ac:dyDescent="0.2">
      <c r="A495" s="14" t="s">
        <v>308</v>
      </c>
      <c r="B495" s="22" t="s">
        <v>452</v>
      </c>
      <c r="C495" s="25">
        <v>144.515625</v>
      </c>
      <c r="D495" s="15">
        <v>16</v>
      </c>
      <c r="E495" s="26">
        <v>0.24252870580999999</v>
      </c>
      <c r="F495" s="25">
        <v>152.08682930000001</v>
      </c>
      <c r="G495" s="8">
        <v>41</v>
      </c>
      <c r="H495" s="26">
        <v>0.23999159657999999</v>
      </c>
    </row>
    <row r="496" spans="1:8" x14ac:dyDescent="0.2">
      <c r="A496" s="14" t="s">
        <v>308</v>
      </c>
      <c r="B496" s="22" t="s">
        <v>453</v>
      </c>
      <c r="C496" s="25">
        <v>402.64526319999999</v>
      </c>
      <c r="D496" s="15">
        <v>19</v>
      </c>
      <c r="E496" s="26">
        <v>0.21949136369</v>
      </c>
      <c r="F496" s="25">
        <v>315.20578949999998</v>
      </c>
      <c r="G496" s="8">
        <v>38</v>
      </c>
      <c r="H496" s="26">
        <v>0.22383263399</v>
      </c>
    </row>
    <row r="497" spans="1:8" x14ac:dyDescent="0.2">
      <c r="A497" s="14" t="s">
        <v>308</v>
      </c>
      <c r="B497" s="22" t="s">
        <v>454</v>
      </c>
      <c r="C497" s="25">
        <v>143.55000000000001</v>
      </c>
      <c r="D497" s="15">
        <v>7</v>
      </c>
      <c r="E497" s="26">
        <v>0.24238642583</v>
      </c>
      <c r="F497" s="25">
        <v>120.9556</v>
      </c>
      <c r="G497" s="8">
        <v>25</v>
      </c>
      <c r="H497" s="26">
        <v>0.26216793599999999</v>
      </c>
    </row>
    <row r="498" spans="1:8" x14ac:dyDescent="0.2">
      <c r="A498" s="14" t="s">
        <v>308</v>
      </c>
      <c r="B498" s="22" t="s">
        <v>455</v>
      </c>
      <c r="C498" s="27"/>
      <c r="D498" s="13"/>
      <c r="E498" s="28"/>
      <c r="F498" s="25">
        <v>81.016666700000002</v>
      </c>
      <c r="G498" s="8">
        <v>3</v>
      </c>
      <c r="H498" s="26">
        <v>0.31981073853000003</v>
      </c>
    </row>
    <row r="499" spans="1:8" x14ac:dyDescent="0.2">
      <c r="A499" s="14" t="s">
        <v>308</v>
      </c>
      <c r="B499" s="22" t="s">
        <v>456</v>
      </c>
      <c r="C499" s="25">
        <v>170.8944444</v>
      </c>
      <c r="D499" s="15">
        <v>9</v>
      </c>
      <c r="E499" s="26">
        <v>0.24146224115000001</v>
      </c>
      <c r="F499" s="25">
        <v>177.02850000000001</v>
      </c>
      <c r="G499" s="8">
        <v>20</v>
      </c>
      <c r="H499" s="26">
        <v>0.23911686536000001</v>
      </c>
    </row>
    <row r="500" spans="1:8" x14ac:dyDescent="0.2">
      <c r="A500" s="14" t="s">
        <v>308</v>
      </c>
      <c r="B500" s="22" t="s">
        <v>457</v>
      </c>
      <c r="C500" s="25">
        <v>213.44</v>
      </c>
      <c r="D500" s="15">
        <v>2</v>
      </c>
      <c r="E500" s="26">
        <v>0.22008058471</v>
      </c>
      <c r="F500" s="25">
        <v>232.98</v>
      </c>
      <c r="G500" s="8">
        <v>12</v>
      </c>
      <c r="H500" s="26">
        <v>0.22830786619999999</v>
      </c>
    </row>
    <row r="501" spans="1:8" x14ac:dyDescent="0.2">
      <c r="A501" s="14" t="s">
        <v>308</v>
      </c>
      <c r="B501" s="22" t="s">
        <v>458</v>
      </c>
      <c r="C501" s="25">
        <v>251.45</v>
      </c>
      <c r="D501" s="15">
        <v>8</v>
      </c>
      <c r="E501" s="26">
        <v>0.21936468482999999</v>
      </c>
      <c r="F501" s="25">
        <v>243.7894737</v>
      </c>
      <c r="G501" s="8">
        <v>18</v>
      </c>
      <c r="H501" s="26">
        <v>0.21949460275999999</v>
      </c>
    </row>
    <row r="502" spans="1:8" x14ac:dyDescent="0.2">
      <c r="A502" s="14" t="s">
        <v>308</v>
      </c>
      <c r="B502" s="22" t="s">
        <v>97</v>
      </c>
      <c r="C502" s="27"/>
      <c r="D502" s="13"/>
      <c r="E502" s="28"/>
      <c r="F502" s="25">
        <v>209.87</v>
      </c>
      <c r="G502" s="8">
        <v>1</v>
      </c>
      <c r="H502" s="26">
        <v>0.22019821794</v>
      </c>
    </row>
    <row r="503" spans="1:8" x14ac:dyDescent="0.2">
      <c r="A503" s="14" t="s">
        <v>308</v>
      </c>
      <c r="B503" s="22" t="s">
        <v>459</v>
      </c>
      <c r="C503" s="25">
        <v>152.74833330000001</v>
      </c>
      <c r="D503" s="15">
        <v>12</v>
      </c>
      <c r="E503" s="26">
        <v>0.25031478794000001</v>
      </c>
      <c r="F503" s="25">
        <v>113.1434146</v>
      </c>
      <c r="G503" s="8">
        <v>41</v>
      </c>
      <c r="H503" s="26">
        <v>0.27807466457000002</v>
      </c>
    </row>
    <row r="504" spans="1:8" x14ac:dyDescent="0.2">
      <c r="A504" s="14" t="s">
        <v>308</v>
      </c>
      <c r="B504" s="22" t="s">
        <v>279</v>
      </c>
      <c r="C504" s="27"/>
      <c r="D504" s="13"/>
      <c r="E504" s="28"/>
      <c r="F504" s="25">
        <v>390.71</v>
      </c>
      <c r="G504" s="8">
        <v>1</v>
      </c>
      <c r="H504" s="26">
        <v>0.21790586368000001</v>
      </c>
    </row>
    <row r="505" spans="1:8" x14ac:dyDescent="0.2">
      <c r="A505" s="14" t="s">
        <v>460</v>
      </c>
      <c r="B505" s="22" t="s">
        <v>293</v>
      </c>
      <c r="C505" s="25">
        <v>77.44</v>
      </c>
      <c r="D505" s="15">
        <v>1</v>
      </c>
      <c r="E505" s="26">
        <v>0.81740702479000005</v>
      </c>
      <c r="F505" s="25">
        <v>77.44</v>
      </c>
      <c r="G505" s="8">
        <v>1</v>
      </c>
      <c r="H505" s="26">
        <v>0.81740702479000005</v>
      </c>
    </row>
    <row r="506" spans="1:8" x14ac:dyDescent="0.2">
      <c r="A506" s="14" t="s">
        <v>460</v>
      </c>
      <c r="B506" s="22" t="s">
        <v>295</v>
      </c>
      <c r="C506" s="25">
        <v>218.47</v>
      </c>
      <c r="D506" s="15">
        <v>1</v>
      </c>
      <c r="E506" s="26">
        <v>0.28974229871000001</v>
      </c>
      <c r="F506" s="25">
        <v>218.47</v>
      </c>
      <c r="G506" s="8">
        <v>1</v>
      </c>
      <c r="H506" s="26">
        <v>0.28974229871000001</v>
      </c>
    </row>
    <row r="507" spans="1:8" x14ac:dyDescent="0.2">
      <c r="A507" s="14" t="s">
        <v>460</v>
      </c>
      <c r="B507" s="22" t="s">
        <v>296</v>
      </c>
      <c r="C507" s="25">
        <v>118.24</v>
      </c>
      <c r="D507" s="15">
        <v>1</v>
      </c>
      <c r="E507" s="26">
        <v>0.53535182679000004</v>
      </c>
      <c r="F507" s="25">
        <v>118.24</v>
      </c>
      <c r="G507" s="8">
        <v>1</v>
      </c>
      <c r="H507" s="26">
        <v>0.53535182679000004</v>
      </c>
    </row>
    <row r="508" spans="1:8" x14ac:dyDescent="0.2">
      <c r="A508" s="20" t="s">
        <v>461</v>
      </c>
      <c r="B508" s="22" t="s">
        <v>462</v>
      </c>
      <c r="C508" s="25">
        <v>78.08</v>
      </c>
      <c r="D508" s="15">
        <v>12</v>
      </c>
      <c r="E508" s="26">
        <v>0.17000085382999999</v>
      </c>
      <c r="F508" s="25">
        <v>95.900689700000001</v>
      </c>
      <c r="G508" s="8">
        <v>29</v>
      </c>
      <c r="H508" s="26">
        <v>0.17000057531000001</v>
      </c>
    </row>
    <row r="509" spans="1:8" x14ac:dyDescent="0.2">
      <c r="A509" s="20" t="s">
        <v>461</v>
      </c>
      <c r="B509" s="22" t="s">
        <v>463</v>
      </c>
      <c r="C509" s="25">
        <v>190.23043480000001</v>
      </c>
      <c r="D509" s="15">
        <v>23</v>
      </c>
      <c r="E509" s="26">
        <v>0.17</v>
      </c>
      <c r="F509" s="25">
        <v>211.61090909999999</v>
      </c>
      <c r="G509" s="8">
        <v>51</v>
      </c>
      <c r="H509" s="26">
        <v>0.17</v>
      </c>
    </row>
    <row r="510" spans="1:8" x14ac:dyDescent="0.2">
      <c r="A510" s="20" t="s">
        <v>461</v>
      </c>
      <c r="B510" s="22" t="s">
        <v>464</v>
      </c>
      <c r="C510" s="25">
        <v>205.01111109999999</v>
      </c>
      <c r="D510" s="15">
        <v>9</v>
      </c>
      <c r="E510" s="26">
        <v>0.17</v>
      </c>
      <c r="F510" s="25">
        <v>174.315</v>
      </c>
      <c r="G510" s="8">
        <v>20</v>
      </c>
      <c r="H510" s="26">
        <v>0.17</v>
      </c>
    </row>
    <row r="511" spans="1:8" x14ac:dyDescent="0.2">
      <c r="A511" s="20" t="s">
        <v>461</v>
      </c>
      <c r="B511" s="22" t="s">
        <v>465</v>
      </c>
      <c r="C511" s="25">
        <v>266.81</v>
      </c>
      <c r="D511" s="15">
        <v>20</v>
      </c>
      <c r="E511" s="26">
        <v>0.17000037479999999</v>
      </c>
      <c r="F511" s="25">
        <v>250.42722219999999</v>
      </c>
      <c r="G511" s="8">
        <v>54</v>
      </c>
      <c r="H511" s="26">
        <v>0.17000030319000001</v>
      </c>
    </row>
    <row r="512" spans="1:8" x14ac:dyDescent="0.2">
      <c r="A512" s="20" t="s">
        <v>461</v>
      </c>
      <c r="B512" s="22" t="s">
        <v>466</v>
      </c>
      <c r="C512" s="25">
        <v>434.88499999999999</v>
      </c>
      <c r="D512" s="15">
        <v>20</v>
      </c>
      <c r="E512" s="26">
        <v>0.17</v>
      </c>
      <c r="F512" s="25">
        <v>352.85957450000001</v>
      </c>
      <c r="G512" s="8">
        <v>47</v>
      </c>
      <c r="H512" s="26">
        <v>0.17</v>
      </c>
    </row>
    <row r="513" spans="1:8" x14ac:dyDescent="0.2">
      <c r="A513" s="20" t="s">
        <v>461</v>
      </c>
      <c r="B513" s="22" t="s">
        <v>467</v>
      </c>
      <c r="C513" s="27"/>
      <c r="D513" s="13"/>
      <c r="E513" s="28"/>
      <c r="F513" s="25">
        <v>173.21799999999999</v>
      </c>
      <c r="G513" s="8">
        <v>5</v>
      </c>
      <c r="H513" s="26">
        <v>0.17000080822999999</v>
      </c>
    </row>
    <row r="514" spans="1:8" x14ac:dyDescent="0.2">
      <c r="A514" s="20" t="s">
        <v>461</v>
      </c>
      <c r="B514" s="22" t="s">
        <v>468</v>
      </c>
      <c r="C514" s="27"/>
      <c r="D514" s="13"/>
      <c r="E514" s="28"/>
      <c r="F514" s="25">
        <v>439.8</v>
      </c>
      <c r="G514" s="8">
        <v>1</v>
      </c>
      <c r="H514" s="26">
        <v>0.17</v>
      </c>
    </row>
    <row r="515" spans="1:8" x14ac:dyDescent="0.2">
      <c r="A515" s="20" t="s">
        <v>461</v>
      </c>
      <c r="B515" s="22" t="s">
        <v>469</v>
      </c>
      <c r="C515" s="25">
        <v>86.314285699999999</v>
      </c>
      <c r="D515" s="15">
        <v>13</v>
      </c>
      <c r="E515" s="26">
        <v>0.17</v>
      </c>
      <c r="F515" s="25">
        <v>323.0342857</v>
      </c>
      <c r="G515" s="8">
        <v>34</v>
      </c>
      <c r="H515" s="26">
        <v>0.17</v>
      </c>
    </row>
    <row r="516" spans="1:8" x14ac:dyDescent="0.2">
      <c r="A516" s="20" t="s">
        <v>461</v>
      </c>
      <c r="B516" s="22" t="s">
        <v>470</v>
      </c>
      <c r="C516" s="25">
        <v>139.72999999999999</v>
      </c>
      <c r="D516" s="15">
        <v>4</v>
      </c>
      <c r="E516" s="26">
        <v>0.16999928433</v>
      </c>
      <c r="F516" s="25">
        <v>156.78399999999999</v>
      </c>
      <c r="G516" s="8">
        <v>5</v>
      </c>
      <c r="H516" s="26">
        <v>0.16999948974000001</v>
      </c>
    </row>
    <row r="517" spans="1:8" x14ac:dyDescent="0.2">
      <c r="A517" s="20" t="s">
        <v>461</v>
      </c>
      <c r="B517" s="22" t="s">
        <v>471</v>
      </c>
      <c r="C517" s="25">
        <v>157.65</v>
      </c>
      <c r="D517" s="15">
        <v>16</v>
      </c>
      <c r="E517" s="26">
        <v>0.17</v>
      </c>
      <c r="F517" s="25">
        <v>135.9727273</v>
      </c>
      <c r="G517" s="8">
        <v>33</v>
      </c>
      <c r="H517" s="26">
        <v>0.17</v>
      </c>
    </row>
    <row r="518" spans="1:8" x14ac:dyDescent="0.2">
      <c r="A518" s="20" t="s">
        <v>461</v>
      </c>
      <c r="B518" s="22" t="s">
        <v>472</v>
      </c>
      <c r="C518" s="25">
        <v>119.9490909</v>
      </c>
      <c r="D518" s="15">
        <v>11</v>
      </c>
      <c r="E518" s="26">
        <v>0.17000015158000001</v>
      </c>
      <c r="F518" s="25">
        <v>118.786</v>
      </c>
      <c r="G518" s="8">
        <v>20</v>
      </c>
      <c r="H518" s="26">
        <v>0.16999983162999999</v>
      </c>
    </row>
    <row r="519" spans="1:8" x14ac:dyDescent="0.2">
      <c r="A519" s="20" t="s">
        <v>461</v>
      </c>
      <c r="B519" s="22" t="s">
        <v>473</v>
      </c>
      <c r="C519" s="25">
        <v>117.205</v>
      </c>
      <c r="D519" s="15">
        <v>2</v>
      </c>
      <c r="E519" s="26">
        <v>0.16999701378000001</v>
      </c>
      <c r="F519" s="25">
        <v>97.266666700000002</v>
      </c>
      <c r="G519" s="8">
        <v>9</v>
      </c>
      <c r="H519" s="26">
        <v>0.16999885767</v>
      </c>
    </row>
    <row r="520" spans="1:8" x14ac:dyDescent="0.2">
      <c r="A520" s="20" t="s">
        <v>461</v>
      </c>
      <c r="B520" s="22" t="s">
        <v>474</v>
      </c>
      <c r="C520" s="27"/>
      <c r="D520" s="13"/>
      <c r="E520" s="28"/>
      <c r="F520" s="25">
        <v>117.8544828</v>
      </c>
      <c r="G520" s="8">
        <v>29</v>
      </c>
      <c r="H520" s="26">
        <v>0.17000011704000001</v>
      </c>
    </row>
    <row r="521" spans="1:8" x14ac:dyDescent="0.2">
      <c r="A521" s="20" t="s">
        <v>461</v>
      </c>
      <c r="B521" s="22" t="s">
        <v>475</v>
      </c>
      <c r="C521" s="25">
        <v>152.84809519999999</v>
      </c>
      <c r="D521" s="15">
        <v>21</v>
      </c>
      <c r="E521" s="26">
        <v>0.17000009346</v>
      </c>
      <c r="F521" s="25">
        <v>152.84809519999999</v>
      </c>
      <c r="G521" s="8">
        <v>21</v>
      </c>
      <c r="H521" s="26">
        <v>0.17000009346</v>
      </c>
    </row>
    <row r="522" spans="1:8" x14ac:dyDescent="0.2">
      <c r="A522" s="20" t="s">
        <v>461</v>
      </c>
      <c r="B522" s="22" t="s">
        <v>476</v>
      </c>
      <c r="C522" s="25">
        <v>54.25</v>
      </c>
      <c r="D522" s="15">
        <v>16</v>
      </c>
      <c r="E522" s="26">
        <v>0.17</v>
      </c>
      <c r="F522" s="25">
        <v>62.317073200000003</v>
      </c>
      <c r="G522" s="8">
        <v>41</v>
      </c>
      <c r="H522" s="26">
        <v>0.17</v>
      </c>
    </row>
    <row r="523" spans="1:8" x14ac:dyDescent="0.2">
      <c r="A523" s="20" t="s">
        <v>461</v>
      </c>
      <c r="B523" s="22" t="s">
        <v>477</v>
      </c>
      <c r="C523" s="25">
        <v>41.013333299999999</v>
      </c>
      <c r="D523" s="15">
        <v>3</v>
      </c>
      <c r="E523" s="26">
        <v>0.17000162549</v>
      </c>
      <c r="F523" s="25">
        <v>37.966250000000002</v>
      </c>
      <c r="G523" s="8">
        <v>8</v>
      </c>
      <c r="H523" s="26">
        <v>0.16999967076</v>
      </c>
    </row>
    <row r="524" spans="1:8" x14ac:dyDescent="0.2">
      <c r="A524" s="20" t="s">
        <v>461</v>
      </c>
      <c r="B524" s="22" t="s">
        <v>478</v>
      </c>
      <c r="C524" s="25">
        <v>69.487142899999995</v>
      </c>
      <c r="D524" s="15">
        <v>7</v>
      </c>
      <c r="E524" s="26">
        <v>0.16999856088000001</v>
      </c>
      <c r="F524" s="25">
        <v>75.758333300000004</v>
      </c>
      <c r="G524" s="8">
        <v>12</v>
      </c>
      <c r="H524" s="26">
        <v>0.17000109998999999</v>
      </c>
    </row>
    <row r="525" spans="1:8" x14ac:dyDescent="0.2">
      <c r="A525" s="20" t="s">
        <v>461</v>
      </c>
      <c r="B525" s="22" t="s">
        <v>479</v>
      </c>
      <c r="C525" s="25">
        <v>67.087500000000006</v>
      </c>
      <c r="D525" s="15">
        <v>8</v>
      </c>
      <c r="E525" s="26">
        <v>0.17</v>
      </c>
      <c r="F525" s="25">
        <v>214.10499999999999</v>
      </c>
      <c r="G525" s="8">
        <v>30</v>
      </c>
      <c r="H525" s="26">
        <v>0.17000007784000001</v>
      </c>
    </row>
    <row r="526" spans="1:8" x14ac:dyDescent="0.2">
      <c r="A526" s="20" t="s">
        <v>461</v>
      </c>
      <c r="B526" s="22" t="s">
        <v>480</v>
      </c>
      <c r="C526" s="25">
        <v>52.178571400000003</v>
      </c>
      <c r="D526" s="15">
        <v>13</v>
      </c>
      <c r="E526" s="26">
        <v>0.17</v>
      </c>
      <c r="F526" s="25">
        <v>68.666666699999993</v>
      </c>
      <c r="G526" s="8">
        <v>38</v>
      </c>
      <c r="H526" s="26">
        <v>0.17</v>
      </c>
    </row>
    <row r="527" spans="1:8" x14ac:dyDescent="0.2">
      <c r="A527" s="20" t="s">
        <v>461</v>
      </c>
      <c r="B527" s="22" t="s">
        <v>481</v>
      </c>
      <c r="C527" s="25">
        <v>52.456249999999997</v>
      </c>
      <c r="D527" s="15">
        <v>16</v>
      </c>
      <c r="E527" s="26">
        <v>0.17</v>
      </c>
      <c r="F527" s="25">
        <v>82.128205100000002</v>
      </c>
      <c r="G527" s="8">
        <v>38</v>
      </c>
      <c r="H527" s="26">
        <v>0.17</v>
      </c>
    </row>
    <row r="528" spans="1:8" x14ac:dyDescent="0.2">
      <c r="A528" s="20" t="s">
        <v>461</v>
      </c>
      <c r="B528" s="22" t="s">
        <v>482</v>
      </c>
      <c r="C528" s="25">
        <v>230.95217389999999</v>
      </c>
      <c r="D528" s="15">
        <v>23</v>
      </c>
      <c r="E528" s="26">
        <v>0.17</v>
      </c>
      <c r="F528" s="25">
        <v>252.12470590000001</v>
      </c>
      <c r="G528" s="8">
        <v>51</v>
      </c>
      <c r="H528" s="26">
        <v>0.17000006222</v>
      </c>
    </row>
    <row r="529" spans="1:8" x14ac:dyDescent="0.2">
      <c r="A529" s="20" t="s">
        <v>461</v>
      </c>
      <c r="B529" s="22" t="s">
        <v>483</v>
      </c>
      <c r="C529" s="25">
        <v>148.90625</v>
      </c>
      <c r="D529" s="15">
        <v>16</v>
      </c>
      <c r="E529" s="26">
        <v>0.17</v>
      </c>
      <c r="F529" s="25">
        <v>179.71333329999999</v>
      </c>
      <c r="G529" s="8">
        <v>45</v>
      </c>
      <c r="H529" s="26">
        <v>0.17</v>
      </c>
    </row>
    <row r="530" spans="1:8" x14ac:dyDescent="0.2">
      <c r="A530" s="20" t="s">
        <v>461</v>
      </c>
      <c r="B530" s="22" t="s">
        <v>484</v>
      </c>
      <c r="C530" s="25">
        <v>111.7252941</v>
      </c>
      <c r="D530" s="15">
        <v>17</v>
      </c>
      <c r="E530" s="26">
        <v>0.17000047385</v>
      </c>
      <c r="F530" s="25">
        <v>122.9558974</v>
      </c>
      <c r="G530" s="8">
        <v>39</v>
      </c>
      <c r="H530" s="26">
        <v>0.17000029194999999</v>
      </c>
    </row>
    <row r="531" spans="1:8" x14ac:dyDescent="0.2">
      <c r="A531" s="20" t="s">
        <v>461</v>
      </c>
      <c r="B531" s="22" t="s">
        <v>485</v>
      </c>
      <c r="C531" s="25">
        <v>23.972222200000001</v>
      </c>
      <c r="D531" s="15">
        <v>16</v>
      </c>
      <c r="E531" s="26">
        <v>0.17</v>
      </c>
      <c r="F531" s="25">
        <v>24.243181799999999</v>
      </c>
      <c r="G531" s="8">
        <v>32</v>
      </c>
      <c r="H531" s="26">
        <v>0.17</v>
      </c>
    </row>
    <row r="532" spans="1:8" x14ac:dyDescent="0.2">
      <c r="A532" s="20" t="s">
        <v>461</v>
      </c>
      <c r="B532" s="22" t="s">
        <v>279</v>
      </c>
      <c r="C532" s="25">
        <v>123</v>
      </c>
      <c r="D532" s="15">
        <v>1</v>
      </c>
      <c r="E532" s="26">
        <v>0.17</v>
      </c>
      <c r="F532" s="25">
        <v>123</v>
      </c>
      <c r="G532" s="8">
        <v>1</v>
      </c>
      <c r="H532" s="26">
        <v>0.17</v>
      </c>
    </row>
    <row r="533" spans="1:8" x14ac:dyDescent="0.2">
      <c r="A533" s="20" t="s">
        <v>461</v>
      </c>
      <c r="B533" s="22" t="s">
        <v>486</v>
      </c>
      <c r="C533" s="27"/>
      <c r="D533" s="13"/>
      <c r="E533" s="28"/>
      <c r="F533" s="25">
        <v>211.45</v>
      </c>
      <c r="G533" s="8">
        <v>2</v>
      </c>
      <c r="H533" s="26">
        <v>0.17</v>
      </c>
    </row>
    <row r="534" spans="1:8" x14ac:dyDescent="0.2">
      <c r="A534" s="20" t="s">
        <v>461</v>
      </c>
      <c r="B534" s="22" t="s">
        <v>487</v>
      </c>
      <c r="C534" s="25">
        <v>456.73157889999999</v>
      </c>
      <c r="D534" s="15">
        <v>19</v>
      </c>
      <c r="E534" s="26">
        <v>0.17</v>
      </c>
      <c r="F534" s="25">
        <v>460.01086959999998</v>
      </c>
      <c r="G534" s="8">
        <v>46</v>
      </c>
      <c r="H534" s="26">
        <v>0.17</v>
      </c>
    </row>
    <row r="535" spans="1:8" x14ac:dyDescent="0.2">
      <c r="A535" s="20" t="s">
        <v>461</v>
      </c>
      <c r="B535" s="22" t="s">
        <v>488</v>
      </c>
      <c r="C535" s="25">
        <v>316.71249999999998</v>
      </c>
      <c r="D535" s="15">
        <v>8</v>
      </c>
      <c r="E535" s="26">
        <v>0.17</v>
      </c>
      <c r="F535" s="25">
        <v>207.8486111</v>
      </c>
      <c r="G535" s="8">
        <v>36</v>
      </c>
      <c r="H535" s="26">
        <v>0.17000006681999999</v>
      </c>
    </row>
    <row r="536" spans="1:8" x14ac:dyDescent="0.2">
      <c r="A536" s="14" t="s">
        <v>489</v>
      </c>
      <c r="B536" s="22" t="s">
        <v>490</v>
      </c>
      <c r="C536" s="25">
        <v>30.0833333</v>
      </c>
      <c r="D536" s="15">
        <v>6</v>
      </c>
      <c r="E536" s="26">
        <v>0.17</v>
      </c>
      <c r="F536" s="25">
        <v>25.266153800000001</v>
      </c>
      <c r="G536" s="8">
        <v>12</v>
      </c>
      <c r="H536" s="26">
        <v>0.16999939110000001</v>
      </c>
    </row>
    <row r="537" spans="1:8" x14ac:dyDescent="0.2">
      <c r="A537" s="14" t="s">
        <v>489</v>
      </c>
      <c r="B537" s="22" t="s">
        <v>491</v>
      </c>
      <c r="C537" s="27"/>
      <c r="D537" s="13"/>
      <c r="E537" s="28"/>
      <c r="F537" s="25">
        <v>68.405000000000001</v>
      </c>
      <c r="G537" s="8">
        <v>2</v>
      </c>
      <c r="H537" s="26">
        <v>0.17000219282000001</v>
      </c>
    </row>
    <row r="538" spans="1:8" x14ac:dyDescent="0.2">
      <c r="A538" s="14" t="s">
        <v>489</v>
      </c>
      <c r="B538" s="22" t="s">
        <v>492</v>
      </c>
      <c r="C538" s="25">
        <v>65.465555600000002</v>
      </c>
      <c r="D538" s="15">
        <v>9</v>
      </c>
      <c r="E538" s="26">
        <v>0.16999949082999999</v>
      </c>
      <c r="F538" s="25">
        <v>65.260000000000005</v>
      </c>
      <c r="G538" s="8">
        <v>16</v>
      </c>
      <c r="H538" s="26">
        <v>0.16999980846000001</v>
      </c>
    </row>
    <row r="539" spans="1:8" x14ac:dyDescent="0.2">
      <c r="A539" s="14" t="s">
        <v>489</v>
      </c>
      <c r="B539" s="22" t="s">
        <v>493</v>
      </c>
      <c r="C539" s="25">
        <v>257.3</v>
      </c>
      <c r="D539" s="15">
        <v>6</v>
      </c>
      <c r="E539" s="26">
        <v>0.17</v>
      </c>
      <c r="F539" s="25">
        <v>247.77181820000001</v>
      </c>
      <c r="G539" s="8">
        <v>11</v>
      </c>
      <c r="H539" s="26">
        <v>0.16999988993000001</v>
      </c>
    </row>
    <row r="540" spans="1:8" x14ac:dyDescent="0.2">
      <c r="A540" s="14" t="s">
        <v>489</v>
      </c>
      <c r="B540" s="22" t="s">
        <v>494</v>
      </c>
      <c r="C540" s="25">
        <v>146</v>
      </c>
      <c r="D540" s="15">
        <v>1</v>
      </c>
      <c r="E540" s="26">
        <v>0.17</v>
      </c>
      <c r="F540" s="25">
        <v>133</v>
      </c>
      <c r="G540" s="8">
        <v>2</v>
      </c>
      <c r="H540" s="26">
        <v>0.17</v>
      </c>
    </row>
    <row r="541" spans="1:8" x14ac:dyDescent="0.2">
      <c r="A541" s="14" t="s">
        <v>489</v>
      </c>
      <c r="B541" s="22" t="s">
        <v>495</v>
      </c>
      <c r="C541" s="25">
        <v>101.2566667</v>
      </c>
      <c r="D541" s="15">
        <v>12</v>
      </c>
      <c r="E541" s="26">
        <v>0.16999950621000001</v>
      </c>
      <c r="F541" s="25">
        <v>104.3804348</v>
      </c>
      <c r="G541" s="8">
        <v>23</v>
      </c>
      <c r="H541" s="26">
        <v>0.16999979172999999</v>
      </c>
    </row>
    <row r="542" spans="1:8" x14ac:dyDescent="0.2">
      <c r="A542" s="14" t="s">
        <v>489</v>
      </c>
      <c r="B542" s="22" t="s">
        <v>496</v>
      </c>
      <c r="C542" s="25">
        <v>13.9657143</v>
      </c>
      <c r="D542" s="15">
        <v>7</v>
      </c>
      <c r="E542" s="26">
        <v>0.16999795416999999</v>
      </c>
      <c r="F542" s="25">
        <v>14.193</v>
      </c>
      <c r="G542" s="8">
        <v>10</v>
      </c>
      <c r="H542" s="26">
        <v>0.16999929543</v>
      </c>
    </row>
    <row r="543" spans="1:8" x14ac:dyDescent="0.2">
      <c r="A543" s="14" t="s">
        <v>489</v>
      </c>
      <c r="B543" s="22" t="s">
        <v>497</v>
      </c>
      <c r="C543" s="25">
        <v>47.057499999999997</v>
      </c>
      <c r="D543" s="15">
        <v>4</v>
      </c>
      <c r="E543" s="26">
        <v>0.17000478138</v>
      </c>
      <c r="F543" s="25">
        <v>36.321111100000003</v>
      </c>
      <c r="G543" s="8">
        <v>9</v>
      </c>
      <c r="H543" s="26">
        <v>0.17000214139</v>
      </c>
    </row>
    <row r="544" spans="1:8" x14ac:dyDescent="0.2">
      <c r="A544" s="14" t="s">
        <v>489</v>
      </c>
      <c r="B544" s="22" t="s">
        <v>22</v>
      </c>
      <c r="C544" s="25">
        <v>42.9</v>
      </c>
      <c r="D544" s="15">
        <v>2</v>
      </c>
      <c r="E544" s="26">
        <v>0.17</v>
      </c>
      <c r="F544" s="25">
        <v>57.5</v>
      </c>
      <c r="G544" s="8">
        <v>3</v>
      </c>
      <c r="H544" s="26">
        <v>0.17</v>
      </c>
    </row>
    <row r="545" spans="1:8" x14ac:dyDescent="0.2">
      <c r="A545" s="14" t="s">
        <v>489</v>
      </c>
      <c r="B545" s="22" t="s">
        <v>23</v>
      </c>
      <c r="C545" s="27"/>
      <c r="D545" s="13"/>
      <c r="E545" s="28"/>
      <c r="F545" s="25">
        <v>14.67</v>
      </c>
      <c r="G545" s="8">
        <v>2</v>
      </c>
      <c r="H545" s="26">
        <v>0.17000681663</v>
      </c>
    </row>
    <row r="546" spans="1:8" x14ac:dyDescent="0.2">
      <c r="A546" s="14" t="s">
        <v>489</v>
      </c>
      <c r="B546" s="22" t="s">
        <v>24</v>
      </c>
      <c r="C546" s="25">
        <v>14.55</v>
      </c>
      <c r="D546" s="15">
        <v>1</v>
      </c>
      <c r="E546" s="26">
        <v>0.17003436425999999</v>
      </c>
      <c r="F546" s="25">
        <v>14.3233333</v>
      </c>
      <c r="G546" s="8">
        <v>3</v>
      </c>
      <c r="H546" s="26">
        <v>0.17002559925999999</v>
      </c>
    </row>
    <row r="547" spans="1:8" x14ac:dyDescent="0.2">
      <c r="A547" s="14" t="s">
        <v>489</v>
      </c>
      <c r="B547" s="22" t="s">
        <v>498</v>
      </c>
      <c r="C547" s="25">
        <v>19.16</v>
      </c>
      <c r="D547" s="15">
        <v>5</v>
      </c>
      <c r="E547" s="26">
        <v>0.17</v>
      </c>
      <c r="F547" s="25">
        <v>18.882000000000001</v>
      </c>
      <c r="G547" s="8">
        <v>10</v>
      </c>
      <c r="H547" s="26">
        <v>0.17000847367999999</v>
      </c>
    </row>
    <row r="548" spans="1:8" x14ac:dyDescent="0.2">
      <c r="A548" s="14" t="s">
        <v>489</v>
      </c>
      <c r="B548" s="22" t="s">
        <v>499</v>
      </c>
      <c r="C548" s="27"/>
      <c r="D548" s="13"/>
      <c r="E548" s="28"/>
      <c r="F548" s="25">
        <v>14.45</v>
      </c>
      <c r="G548" s="8">
        <v>1</v>
      </c>
      <c r="H548" s="26">
        <v>0.17003460208000001</v>
      </c>
    </row>
    <row r="549" spans="1:8" x14ac:dyDescent="0.2">
      <c r="A549" s="14" t="s">
        <v>489</v>
      </c>
      <c r="B549" s="22" t="s">
        <v>25</v>
      </c>
      <c r="C549" s="27"/>
      <c r="D549" s="13"/>
      <c r="E549" s="28"/>
      <c r="F549" s="25">
        <v>20.864999999999998</v>
      </c>
      <c r="G549" s="8">
        <v>2</v>
      </c>
      <c r="H549" s="26">
        <v>0.16999760363999999</v>
      </c>
    </row>
    <row r="550" spans="1:8" x14ac:dyDescent="0.2">
      <c r="A550" s="14" t="s">
        <v>489</v>
      </c>
      <c r="B550" s="22" t="s">
        <v>500</v>
      </c>
      <c r="C550" s="25">
        <v>21.02375</v>
      </c>
      <c r="D550" s="15">
        <v>7</v>
      </c>
      <c r="E550" s="26">
        <v>0.1699982163</v>
      </c>
      <c r="F550" s="25">
        <v>20.213125000000002</v>
      </c>
      <c r="G550" s="8">
        <v>15</v>
      </c>
      <c r="H550" s="26">
        <v>0.16999783556</v>
      </c>
    </row>
    <row r="551" spans="1:8" x14ac:dyDescent="0.2">
      <c r="A551" s="14" t="s">
        <v>489</v>
      </c>
      <c r="B551" s="22" t="s">
        <v>26</v>
      </c>
      <c r="C551" s="25">
        <v>14.57</v>
      </c>
      <c r="D551" s="15">
        <v>2</v>
      </c>
      <c r="E551" s="26">
        <v>0.17000686341999999</v>
      </c>
      <c r="F551" s="25">
        <v>14.145</v>
      </c>
      <c r="G551" s="8">
        <v>4</v>
      </c>
      <c r="H551" s="26">
        <v>0.17000706964000001</v>
      </c>
    </row>
    <row r="552" spans="1:8" x14ac:dyDescent="0.2">
      <c r="A552" s="14" t="s">
        <v>489</v>
      </c>
      <c r="B552" s="22" t="s">
        <v>501</v>
      </c>
      <c r="C552" s="25">
        <v>19.391428600000001</v>
      </c>
      <c r="D552" s="15">
        <v>7</v>
      </c>
      <c r="E552" s="26">
        <v>0.16999410638000001</v>
      </c>
      <c r="F552" s="25">
        <v>19.378</v>
      </c>
      <c r="G552" s="8">
        <v>14</v>
      </c>
      <c r="H552" s="26">
        <v>0.16999690371000001</v>
      </c>
    </row>
    <row r="553" spans="1:8" x14ac:dyDescent="0.2">
      <c r="A553" s="14" t="s">
        <v>489</v>
      </c>
      <c r="B553" s="22" t="s">
        <v>502</v>
      </c>
      <c r="C553" s="25">
        <v>19.356666700000002</v>
      </c>
      <c r="D553" s="15">
        <v>6</v>
      </c>
      <c r="E553" s="26">
        <v>0.17000172206</v>
      </c>
      <c r="F553" s="25">
        <v>19.328888899999999</v>
      </c>
      <c r="G553" s="8">
        <v>9</v>
      </c>
      <c r="H553" s="26">
        <v>0.16999885031</v>
      </c>
    </row>
    <row r="554" spans="1:8" x14ac:dyDescent="0.2">
      <c r="A554" s="14" t="s">
        <v>489</v>
      </c>
      <c r="B554" s="22" t="s">
        <v>30</v>
      </c>
      <c r="C554" s="27"/>
      <c r="D554" s="13"/>
      <c r="E554" s="28"/>
      <c r="F554" s="25">
        <v>20.745000000000001</v>
      </c>
      <c r="G554" s="8">
        <v>2</v>
      </c>
      <c r="H554" s="26">
        <v>0.16999276933999999</v>
      </c>
    </row>
    <row r="555" spans="1:8" x14ac:dyDescent="0.2">
      <c r="A555" s="14" t="s">
        <v>489</v>
      </c>
      <c r="B555" s="22" t="s">
        <v>32</v>
      </c>
      <c r="C555" s="25">
        <v>18.355</v>
      </c>
      <c r="D555" s="15">
        <v>2</v>
      </c>
      <c r="E555" s="26">
        <v>0.17000817216</v>
      </c>
      <c r="F555" s="25">
        <v>24.1325</v>
      </c>
      <c r="G555" s="8">
        <v>4</v>
      </c>
      <c r="H555" s="26">
        <v>0.17000932353000001</v>
      </c>
    </row>
    <row r="556" spans="1:8" x14ac:dyDescent="0.2">
      <c r="A556" s="14" t="s">
        <v>489</v>
      </c>
      <c r="B556" s="22" t="s">
        <v>503</v>
      </c>
      <c r="C556" s="25">
        <v>19.670000000000002</v>
      </c>
      <c r="D556" s="15">
        <v>9</v>
      </c>
      <c r="E556" s="26">
        <v>0.17000508387999999</v>
      </c>
      <c r="F556" s="25">
        <v>19.464117600000002</v>
      </c>
      <c r="G556" s="8">
        <v>16</v>
      </c>
      <c r="H556" s="26">
        <v>0.17000211551</v>
      </c>
    </row>
    <row r="557" spans="1:8" x14ac:dyDescent="0.2">
      <c r="A557" s="14" t="s">
        <v>489</v>
      </c>
      <c r="B557" s="22" t="s">
        <v>33</v>
      </c>
      <c r="C557" s="25">
        <v>18.38</v>
      </c>
      <c r="D557" s="15">
        <v>2</v>
      </c>
      <c r="E557" s="26">
        <v>0.17002176279</v>
      </c>
      <c r="F557" s="25">
        <v>23.692499999999999</v>
      </c>
      <c r="G557" s="8">
        <v>4</v>
      </c>
      <c r="H557" s="26">
        <v>0.17001160705000001</v>
      </c>
    </row>
    <row r="558" spans="1:8" x14ac:dyDescent="0.2">
      <c r="A558" s="14" t="s">
        <v>489</v>
      </c>
      <c r="B558" s="22" t="s">
        <v>34</v>
      </c>
      <c r="C558" s="25">
        <v>14.36</v>
      </c>
      <c r="D558" s="15">
        <v>2</v>
      </c>
      <c r="E558" s="26">
        <v>0.16998607242</v>
      </c>
      <c r="F558" s="25">
        <v>14.326000000000001</v>
      </c>
      <c r="G558" s="8">
        <v>4</v>
      </c>
      <c r="H558" s="26">
        <v>0.16999860393999999</v>
      </c>
    </row>
    <row r="559" spans="1:8" x14ac:dyDescent="0.2">
      <c r="A559" s="14" t="s">
        <v>489</v>
      </c>
      <c r="B559" s="22" t="s">
        <v>35</v>
      </c>
      <c r="C559" s="25">
        <v>23.754999999999999</v>
      </c>
      <c r="D559" s="15">
        <v>4</v>
      </c>
      <c r="E559" s="26">
        <v>0.17000631446</v>
      </c>
      <c r="F559" s="25">
        <v>22.008571400000001</v>
      </c>
      <c r="G559" s="8">
        <v>7</v>
      </c>
      <c r="H559" s="26">
        <v>0.17000519278000001</v>
      </c>
    </row>
    <row r="560" spans="1:8" x14ac:dyDescent="0.2">
      <c r="A560" s="14" t="s">
        <v>489</v>
      </c>
      <c r="B560" s="22" t="s">
        <v>504</v>
      </c>
      <c r="C560" s="25">
        <v>16.956</v>
      </c>
      <c r="D560" s="15">
        <v>5</v>
      </c>
      <c r="E560" s="26">
        <v>0.17001651333000001</v>
      </c>
      <c r="F560" s="25">
        <v>18.5242857</v>
      </c>
      <c r="G560" s="8">
        <v>7</v>
      </c>
      <c r="H560" s="26">
        <v>0.17001619496000001</v>
      </c>
    </row>
    <row r="561" spans="1:8" x14ac:dyDescent="0.2">
      <c r="A561" s="14" t="s">
        <v>489</v>
      </c>
      <c r="B561" s="22" t="s">
        <v>505</v>
      </c>
      <c r="C561" s="25">
        <v>35.9811111</v>
      </c>
      <c r="D561" s="15">
        <v>9</v>
      </c>
      <c r="E561" s="26">
        <v>0.17000277924000001</v>
      </c>
      <c r="F561" s="25">
        <v>43.147058800000003</v>
      </c>
      <c r="G561" s="8">
        <v>17</v>
      </c>
      <c r="H561" s="26">
        <v>0.17000272664999999</v>
      </c>
    </row>
    <row r="562" spans="1:8" x14ac:dyDescent="0.2">
      <c r="A562" s="14" t="s">
        <v>489</v>
      </c>
      <c r="B562" s="22" t="s">
        <v>506</v>
      </c>
      <c r="C562" s="25">
        <v>14.3328571</v>
      </c>
      <c r="D562" s="15">
        <v>7</v>
      </c>
      <c r="E562" s="26">
        <v>0.16998903618</v>
      </c>
      <c r="F562" s="25">
        <v>14.53</v>
      </c>
      <c r="G562" s="8">
        <v>10</v>
      </c>
      <c r="H562" s="26">
        <v>0.16999311769</v>
      </c>
    </row>
    <row r="563" spans="1:8" x14ac:dyDescent="0.2">
      <c r="A563" s="14" t="s">
        <v>489</v>
      </c>
      <c r="B563" s="22" t="s">
        <v>507</v>
      </c>
      <c r="C563" s="25">
        <v>14.67</v>
      </c>
      <c r="D563" s="15">
        <v>1</v>
      </c>
      <c r="E563" s="26">
        <v>0.17000681663</v>
      </c>
      <c r="F563" s="25">
        <v>14.99</v>
      </c>
      <c r="G563" s="8">
        <v>4</v>
      </c>
      <c r="H563" s="26">
        <v>0.17001334223</v>
      </c>
    </row>
    <row r="564" spans="1:8" x14ac:dyDescent="0.2">
      <c r="A564" s="14" t="s">
        <v>489</v>
      </c>
      <c r="B564" s="22" t="s">
        <v>508</v>
      </c>
      <c r="C564" s="25">
        <v>14.481428599999999</v>
      </c>
      <c r="D564" s="15">
        <v>7</v>
      </c>
      <c r="E564" s="26">
        <v>0.17001085133999999</v>
      </c>
      <c r="F564" s="25">
        <v>14.4161538</v>
      </c>
      <c r="G564" s="8">
        <v>13</v>
      </c>
      <c r="H564" s="26">
        <v>0.17000160077000001</v>
      </c>
    </row>
    <row r="565" spans="1:8" x14ac:dyDescent="0.2">
      <c r="A565" s="14" t="s">
        <v>489</v>
      </c>
      <c r="B565" s="22" t="s">
        <v>509</v>
      </c>
      <c r="C565" s="25">
        <v>27.159090899999999</v>
      </c>
      <c r="D565" s="15">
        <v>11</v>
      </c>
      <c r="E565" s="26">
        <v>0.17000502092</v>
      </c>
      <c r="F565" s="25">
        <v>28.231428600000001</v>
      </c>
      <c r="G565" s="8">
        <v>20</v>
      </c>
      <c r="H565" s="26">
        <v>0.17000303613000001</v>
      </c>
    </row>
    <row r="566" spans="1:8" x14ac:dyDescent="0.2">
      <c r="A566" s="14" t="s">
        <v>489</v>
      </c>
      <c r="B566" s="22" t="s">
        <v>510</v>
      </c>
      <c r="C566" s="25">
        <v>26.5657143</v>
      </c>
      <c r="D566" s="15">
        <v>7</v>
      </c>
      <c r="E566" s="26">
        <v>0.16999892450000001</v>
      </c>
      <c r="F566" s="25">
        <v>22.46875</v>
      </c>
      <c r="G566" s="8">
        <v>16</v>
      </c>
      <c r="H566" s="26">
        <v>0.17</v>
      </c>
    </row>
    <row r="567" spans="1:8" x14ac:dyDescent="0.2">
      <c r="A567" s="14" t="s">
        <v>489</v>
      </c>
      <c r="B567" s="22" t="s">
        <v>511</v>
      </c>
      <c r="C567" s="27"/>
      <c r="D567" s="13"/>
      <c r="E567" s="28"/>
      <c r="F567" s="25">
        <v>20.8</v>
      </c>
      <c r="G567" s="8">
        <v>1</v>
      </c>
      <c r="H567" s="26">
        <v>0.17</v>
      </c>
    </row>
    <row r="568" spans="1:8" x14ac:dyDescent="0.2">
      <c r="A568" s="14" t="s">
        <v>489</v>
      </c>
      <c r="B568" s="22" t="s">
        <v>512</v>
      </c>
      <c r="C568" s="25">
        <v>207.73</v>
      </c>
      <c r="D568" s="15">
        <v>1</v>
      </c>
      <c r="E568" s="26">
        <v>0.16999951861000001</v>
      </c>
      <c r="F568" s="25">
        <v>292.93333330000002</v>
      </c>
      <c r="G568" s="8">
        <v>3</v>
      </c>
      <c r="H568" s="26">
        <v>0.17</v>
      </c>
    </row>
    <row r="569" spans="1:8" x14ac:dyDescent="0.2">
      <c r="A569" s="14" t="s">
        <v>489</v>
      </c>
      <c r="B569" s="22" t="s">
        <v>513</v>
      </c>
      <c r="C569" s="25">
        <v>27.4128571</v>
      </c>
      <c r="D569" s="15">
        <v>6</v>
      </c>
      <c r="E569" s="26">
        <v>0.17000364792</v>
      </c>
      <c r="F569" s="25">
        <v>27.4128571</v>
      </c>
      <c r="G569" s="8">
        <v>6</v>
      </c>
      <c r="H569" s="26">
        <v>0.17000364792</v>
      </c>
    </row>
    <row r="570" spans="1:8" x14ac:dyDescent="0.2">
      <c r="A570" s="14" t="s">
        <v>489</v>
      </c>
      <c r="B570" s="22" t="s">
        <v>43</v>
      </c>
      <c r="C570" s="25">
        <v>13.09</v>
      </c>
      <c r="D570" s="15">
        <v>1</v>
      </c>
      <c r="E570" s="26">
        <v>0.16997708174000001</v>
      </c>
      <c r="F570" s="25">
        <v>20.352</v>
      </c>
      <c r="G570" s="8">
        <v>5</v>
      </c>
      <c r="H570" s="26">
        <v>0.16999803459000001</v>
      </c>
    </row>
    <row r="571" spans="1:8" x14ac:dyDescent="0.2">
      <c r="A571" s="14" t="s">
        <v>489</v>
      </c>
      <c r="B571" s="22" t="s">
        <v>47</v>
      </c>
      <c r="C571" s="25">
        <v>158.62666669999999</v>
      </c>
      <c r="D571" s="15">
        <v>9</v>
      </c>
      <c r="E571" s="26">
        <v>0.16999943963</v>
      </c>
      <c r="F571" s="25">
        <v>147.54538460000001</v>
      </c>
      <c r="G571" s="8">
        <v>13</v>
      </c>
      <c r="H571" s="26">
        <v>0.16999932224</v>
      </c>
    </row>
    <row r="572" spans="1:8" x14ac:dyDescent="0.2">
      <c r="A572" s="14" t="s">
        <v>489</v>
      </c>
      <c r="B572" s="22" t="s">
        <v>514</v>
      </c>
      <c r="C572" s="25">
        <v>96.485555599999998</v>
      </c>
      <c r="D572" s="15">
        <v>9</v>
      </c>
      <c r="E572" s="26">
        <v>0.17000126673999999</v>
      </c>
      <c r="F572" s="25">
        <v>105.7530769</v>
      </c>
      <c r="G572" s="8">
        <v>13</v>
      </c>
      <c r="H572" s="26">
        <v>0.17000123654999999</v>
      </c>
    </row>
    <row r="573" spans="1:8" x14ac:dyDescent="0.2">
      <c r="A573" s="14" t="s">
        <v>489</v>
      </c>
      <c r="B573" s="22" t="s">
        <v>515</v>
      </c>
      <c r="C573" s="25">
        <v>19.703333300000001</v>
      </c>
      <c r="D573" s="15">
        <v>12</v>
      </c>
      <c r="E573" s="26">
        <v>0.17000084588</v>
      </c>
      <c r="F573" s="25">
        <v>18.989090900000001</v>
      </c>
      <c r="G573" s="8">
        <v>21</v>
      </c>
      <c r="H573" s="26">
        <v>0.16999952126000001</v>
      </c>
    </row>
    <row r="574" spans="1:8" x14ac:dyDescent="0.2">
      <c r="A574" s="14" t="s">
        <v>489</v>
      </c>
      <c r="B574" s="22" t="s">
        <v>516</v>
      </c>
      <c r="C574" s="25">
        <v>30.305</v>
      </c>
      <c r="D574" s="15">
        <v>8</v>
      </c>
      <c r="E574" s="26">
        <v>0.17000082494999999</v>
      </c>
      <c r="F574" s="25">
        <v>28.208823500000001</v>
      </c>
      <c r="G574" s="8">
        <v>17</v>
      </c>
      <c r="H574" s="26">
        <v>0.16999895736000001</v>
      </c>
    </row>
    <row r="575" spans="1:8" x14ac:dyDescent="0.2">
      <c r="A575" s="14" t="s">
        <v>489</v>
      </c>
      <c r="B575" s="22" t="s">
        <v>517</v>
      </c>
      <c r="C575" s="25">
        <v>61.09</v>
      </c>
      <c r="D575" s="15">
        <v>1</v>
      </c>
      <c r="E575" s="26">
        <v>0.16999508921000001</v>
      </c>
      <c r="F575" s="25">
        <v>64.459999999999994</v>
      </c>
      <c r="G575" s="8">
        <v>3</v>
      </c>
      <c r="H575" s="26">
        <v>0.17000206846999999</v>
      </c>
    </row>
    <row r="576" spans="1:8" x14ac:dyDescent="0.2">
      <c r="A576" s="14" t="s">
        <v>489</v>
      </c>
      <c r="B576" s="22" t="s">
        <v>518</v>
      </c>
      <c r="C576" s="25">
        <v>15.31625</v>
      </c>
      <c r="D576" s="15">
        <v>8</v>
      </c>
      <c r="E576" s="26">
        <v>0.17000734513999999</v>
      </c>
      <c r="F576" s="25">
        <v>15.029285700000001</v>
      </c>
      <c r="G576" s="8">
        <v>13</v>
      </c>
      <c r="H576" s="26">
        <v>0.17000142578999999</v>
      </c>
    </row>
    <row r="577" spans="1:8" x14ac:dyDescent="0.2">
      <c r="A577" s="14" t="s">
        <v>489</v>
      </c>
      <c r="B577" s="22" t="s">
        <v>519</v>
      </c>
      <c r="C577" s="25">
        <v>47.593000000000004</v>
      </c>
      <c r="D577" s="15">
        <v>10</v>
      </c>
      <c r="E577" s="26">
        <v>0.17000189102999999</v>
      </c>
      <c r="F577" s="25">
        <v>48.145882399999998</v>
      </c>
      <c r="G577" s="8">
        <v>17</v>
      </c>
      <c r="H577" s="26">
        <v>0.17000048871000001</v>
      </c>
    </row>
    <row r="578" spans="1:8" x14ac:dyDescent="0.2">
      <c r="A578" s="14" t="s">
        <v>489</v>
      </c>
      <c r="B578" s="22" t="s">
        <v>520</v>
      </c>
      <c r="C578" s="25">
        <v>118.21250000000001</v>
      </c>
      <c r="D578" s="15">
        <v>4</v>
      </c>
      <c r="E578" s="26">
        <v>0.16999894258000001</v>
      </c>
      <c r="F578" s="25">
        <v>99.87</v>
      </c>
      <c r="G578" s="8">
        <v>7</v>
      </c>
      <c r="H578" s="26">
        <v>0.16999957087000001</v>
      </c>
    </row>
    <row r="579" spans="1:8" x14ac:dyDescent="0.2">
      <c r="A579" s="14" t="s">
        <v>489</v>
      </c>
      <c r="B579" s="22" t="s">
        <v>521</v>
      </c>
      <c r="C579" s="25">
        <v>14.752000000000001</v>
      </c>
      <c r="D579" s="15">
        <v>10</v>
      </c>
      <c r="E579" s="26">
        <v>0.17000406725</v>
      </c>
      <c r="F579" s="25">
        <v>14.8835294</v>
      </c>
      <c r="G579" s="8">
        <v>17</v>
      </c>
      <c r="H579" s="26">
        <v>0.17000237134999999</v>
      </c>
    </row>
    <row r="580" spans="1:8" x14ac:dyDescent="0.2">
      <c r="A580" s="14" t="s">
        <v>489</v>
      </c>
      <c r="B580" s="22" t="s">
        <v>522</v>
      </c>
      <c r="C580" s="25">
        <v>185.50923080000001</v>
      </c>
      <c r="D580" s="15">
        <v>13</v>
      </c>
      <c r="E580" s="26">
        <v>0.1700002488</v>
      </c>
      <c r="F580" s="25">
        <v>182.69916670000001</v>
      </c>
      <c r="G580" s="8">
        <v>24</v>
      </c>
      <c r="H580" s="26">
        <v>0.17000077541</v>
      </c>
    </row>
    <row r="581" spans="1:8" x14ac:dyDescent="0.2">
      <c r="A581" s="14" t="s">
        <v>489</v>
      </c>
      <c r="B581" s="22" t="s">
        <v>523</v>
      </c>
      <c r="C581" s="25">
        <v>16.78</v>
      </c>
      <c r="D581" s="15">
        <v>7</v>
      </c>
      <c r="E581" s="26">
        <v>0.16999829728999999</v>
      </c>
      <c r="F581" s="25">
        <v>17.941428599999998</v>
      </c>
      <c r="G581" s="8">
        <v>14</v>
      </c>
      <c r="H581" s="26">
        <v>0.16999761126999999</v>
      </c>
    </row>
    <row r="582" spans="1:8" x14ac:dyDescent="0.2">
      <c r="A582" s="14" t="s">
        <v>489</v>
      </c>
      <c r="B582" s="22" t="s">
        <v>524</v>
      </c>
      <c r="C582" s="25">
        <v>15.165714299999999</v>
      </c>
      <c r="D582" s="15">
        <v>7</v>
      </c>
      <c r="E582" s="26">
        <v>0.16999811605000001</v>
      </c>
      <c r="F582" s="25">
        <v>16.331428599999999</v>
      </c>
      <c r="G582" s="8">
        <v>14</v>
      </c>
      <c r="H582" s="26">
        <v>0.17000087474</v>
      </c>
    </row>
    <row r="583" spans="1:8" x14ac:dyDescent="0.2">
      <c r="A583" s="14" t="s">
        <v>489</v>
      </c>
      <c r="B583" s="22" t="s">
        <v>525</v>
      </c>
      <c r="C583" s="25">
        <v>52.2233333</v>
      </c>
      <c r="D583" s="15">
        <v>3</v>
      </c>
      <c r="E583" s="26">
        <v>0.17000063828</v>
      </c>
      <c r="F583" s="25">
        <v>48.862857099999999</v>
      </c>
      <c r="G583" s="8">
        <v>7</v>
      </c>
      <c r="H583" s="26">
        <v>0.17000058472999999</v>
      </c>
    </row>
    <row r="584" spans="1:8" x14ac:dyDescent="0.2">
      <c r="A584" s="14" t="s">
        <v>489</v>
      </c>
      <c r="B584" s="22" t="s">
        <v>526</v>
      </c>
      <c r="C584" s="27"/>
      <c r="D584" s="13"/>
      <c r="E584" s="28"/>
      <c r="F584" s="25">
        <v>100.57</v>
      </c>
      <c r="G584" s="8">
        <v>1</v>
      </c>
      <c r="H584" s="26">
        <v>0.17000099432999999</v>
      </c>
    </row>
    <row r="585" spans="1:8" x14ac:dyDescent="0.2">
      <c r="A585" s="14" t="s">
        <v>489</v>
      </c>
      <c r="B585" s="22" t="s">
        <v>527</v>
      </c>
      <c r="C585" s="27"/>
      <c r="D585" s="13"/>
      <c r="E585" s="28"/>
      <c r="F585" s="25">
        <v>40.020000000000003</v>
      </c>
      <c r="G585" s="8">
        <v>1</v>
      </c>
      <c r="H585" s="26">
        <v>0.169990005</v>
      </c>
    </row>
    <row r="586" spans="1:8" x14ac:dyDescent="0.2">
      <c r="A586" s="14" t="s">
        <v>489</v>
      </c>
      <c r="B586" s="22" t="s">
        <v>528</v>
      </c>
      <c r="C586" s="25">
        <v>2246.2199999999998</v>
      </c>
      <c r="D586" s="15">
        <v>10</v>
      </c>
      <c r="E586" s="26">
        <v>0.17</v>
      </c>
      <c r="F586" s="25">
        <v>2321.9055555999998</v>
      </c>
      <c r="G586" s="8">
        <v>18</v>
      </c>
      <c r="H586" s="26">
        <v>0.17</v>
      </c>
    </row>
    <row r="587" spans="1:8" x14ac:dyDescent="0.2">
      <c r="A587" s="14" t="s">
        <v>489</v>
      </c>
      <c r="B587" s="22" t="s">
        <v>529</v>
      </c>
      <c r="C587" s="25">
        <v>184.86692310000001</v>
      </c>
      <c r="D587" s="15">
        <v>13</v>
      </c>
      <c r="E587" s="26">
        <v>0.17000045771</v>
      </c>
      <c r="F587" s="25">
        <v>173.45480000000001</v>
      </c>
      <c r="G587" s="8">
        <v>25</v>
      </c>
      <c r="H587" s="26">
        <v>0.17000025366999999</v>
      </c>
    </row>
    <row r="588" spans="1:8" x14ac:dyDescent="0.2">
      <c r="A588" s="14" t="s">
        <v>489</v>
      </c>
      <c r="B588" s="22" t="s">
        <v>530</v>
      </c>
      <c r="C588" s="25">
        <v>219.96125000000001</v>
      </c>
      <c r="D588" s="15">
        <v>8</v>
      </c>
      <c r="E588" s="26">
        <v>0.16999982952000001</v>
      </c>
      <c r="F588" s="25">
        <v>168.53062499999999</v>
      </c>
      <c r="G588" s="8">
        <v>16</v>
      </c>
      <c r="H588" s="26">
        <v>0.16999988873999999</v>
      </c>
    </row>
    <row r="589" spans="1:8" x14ac:dyDescent="0.2">
      <c r="A589" s="14" t="s">
        <v>489</v>
      </c>
      <c r="B589" s="22" t="s">
        <v>531</v>
      </c>
      <c r="C589" s="25">
        <v>66.366666699999996</v>
      </c>
      <c r="D589" s="15">
        <v>3</v>
      </c>
      <c r="E589" s="26">
        <v>0.17</v>
      </c>
      <c r="F589" s="25">
        <v>66.366666699999996</v>
      </c>
      <c r="G589" s="8">
        <v>3</v>
      </c>
      <c r="H589" s="26">
        <v>0.17</v>
      </c>
    </row>
    <row r="590" spans="1:8" x14ac:dyDescent="0.2">
      <c r="A590" s="14" t="s">
        <v>489</v>
      </c>
      <c r="B590" s="22" t="s">
        <v>532</v>
      </c>
      <c r="C590" s="25">
        <v>1260.7</v>
      </c>
      <c r="D590" s="15">
        <v>1</v>
      </c>
      <c r="E590" s="26">
        <v>0.17</v>
      </c>
      <c r="F590" s="25">
        <v>1260.7</v>
      </c>
      <c r="G590" s="8">
        <v>1</v>
      </c>
      <c r="H590" s="26">
        <v>0.17</v>
      </c>
    </row>
    <row r="591" spans="1:8" x14ac:dyDescent="0.2">
      <c r="A591" s="14" t="s">
        <v>533</v>
      </c>
      <c r="B591" s="22" t="s">
        <v>310</v>
      </c>
      <c r="C591" s="25">
        <v>199.74</v>
      </c>
      <c r="D591" s="15">
        <v>1</v>
      </c>
      <c r="E591" s="26">
        <v>0.12346049865</v>
      </c>
      <c r="F591" s="25">
        <v>199.74</v>
      </c>
      <c r="G591" s="8">
        <v>1</v>
      </c>
      <c r="H591" s="26">
        <v>0.12346049865</v>
      </c>
    </row>
    <row r="592" spans="1:8" x14ac:dyDescent="0.2">
      <c r="A592" s="14" t="s">
        <v>533</v>
      </c>
      <c r="B592" s="22" t="s">
        <v>534</v>
      </c>
      <c r="C592" s="25">
        <v>17.123333299999999</v>
      </c>
      <c r="D592" s="15">
        <v>9</v>
      </c>
      <c r="E592" s="26">
        <v>0.91862955032000004</v>
      </c>
      <c r="F592" s="25">
        <v>20.832000000000001</v>
      </c>
      <c r="G592" s="8">
        <v>20</v>
      </c>
      <c r="H592" s="26">
        <v>0.75508832564999995</v>
      </c>
    </row>
    <row r="593" spans="1:8" x14ac:dyDescent="0.2">
      <c r="A593" s="14" t="s">
        <v>533</v>
      </c>
      <c r="B593" s="22" t="s">
        <v>535</v>
      </c>
      <c r="C593" s="25">
        <v>20.687727299999999</v>
      </c>
      <c r="D593" s="15">
        <v>22</v>
      </c>
      <c r="E593" s="26">
        <v>0.76035418452000003</v>
      </c>
      <c r="F593" s="25">
        <v>20.438867900000002</v>
      </c>
      <c r="G593" s="8">
        <v>53</v>
      </c>
      <c r="H593" s="26">
        <v>0.76961209681999998</v>
      </c>
    </row>
    <row r="594" spans="1:8" x14ac:dyDescent="0.2">
      <c r="A594" s="14" t="s">
        <v>533</v>
      </c>
      <c r="B594" s="22" t="s">
        <v>536</v>
      </c>
      <c r="C594" s="25">
        <v>35.757692300000002</v>
      </c>
      <c r="D594" s="15">
        <v>26</v>
      </c>
      <c r="E594" s="26">
        <v>0.47600301171999998</v>
      </c>
      <c r="F594" s="25">
        <v>39.479310300000002</v>
      </c>
      <c r="G594" s="8">
        <v>58</v>
      </c>
      <c r="H594" s="26">
        <v>0.4400427985</v>
      </c>
    </row>
    <row r="595" spans="1:8" x14ac:dyDescent="0.2">
      <c r="A595" s="14" t="s">
        <v>533</v>
      </c>
      <c r="B595" s="22" t="s">
        <v>537</v>
      </c>
      <c r="C595" s="25">
        <v>4.83</v>
      </c>
      <c r="D595" s="15">
        <v>1</v>
      </c>
      <c r="E595" s="26">
        <v>3.2567287784699999</v>
      </c>
      <c r="F595" s="25">
        <v>42.336666700000002</v>
      </c>
      <c r="G595" s="8">
        <v>3</v>
      </c>
      <c r="H595" s="26">
        <v>0.44185497205000002</v>
      </c>
    </row>
    <row r="596" spans="1:8" x14ac:dyDescent="0.2">
      <c r="A596" s="14" t="s">
        <v>533</v>
      </c>
      <c r="B596" s="22" t="s">
        <v>538</v>
      </c>
      <c r="C596" s="25">
        <v>153.66499999999999</v>
      </c>
      <c r="D596" s="15">
        <v>2</v>
      </c>
      <c r="E596" s="26">
        <v>0.15068493151000001</v>
      </c>
      <c r="F596" s="25">
        <v>122.3116667</v>
      </c>
      <c r="G596" s="8">
        <v>6</v>
      </c>
      <c r="H596" s="26">
        <v>0.18520991455999999</v>
      </c>
    </row>
    <row r="597" spans="1:8" x14ac:dyDescent="0.2">
      <c r="A597" s="14" t="s">
        <v>533</v>
      </c>
      <c r="B597" s="22" t="s">
        <v>539</v>
      </c>
      <c r="C597" s="25">
        <v>23.86</v>
      </c>
      <c r="D597" s="15">
        <v>8</v>
      </c>
      <c r="E597" s="26">
        <v>0.65926236379000003</v>
      </c>
      <c r="F597" s="25">
        <v>25.7545</v>
      </c>
      <c r="G597" s="8">
        <v>19</v>
      </c>
      <c r="H597" s="26">
        <v>0.62035760741000001</v>
      </c>
    </row>
    <row r="598" spans="1:8" x14ac:dyDescent="0.2">
      <c r="A598" s="14" t="s">
        <v>533</v>
      </c>
      <c r="B598" s="22" t="s">
        <v>540</v>
      </c>
      <c r="C598" s="25">
        <v>40.550465099999997</v>
      </c>
      <c r="D598" s="15">
        <v>43</v>
      </c>
      <c r="E598" s="26">
        <v>0.42528115984999998</v>
      </c>
      <c r="F598" s="25">
        <v>39.666082500000002</v>
      </c>
      <c r="G598" s="8">
        <v>95</v>
      </c>
      <c r="H598" s="26">
        <v>0.43210980322999998</v>
      </c>
    </row>
    <row r="599" spans="1:8" x14ac:dyDescent="0.2">
      <c r="A599" s="14" t="s">
        <v>533</v>
      </c>
      <c r="B599" s="22" t="s">
        <v>541</v>
      </c>
      <c r="C599" s="25">
        <v>68.760000000000005</v>
      </c>
      <c r="D599" s="15">
        <v>1</v>
      </c>
      <c r="E599" s="26">
        <v>0.31486329261000001</v>
      </c>
      <c r="F599" s="25">
        <v>68.760000000000005</v>
      </c>
      <c r="G599" s="8">
        <v>1</v>
      </c>
      <c r="H599" s="26">
        <v>0.31486329261000001</v>
      </c>
    </row>
    <row r="600" spans="1:8" x14ac:dyDescent="0.2">
      <c r="A600" s="14" t="s">
        <v>533</v>
      </c>
      <c r="B600" s="22" t="s">
        <v>542</v>
      </c>
      <c r="C600" s="25">
        <v>21.724615400000001</v>
      </c>
      <c r="D600" s="15">
        <v>13</v>
      </c>
      <c r="E600" s="26">
        <v>0.74155513066000001</v>
      </c>
      <c r="F600" s="25">
        <v>22.517812500000002</v>
      </c>
      <c r="G600" s="8">
        <v>32</v>
      </c>
      <c r="H600" s="26">
        <v>0.70884161150000002</v>
      </c>
    </row>
    <row r="601" spans="1:8" x14ac:dyDescent="0.2">
      <c r="A601" s="14" t="s">
        <v>533</v>
      </c>
      <c r="B601" s="22" t="s">
        <v>543</v>
      </c>
      <c r="C601" s="25">
        <v>25.14</v>
      </c>
      <c r="D601" s="15">
        <v>3</v>
      </c>
      <c r="E601" s="26">
        <v>0.62569610183000002</v>
      </c>
      <c r="F601" s="25">
        <v>17.676666699999998</v>
      </c>
      <c r="G601" s="8">
        <v>6</v>
      </c>
      <c r="H601" s="26">
        <v>0.88987365642000005</v>
      </c>
    </row>
    <row r="602" spans="1:8" x14ac:dyDescent="0.2">
      <c r="A602" s="14" t="s">
        <v>533</v>
      </c>
      <c r="B602" s="22" t="s">
        <v>544</v>
      </c>
      <c r="C602" s="25">
        <v>13.77</v>
      </c>
      <c r="D602" s="15">
        <v>1</v>
      </c>
      <c r="E602" s="26">
        <v>1.1423384168499999</v>
      </c>
      <c r="F602" s="25">
        <v>13.77</v>
      </c>
      <c r="G602" s="8">
        <v>1</v>
      </c>
      <c r="H602" s="26">
        <v>1.1423384168499999</v>
      </c>
    </row>
    <row r="603" spans="1:8" x14ac:dyDescent="0.2">
      <c r="A603" s="14" t="s">
        <v>533</v>
      </c>
      <c r="B603" s="22" t="s">
        <v>545</v>
      </c>
      <c r="C603" s="25">
        <v>31.327500000000001</v>
      </c>
      <c r="D603" s="15">
        <v>4</v>
      </c>
      <c r="E603" s="26">
        <v>0.52182587183999996</v>
      </c>
      <c r="F603" s="25">
        <v>24.513750000000002</v>
      </c>
      <c r="G603" s="8">
        <v>8</v>
      </c>
      <c r="H603" s="26">
        <v>0.65427566161999995</v>
      </c>
    </row>
    <row r="604" spans="1:8" x14ac:dyDescent="0.2">
      <c r="A604" s="14" t="s">
        <v>533</v>
      </c>
      <c r="B604" s="22" t="s">
        <v>546</v>
      </c>
      <c r="C604" s="25">
        <v>24.453571400000001</v>
      </c>
      <c r="D604" s="15">
        <v>14</v>
      </c>
      <c r="E604" s="26">
        <v>0.65768949904999996</v>
      </c>
      <c r="F604" s="25">
        <v>25.623999999999999</v>
      </c>
      <c r="G604" s="8">
        <v>25</v>
      </c>
      <c r="H604" s="26">
        <v>0.62930065564000004</v>
      </c>
    </row>
    <row r="605" spans="1:8" x14ac:dyDescent="0.2">
      <c r="A605" s="14" t="s">
        <v>533</v>
      </c>
      <c r="B605" s="22" t="s">
        <v>547</v>
      </c>
      <c r="C605" s="25">
        <v>30</v>
      </c>
      <c r="D605" s="15">
        <v>1</v>
      </c>
      <c r="E605" s="26">
        <v>0.52433333332999998</v>
      </c>
      <c r="F605" s="25">
        <v>32.5</v>
      </c>
      <c r="G605" s="8">
        <v>2</v>
      </c>
      <c r="H605" s="26">
        <v>0.48399999999999999</v>
      </c>
    </row>
    <row r="606" spans="1:8" x14ac:dyDescent="0.2">
      <c r="A606" s="14" t="s">
        <v>533</v>
      </c>
      <c r="B606" s="22" t="s">
        <v>67</v>
      </c>
      <c r="C606" s="25">
        <v>131.25</v>
      </c>
      <c r="D606" s="15">
        <v>2</v>
      </c>
      <c r="E606" s="26">
        <v>0.15386666667000001</v>
      </c>
      <c r="F606" s="25">
        <v>107.6533333</v>
      </c>
      <c r="G606" s="8">
        <v>3</v>
      </c>
      <c r="H606" s="26">
        <v>0.19209809264</v>
      </c>
    </row>
    <row r="607" spans="1:8" x14ac:dyDescent="0.2">
      <c r="A607" s="14" t="s">
        <v>533</v>
      </c>
      <c r="B607" s="22" t="s">
        <v>77</v>
      </c>
      <c r="C607" s="25">
        <v>42.225000000000001</v>
      </c>
      <c r="D607" s="15">
        <v>6</v>
      </c>
      <c r="E607" s="26">
        <v>0.41539372409999997</v>
      </c>
      <c r="F607" s="25">
        <v>43.004166699999999</v>
      </c>
      <c r="G607" s="8">
        <v>12</v>
      </c>
      <c r="H607" s="26">
        <v>0.40786745470000002</v>
      </c>
    </row>
    <row r="608" spans="1:8" x14ac:dyDescent="0.2">
      <c r="A608" s="14" t="s">
        <v>533</v>
      </c>
      <c r="B608" s="22" t="s">
        <v>548</v>
      </c>
      <c r="C608" s="25">
        <v>8.8320000000000007</v>
      </c>
      <c r="D608" s="15">
        <v>5</v>
      </c>
      <c r="E608" s="26">
        <v>1.7810235507200001</v>
      </c>
      <c r="F608" s="25">
        <v>9.6</v>
      </c>
      <c r="G608" s="8">
        <v>8</v>
      </c>
      <c r="H608" s="26">
        <v>1.6385416666699999</v>
      </c>
    </row>
    <row r="609" spans="1:8" x14ac:dyDescent="0.2">
      <c r="A609" s="14" t="s">
        <v>533</v>
      </c>
      <c r="B609" s="22" t="s">
        <v>549</v>
      </c>
      <c r="C609" s="27"/>
      <c r="D609" s="13"/>
      <c r="E609" s="28"/>
      <c r="F609" s="25">
        <v>59.96</v>
      </c>
      <c r="G609" s="8">
        <v>1</v>
      </c>
      <c r="H609" s="26">
        <v>0.30353569046000001</v>
      </c>
    </row>
    <row r="610" spans="1:8" x14ac:dyDescent="0.2">
      <c r="A610" s="14" t="s">
        <v>533</v>
      </c>
      <c r="B610" s="22" t="s">
        <v>550</v>
      </c>
      <c r="C610" s="25">
        <v>15.67</v>
      </c>
      <c r="D610" s="15">
        <v>1</v>
      </c>
      <c r="E610" s="26">
        <v>1.00382897256</v>
      </c>
      <c r="F610" s="25">
        <v>21.13</v>
      </c>
      <c r="G610" s="8">
        <v>4</v>
      </c>
      <c r="H610" s="26">
        <v>0.74443918599000003</v>
      </c>
    </row>
    <row r="611" spans="1:8" x14ac:dyDescent="0.2">
      <c r="A611" s="14" t="s">
        <v>533</v>
      </c>
      <c r="B611" s="22" t="s">
        <v>551</v>
      </c>
      <c r="C611" s="25">
        <v>10.206250000000001</v>
      </c>
      <c r="D611" s="15">
        <v>8</v>
      </c>
      <c r="E611" s="26">
        <v>1.5412124923499999</v>
      </c>
      <c r="F611" s="25">
        <v>9.3744999999999994</v>
      </c>
      <c r="G611" s="8">
        <v>20</v>
      </c>
      <c r="H611" s="26">
        <v>1.6779561576599999</v>
      </c>
    </row>
    <row r="612" spans="1:8" x14ac:dyDescent="0.2">
      <c r="A612" s="14" t="s">
        <v>533</v>
      </c>
      <c r="B612" s="22" t="s">
        <v>84</v>
      </c>
      <c r="C612" s="25">
        <v>29.701250000000002</v>
      </c>
      <c r="D612" s="15">
        <v>8</v>
      </c>
      <c r="E612" s="26">
        <v>0.55039771052999997</v>
      </c>
      <c r="F612" s="25">
        <v>23.913333300000001</v>
      </c>
      <c r="G612" s="8">
        <v>18</v>
      </c>
      <c r="H612" s="26">
        <v>0.66926865533000002</v>
      </c>
    </row>
    <row r="613" spans="1:8" x14ac:dyDescent="0.2">
      <c r="A613" s="14" t="s">
        <v>533</v>
      </c>
      <c r="B613" s="22" t="s">
        <v>552</v>
      </c>
      <c r="C613" s="25">
        <v>20.848749999999999</v>
      </c>
      <c r="D613" s="15">
        <v>8</v>
      </c>
      <c r="E613" s="26">
        <v>0.76929072486000005</v>
      </c>
      <c r="F613" s="25">
        <v>18.58625</v>
      </c>
      <c r="G613" s="8">
        <v>16</v>
      </c>
      <c r="H613" s="26">
        <v>0.85463043917000003</v>
      </c>
    </row>
    <row r="614" spans="1:8" x14ac:dyDescent="0.2">
      <c r="A614" s="14" t="s">
        <v>533</v>
      </c>
      <c r="B614" s="22" t="s">
        <v>553</v>
      </c>
      <c r="C614" s="25">
        <v>19.542857099999999</v>
      </c>
      <c r="D614" s="15">
        <v>7</v>
      </c>
      <c r="E614" s="26">
        <v>0.80489766082000003</v>
      </c>
      <c r="F614" s="25">
        <v>20.843529400000001</v>
      </c>
      <c r="G614" s="8">
        <v>17</v>
      </c>
      <c r="H614" s="26">
        <v>0.75467065529999999</v>
      </c>
    </row>
    <row r="615" spans="1:8" x14ac:dyDescent="0.2">
      <c r="A615" s="14" t="s">
        <v>533</v>
      </c>
      <c r="B615" s="22" t="s">
        <v>100</v>
      </c>
      <c r="C615" s="25">
        <v>21.34</v>
      </c>
      <c r="D615" s="15">
        <v>1</v>
      </c>
      <c r="E615" s="26">
        <v>0.73711340205999998</v>
      </c>
      <c r="F615" s="25">
        <v>35.86</v>
      </c>
      <c r="G615" s="8">
        <v>2</v>
      </c>
      <c r="H615" s="26">
        <v>0.47308979363999998</v>
      </c>
    </row>
    <row r="616" spans="1:8" x14ac:dyDescent="0.2">
      <c r="A616" s="5" t="s">
        <v>554</v>
      </c>
      <c r="B616" s="22" t="s">
        <v>555</v>
      </c>
      <c r="C616" s="25">
        <v>154</v>
      </c>
      <c r="D616" s="15">
        <v>1</v>
      </c>
      <c r="E616" s="26">
        <v>0</v>
      </c>
      <c r="F616" s="25">
        <v>158.2222222</v>
      </c>
      <c r="G616" s="8">
        <v>8</v>
      </c>
      <c r="H616" s="26">
        <v>7.6931179779999997E-2</v>
      </c>
    </row>
    <row r="617" spans="1:8" x14ac:dyDescent="0.2">
      <c r="A617" s="14" t="s">
        <v>556</v>
      </c>
      <c r="B617" s="22" t="s">
        <v>136</v>
      </c>
      <c r="C617" s="25">
        <v>127.215</v>
      </c>
      <c r="D617" s="15">
        <v>2</v>
      </c>
      <c r="E617" s="26">
        <v>0.21598475022999999</v>
      </c>
      <c r="F617" s="25">
        <v>83.67</v>
      </c>
      <c r="G617" s="8">
        <v>6</v>
      </c>
      <c r="H617" s="26">
        <v>0.24062729429999999</v>
      </c>
    </row>
    <row r="618" spans="1:8" x14ac:dyDescent="0.2">
      <c r="A618" s="14" t="s">
        <v>556</v>
      </c>
      <c r="B618" s="22" t="s">
        <v>137</v>
      </c>
      <c r="C618" s="25">
        <v>36.159999999999997</v>
      </c>
      <c r="D618" s="15">
        <v>2</v>
      </c>
      <c r="E618" s="26">
        <v>0.29051438053</v>
      </c>
      <c r="F618" s="25">
        <v>36.159999999999997</v>
      </c>
      <c r="G618" s="8">
        <v>2</v>
      </c>
      <c r="H618" s="26">
        <v>0.29051438053</v>
      </c>
    </row>
    <row r="619" spans="1:8" x14ac:dyDescent="0.2">
      <c r="A619" s="14" t="s">
        <v>556</v>
      </c>
      <c r="B619" s="22" t="s">
        <v>557</v>
      </c>
      <c r="C619" s="25">
        <v>37.006666699999997</v>
      </c>
      <c r="D619" s="15">
        <v>2</v>
      </c>
      <c r="E619" s="26">
        <v>0.37849036209999998</v>
      </c>
      <c r="F619" s="25">
        <v>37.006666699999997</v>
      </c>
      <c r="G619" s="8">
        <v>2</v>
      </c>
      <c r="H619" s="26">
        <v>0.37849036209999998</v>
      </c>
    </row>
    <row r="620" spans="1:8" x14ac:dyDescent="0.2">
      <c r="A620" s="14" t="s">
        <v>556</v>
      </c>
      <c r="B620" s="22" t="s">
        <v>138</v>
      </c>
      <c r="C620" s="27"/>
      <c r="D620" s="13"/>
      <c r="E620" s="28"/>
      <c r="F620" s="25">
        <v>79.672727300000005</v>
      </c>
      <c r="G620" s="8">
        <v>10</v>
      </c>
      <c r="H620" s="26">
        <v>0.15163167503</v>
      </c>
    </row>
    <row r="621" spans="1:8" x14ac:dyDescent="0.2">
      <c r="A621" s="14" t="s">
        <v>556</v>
      </c>
      <c r="B621" s="22" t="s">
        <v>139</v>
      </c>
      <c r="C621" s="25">
        <v>139.28749999999999</v>
      </c>
      <c r="D621" s="15">
        <v>23</v>
      </c>
      <c r="E621" s="26">
        <v>0.19483285471</v>
      </c>
      <c r="F621" s="25">
        <v>119.92023260000001</v>
      </c>
      <c r="G621" s="8">
        <v>30</v>
      </c>
      <c r="H621" s="26">
        <v>0.21028105892000001</v>
      </c>
    </row>
    <row r="622" spans="1:8" x14ac:dyDescent="0.2">
      <c r="A622" s="14" t="s">
        <v>556</v>
      </c>
      <c r="B622" s="22" t="s">
        <v>140</v>
      </c>
      <c r="C622" s="25">
        <v>207.28555560000001</v>
      </c>
      <c r="D622" s="15">
        <v>19</v>
      </c>
      <c r="E622" s="26">
        <v>0.18085446627999999</v>
      </c>
      <c r="F622" s="25">
        <v>168.17018179999999</v>
      </c>
      <c r="G622" s="8">
        <v>43</v>
      </c>
      <c r="H622" s="26">
        <v>0.17499113452000001</v>
      </c>
    </row>
    <row r="623" spans="1:8" x14ac:dyDescent="0.2">
      <c r="A623" s="14" t="s">
        <v>556</v>
      </c>
      <c r="B623" s="22" t="s">
        <v>141</v>
      </c>
      <c r="C623" s="27"/>
      <c r="D623" s="13"/>
      <c r="E623" s="28"/>
      <c r="F623" s="25">
        <v>401.85</v>
      </c>
      <c r="G623" s="8">
        <v>10</v>
      </c>
      <c r="H623" s="26">
        <v>0.10506308323999999</v>
      </c>
    </row>
    <row r="624" spans="1:8" x14ac:dyDescent="0.2">
      <c r="A624" s="14" t="s">
        <v>556</v>
      </c>
      <c r="B624" s="22" t="s">
        <v>142</v>
      </c>
      <c r="C624" s="25">
        <v>28.702000000000002</v>
      </c>
      <c r="D624" s="15">
        <v>12</v>
      </c>
      <c r="E624" s="26">
        <v>0.56494320952999999</v>
      </c>
      <c r="F624" s="25">
        <v>24.732500000000002</v>
      </c>
      <c r="G624" s="8">
        <v>16</v>
      </c>
      <c r="H624" s="26">
        <v>0.64804840363000005</v>
      </c>
    </row>
    <row r="625" spans="1:8" x14ac:dyDescent="0.2">
      <c r="A625" s="14" t="s">
        <v>556</v>
      </c>
      <c r="B625" s="22" t="s">
        <v>558</v>
      </c>
      <c r="C625" s="25">
        <v>18.9733333</v>
      </c>
      <c r="D625" s="15">
        <v>2</v>
      </c>
      <c r="E625" s="26">
        <v>0.73822909345999999</v>
      </c>
      <c r="F625" s="25">
        <v>18.9733333</v>
      </c>
      <c r="G625" s="8">
        <v>2</v>
      </c>
      <c r="H625" s="26">
        <v>0.73822909345999999</v>
      </c>
    </row>
    <row r="626" spans="1:8" x14ac:dyDescent="0.2">
      <c r="A626" s="14" t="s">
        <v>556</v>
      </c>
      <c r="B626" s="22" t="s">
        <v>559</v>
      </c>
      <c r="C626" s="27"/>
      <c r="D626" s="13"/>
      <c r="E626" s="28"/>
      <c r="F626" s="25">
        <v>35.884999999999998</v>
      </c>
      <c r="G626" s="8">
        <v>2</v>
      </c>
      <c r="H626" s="26">
        <v>0.29274069945999998</v>
      </c>
    </row>
    <row r="627" spans="1:8" x14ac:dyDescent="0.2">
      <c r="A627" s="14" t="s">
        <v>556</v>
      </c>
      <c r="B627" s="22" t="s">
        <v>143</v>
      </c>
      <c r="C627" s="25">
        <v>257.15466670000001</v>
      </c>
      <c r="D627" s="15">
        <v>12</v>
      </c>
      <c r="E627" s="26">
        <v>0.19551605778</v>
      </c>
      <c r="F627" s="25">
        <v>245.5937931</v>
      </c>
      <c r="G627" s="8">
        <v>24</v>
      </c>
      <c r="H627" s="26">
        <v>0.18353406662999999</v>
      </c>
    </row>
    <row r="628" spans="1:8" x14ac:dyDescent="0.2">
      <c r="A628" s="14" t="s">
        <v>556</v>
      </c>
      <c r="B628" s="22" t="s">
        <v>144</v>
      </c>
      <c r="C628" s="27"/>
      <c r="D628" s="13"/>
      <c r="E628" s="28"/>
      <c r="F628" s="25">
        <v>398.66666670000001</v>
      </c>
      <c r="G628" s="8">
        <v>2</v>
      </c>
      <c r="H628" s="26">
        <v>0.20765050166999999</v>
      </c>
    </row>
    <row r="629" spans="1:8" x14ac:dyDescent="0.2">
      <c r="A629" s="14" t="s">
        <v>556</v>
      </c>
      <c r="B629" s="22" t="s">
        <v>145</v>
      </c>
      <c r="C629" s="25">
        <v>215.81923080000001</v>
      </c>
      <c r="D629" s="15">
        <v>10</v>
      </c>
      <c r="E629" s="26">
        <v>0.19580346800000001</v>
      </c>
      <c r="F629" s="25">
        <v>186.55375000000001</v>
      </c>
      <c r="G629" s="8">
        <v>20</v>
      </c>
      <c r="H629" s="26">
        <v>0.16430474683999999</v>
      </c>
    </row>
    <row r="630" spans="1:8" x14ac:dyDescent="0.2">
      <c r="A630" s="14" t="s">
        <v>556</v>
      </c>
      <c r="B630" s="22" t="s">
        <v>146</v>
      </c>
      <c r="C630" s="25">
        <v>382.08551720000003</v>
      </c>
      <c r="D630" s="15">
        <v>22</v>
      </c>
      <c r="E630" s="26">
        <v>0.19409411867000001</v>
      </c>
      <c r="F630" s="25">
        <v>290.041875</v>
      </c>
      <c r="G630" s="8">
        <v>50</v>
      </c>
      <c r="H630" s="26">
        <v>0.17895998854</v>
      </c>
    </row>
    <row r="631" spans="1:8" x14ac:dyDescent="0.2">
      <c r="A631" s="14" t="s">
        <v>556</v>
      </c>
      <c r="B631" s="22" t="s">
        <v>147</v>
      </c>
      <c r="C631" s="25">
        <v>53.015000000000001</v>
      </c>
      <c r="D631" s="15">
        <v>2</v>
      </c>
      <c r="E631" s="26">
        <v>0.19815146656999999</v>
      </c>
      <c r="F631" s="25">
        <v>53.015000000000001</v>
      </c>
      <c r="G631" s="8">
        <v>2</v>
      </c>
      <c r="H631" s="26">
        <v>0.19815146656999999</v>
      </c>
    </row>
    <row r="632" spans="1:8" x14ac:dyDescent="0.2">
      <c r="A632" s="14" t="s">
        <v>556</v>
      </c>
      <c r="B632" s="22" t="s">
        <v>148</v>
      </c>
      <c r="C632" s="25">
        <v>86.762631600000006</v>
      </c>
      <c r="D632" s="15">
        <v>28</v>
      </c>
      <c r="E632" s="26">
        <v>0.20887175535999999</v>
      </c>
      <c r="F632" s="25">
        <v>83.723333299999993</v>
      </c>
      <c r="G632" s="8">
        <v>56</v>
      </c>
      <c r="H632" s="26">
        <v>0.19453374208999999</v>
      </c>
    </row>
    <row r="633" spans="1:8" x14ac:dyDescent="0.2">
      <c r="A633" s="14" t="s">
        <v>556</v>
      </c>
      <c r="B633" s="22" t="s">
        <v>149</v>
      </c>
      <c r="C633" s="25">
        <v>41.123181799999998</v>
      </c>
      <c r="D633" s="15">
        <v>13</v>
      </c>
      <c r="E633" s="26">
        <v>0.37796642017999998</v>
      </c>
      <c r="F633" s="25">
        <v>39.856944400000003</v>
      </c>
      <c r="G633" s="8">
        <v>20</v>
      </c>
      <c r="H633" s="26">
        <v>0.38744816530999998</v>
      </c>
    </row>
    <row r="634" spans="1:8" x14ac:dyDescent="0.2">
      <c r="A634" s="14" t="s">
        <v>556</v>
      </c>
      <c r="B634" s="22" t="s">
        <v>560</v>
      </c>
      <c r="C634" s="25">
        <v>166.06666670000001</v>
      </c>
      <c r="D634" s="15">
        <v>4</v>
      </c>
      <c r="E634" s="26">
        <v>0.17810116418999999</v>
      </c>
      <c r="F634" s="25">
        <v>166.06666670000001</v>
      </c>
      <c r="G634" s="8">
        <v>4</v>
      </c>
      <c r="H634" s="26">
        <v>0.17810116418999999</v>
      </c>
    </row>
    <row r="635" spans="1:8" x14ac:dyDescent="0.2">
      <c r="A635" s="14" t="s">
        <v>556</v>
      </c>
      <c r="B635" s="22" t="s">
        <v>150</v>
      </c>
      <c r="C635" s="25">
        <v>43.280312500000001</v>
      </c>
      <c r="D635" s="15">
        <v>22</v>
      </c>
      <c r="E635" s="26">
        <v>0.21416276165000001</v>
      </c>
      <c r="F635" s="25">
        <v>44.559384600000001</v>
      </c>
      <c r="G635" s="8">
        <v>41</v>
      </c>
      <c r="H635" s="26">
        <v>0.21090575756999999</v>
      </c>
    </row>
    <row r="636" spans="1:8" x14ac:dyDescent="0.2">
      <c r="A636" s="14" t="s">
        <v>556</v>
      </c>
      <c r="B636" s="22" t="s">
        <v>151</v>
      </c>
      <c r="C636" s="25">
        <v>33.947777799999997</v>
      </c>
      <c r="D636" s="15">
        <v>10</v>
      </c>
      <c r="E636" s="26">
        <v>0.45822014205</v>
      </c>
      <c r="F636" s="25">
        <v>33.947777799999997</v>
      </c>
      <c r="G636" s="8">
        <v>10</v>
      </c>
      <c r="H636" s="26">
        <v>0.45822014205</v>
      </c>
    </row>
    <row r="637" spans="1:8" x14ac:dyDescent="0.2">
      <c r="A637" s="14" t="s">
        <v>556</v>
      </c>
      <c r="B637" s="22" t="s">
        <v>152</v>
      </c>
      <c r="C637" s="27"/>
      <c r="D637" s="13"/>
      <c r="E637" s="28"/>
      <c r="F637" s="25">
        <v>151.05333329999999</v>
      </c>
      <c r="G637" s="8">
        <v>2</v>
      </c>
      <c r="H637" s="26">
        <v>0.21253861770999999</v>
      </c>
    </row>
    <row r="638" spans="1:8" x14ac:dyDescent="0.2">
      <c r="A638" s="14" t="s">
        <v>556</v>
      </c>
      <c r="B638" s="22" t="s">
        <v>153</v>
      </c>
      <c r="C638" s="27"/>
      <c r="D638" s="13"/>
      <c r="E638" s="28"/>
      <c r="F638" s="25">
        <v>56.61</v>
      </c>
      <c r="G638" s="8">
        <v>4</v>
      </c>
      <c r="H638" s="26">
        <v>0.22268150503</v>
      </c>
    </row>
    <row r="639" spans="1:8" x14ac:dyDescent="0.2">
      <c r="A639" s="14" t="s">
        <v>556</v>
      </c>
      <c r="B639" s="22" t="s">
        <v>155</v>
      </c>
      <c r="C639" s="25">
        <v>88.300714299999996</v>
      </c>
      <c r="D639" s="15">
        <v>6</v>
      </c>
      <c r="E639" s="26">
        <v>0.11416264227</v>
      </c>
      <c r="F639" s="25">
        <v>72.050526300000001</v>
      </c>
      <c r="G639" s="8">
        <v>8</v>
      </c>
      <c r="H639" s="26">
        <v>0.11325970079</v>
      </c>
    </row>
    <row r="640" spans="1:8" x14ac:dyDescent="0.2">
      <c r="A640" s="14" t="s">
        <v>556</v>
      </c>
      <c r="B640" s="22" t="s">
        <v>156</v>
      </c>
      <c r="C640" s="25">
        <v>235.29104169999999</v>
      </c>
      <c r="D640" s="15">
        <v>33</v>
      </c>
      <c r="E640" s="26">
        <v>0.18323184849999999</v>
      </c>
      <c r="F640" s="25">
        <v>215.42465350000001</v>
      </c>
      <c r="G640" s="8">
        <v>74</v>
      </c>
      <c r="H640" s="26">
        <v>0.16369349234</v>
      </c>
    </row>
    <row r="641" spans="1:8" x14ac:dyDescent="0.2">
      <c r="A641" s="14" t="s">
        <v>556</v>
      </c>
      <c r="B641" s="22" t="s">
        <v>561</v>
      </c>
      <c r="C641" s="27"/>
      <c r="D641" s="13"/>
      <c r="E641" s="28"/>
      <c r="F641" s="25">
        <v>80.215000000000003</v>
      </c>
      <c r="G641" s="8">
        <v>10</v>
      </c>
      <c r="H641" s="26">
        <v>0.20774896632000001</v>
      </c>
    </row>
    <row r="642" spans="1:8" x14ac:dyDescent="0.2">
      <c r="A642" s="14" t="s">
        <v>556</v>
      </c>
      <c r="B642" s="22" t="s">
        <v>157</v>
      </c>
      <c r="C642" s="25">
        <v>239.39388890000001</v>
      </c>
      <c r="D642" s="15">
        <v>14</v>
      </c>
      <c r="E642" s="26">
        <v>0.17800695739</v>
      </c>
      <c r="F642" s="25">
        <v>169.57384619999999</v>
      </c>
      <c r="G642" s="8">
        <v>31</v>
      </c>
      <c r="H642" s="26">
        <v>0.17307942383</v>
      </c>
    </row>
    <row r="643" spans="1:8" x14ac:dyDescent="0.2">
      <c r="A643" s="14" t="s">
        <v>562</v>
      </c>
      <c r="B643" s="22" t="s">
        <v>563</v>
      </c>
      <c r="C643" s="27"/>
      <c r="D643" s="13"/>
      <c r="E643" s="28"/>
      <c r="F643" s="25">
        <v>868.91666669999995</v>
      </c>
      <c r="G643" s="8">
        <v>6</v>
      </c>
      <c r="H643" s="26">
        <v>0.25063162942</v>
      </c>
    </row>
    <row r="644" spans="1:8" x14ac:dyDescent="0.2">
      <c r="A644" s="14" t="s">
        <v>562</v>
      </c>
      <c r="B644" s="22" t="s">
        <v>564</v>
      </c>
      <c r="C644" s="25">
        <v>1322.55</v>
      </c>
      <c r="D644" s="15">
        <v>2</v>
      </c>
      <c r="E644" s="26">
        <v>0.24615099618</v>
      </c>
      <c r="F644" s="25">
        <v>1322.55</v>
      </c>
      <c r="G644" s="8">
        <v>2</v>
      </c>
      <c r="H644" s="26">
        <v>0.24615099618</v>
      </c>
    </row>
    <row r="645" spans="1:8" x14ac:dyDescent="0.2">
      <c r="A645" s="14" t="s">
        <v>562</v>
      </c>
      <c r="B645" s="22" t="s">
        <v>565</v>
      </c>
      <c r="C645" s="27"/>
      <c r="D645" s="13"/>
      <c r="E645" s="28"/>
      <c r="F645" s="25">
        <v>688.99</v>
      </c>
      <c r="G645" s="8">
        <v>2</v>
      </c>
      <c r="H645" s="26">
        <v>0.27460267927999998</v>
      </c>
    </row>
    <row r="646" spans="1:8" x14ac:dyDescent="0.2">
      <c r="A646" s="14" t="s">
        <v>562</v>
      </c>
      <c r="B646" s="22" t="s">
        <v>566</v>
      </c>
      <c r="C646" s="27"/>
      <c r="D646" s="13"/>
      <c r="E646" s="28"/>
      <c r="F646" s="25">
        <v>1356.05</v>
      </c>
      <c r="G646" s="8">
        <v>8</v>
      </c>
      <c r="H646" s="26">
        <v>0.24743335423000001</v>
      </c>
    </row>
    <row r="647" spans="1:8" x14ac:dyDescent="0.2">
      <c r="A647" s="14" t="s">
        <v>562</v>
      </c>
      <c r="B647" s="22" t="s">
        <v>567</v>
      </c>
      <c r="C647" s="25">
        <v>2109.5444444</v>
      </c>
      <c r="D647" s="15">
        <v>9</v>
      </c>
      <c r="E647" s="26">
        <v>0.24574057590000001</v>
      </c>
      <c r="F647" s="25">
        <v>2089.83</v>
      </c>
      <c r="G647" s="8">
        <v>20</v>
      </c>
      <c r="H647" s="26">
        <v>0.2461670088</v>
      </c>
    </row>
    <row r="648" spans="1:8" x14ac:dyDescent="0.2">
      <c r="A648" s="14" t="s">
        <v>562</v>
      </c>
      <c r="B648" s="22" t="s">
        <v>568</v>
      </c>
      <c r="C648" s="25">
        <v>478.63555559999998</v>
      </c>
      <c r="D648" s="15">
        <v>9</v>
      </c>
      <c r="E648" s="26">
        <v>0.31937753613999997</v>
      </c>
      <c r="F648" s="25">
        <v>531.34368419999998</v>
      </c>
      <c r="G648" s="8">
        <v>19</v>
      </c>
      <c r="H648" s="26">
        <v>0.29992788887999999</v>
      </c>
    </row>
    <row r="649" spans="1:8" x14ac:dyDescent="0.2">
      <c r="A649" s="14" t="s">
        <v>562</v>
      </c>
      <c r="B649" s="22" t="s">
        <v>569</v>
      </c>
      <c r="C649" s="27"/>
      <c r="D649" s="13"/>
      <c r="E649" s="28"/>
      <c r="F649" s="25">
        <v>1145.9000000000001</v>
      </c>
      <c r="G649" s="8">
        <v>1</v>
      </c>
      <c r="H649" s="26">
        <v>0.24791517584</v>
      </c>
    </row>
    <row r="650" spans="1:8" x14ac:dyDescent="0.2">
      <c r="A650" s="14" t="s">
        <v>562</v>
      </c>
      <c r="B650" s="22" t="s">
        <v>570</v>
      </c>
      <c r="C650" s="25">
        <v>217.9833333</v>
      </c>
      <c r="D650" s="15">
        <v>6</v>
      </c>
      <c r="E650" s="26">
        <v>0.68473124857000001</v>
      </c>
      <c r="F650" s="25">
        <v>244.25</v>
      </c>
      <c r="G650" s="8">
        <v>14</v>
      </c>
      <c r="H650" s="26">
        <v>0.61387922211000001</v>
      </c>
    </row>
    <row r="651" spans="1:8" x14ac:dyDescent="0.2">
      <c r="A651" s="14" t="s">
        <v>562</v>
      </c>
      <c r="B651" s="22" t="s">
        <v>571</v>
      </c>
      <c r="C651" s="25">
        <v>1044.7111110999999</v>
      </c>
      <c r="D651" s="15">
        <v>9</v>
      </c>
      <c r="E651" s="26">
        <v>0.2466982898</v>
      </c>
      <c r="F651" s="25">
        <v>924.97368419999998</v>
      </c>
      <c r="G651" s="8">
        <v>19</v>
      </c>
      <c r="H651" s="26">
        <v>0.24884759168000001</v>
      </c>
    </row>
    <row r="652" spans="1:8" x14ac:dyDescent="0.2">
      <c r="A652" s="14" t="s">
        <v>562</v>
      </c>
      <c r="B652" s="22" t="s">
        <v>572</v>
      </c>
      <c r="C652" s="25">
        <v>1161.1555556000001</v>
      </c>
      <c r="D652" s="15">
        <v>9</v>
      </c>
      <c r="E652" s="26">
        <v>0.24650884176999999</v>
      </c>
      <c r="F652" s="25">
        <v>1217.2075</v>
      </c>
      <c r="G652" s="8">
        <v>20</v>
      </c>
      <c r="H652" s="26">
        <v>0.24714709694000001</v>
      </c>
    </row>
    <row r="653" spans="1:8" x14ac:dyDescent="0.2">
      <c r="A653" s="14" t="s">
        <v>562</v>
      </c>
      <c r="B653" s="22" t="s">
        <v>573</v>
      </c>
      <c r="C653" s="25">
        <v>575.44444439999995</v>
      </c>
      <c r="D653" s="15">
        <v>9</v>
      </c>
      <c r="E653" s="26">
        <v>0.27797644332999999</v>
      </c>
      <c r="F653" s="25">
        <v>693.58947369999999</v>
      </c>
      <c r="G653" s="8">
        <v>19</v>
      </c>
      <c r="H653" s="26">
        <v>0.26199147076000001</v>
      </c>
    </row>
    <row r="654" spans="1:8" x14ac:dyDescent="0.2">
      <c r="A654" s="14" t="s">
        <v>562</v>
      </c>
      <c r="B654" s="22" t="s">
        <v>574</v>
      </c>
      <c r="C654" s="25">
        <v>1154.9733332999999</v>
      </c>
      <c r="D654" s="15">
        <v>9</v>
      </c>
      <c r="E654" s="26">
        <v>0.25160051794999999</v>
      </c>
      <c r="F654" s="25">
        <v>1125.687619</v>
      </c>
      <c r="G654" s="8">
        <v>21</v>
      </c>
      <c r="H654" s="26">
        <v>0.25301267711999997</v>
      </c>
    </row>
    <row r="655" spans="1:8" x14ac:dyDescent="0.2">
      <c r="A655" s="14" t="s">
        <v>562</v>
      </c>
      <c r="B655" s="22" t="s">
        <v>575</v>
      </c>
      <c r="C655" s="25">
        <v>364.2622222</v>
      </c>
      <c r="D655" s="15">
        <v>9</v>
      </c>
      <c r="E655" s="26">
        <v>0.40867079881000001</v>
      </c>
      <c r="F655" s="25">
        <v>382.92700000000002</v>
      </c>
      <c r="G655" s="8">
        <v>20</v>
      </c>
      <c r="H655" s="26">
        <v>0.40384185497000002</v>
      </c>
    </row>
    <row r="656" spans="1:8" x14ac:dyDescent="0.2">
      <c r="A656" s="14" t="s">
        <v>562</v>
      </c>
      <c r="B656" s="22" t="s">
        <v>576</v>
      </c>
      <c r="C656" s="25">
        <v>1993.9311111</v>
      </c>
      <c r="D656" s="15">
        <v>9</v>
      </c>
      <c r="E656" s="26">
        <v>0.24579479508999999</v>
      </c>
      <c r="F656" s="25">
        <v>2070.2640000000001</v>
      </c>
      <c r="G656" s="8">
        <v>20</v>
      </c>
      <c r="H656" s="26">
        <v>0.24617964181999999</v>
      </c>
    </row>
    <row r="657" spans="1:8" x14ac:dyDescent="0.2">
      <c r="A657" s="14" t="s">
        <v>562</v>
      </c>
      <c r="B657" s="22" t="s">
        <v>577</v>
      </c>
      <c r="C657" s="25">
        <v>713.01111109999999</v>
      </c>
      <c r="D657" s="15">
        <v>9</v>
      </c>
      <c r="E657" s="26">
        <v>0.27648065324999999</v>
      </c>
      <c r="F657" s="25">
        <v>843.18529409999996</v>
      </c>
      <c r="G657" s="8">
        <v>17</v>
      </c>
      <c r="H657" s="26">
        <v>0.26097508398000002</v>
      </c>
    </row>
    <row r="658" spans="1:8" x14ac:dyDescent="0.2">
      <c r="A658" s="14" t="s">
        <v>562</v>
      </c>
      <c r="B658" s="22" t="s">
        <v>578</v>
      </c>
      <c r="C658" s="25">
        <v>1066.8111111000001</v>
      </c>
      <c r="D658" s="15">
        <v>9</v>
      </c>
      <c r="E658" s="26">
        <v>0.24666055638000001</v>
      </c>
      <c r="F658" s="25">
        <v>969.68499999999995</v>
      </c>
      <c r="G658" s="8">
        <v>19</v>
      </c>
      <c r="H658" s="26">
        <v>0.24774632999000001</v>
      </c>
    </row>
    <row r="659" spans="1:8" x14ac:dyDescent="0.2">
      <c r="A659" s="14" t="s">
        <v>562</v>
      </c>
      <c r="B659" s="22" t="s">
        <v>579</v>
      </c>
      <c r="C659" s="25">
        <v>1758.9</v>
      </c>
      <c r="D659" s="15">
        <v>1</v>
      </c>
      <c r="E659" s="26">
        <v>0.24479845357999999</v>
      </c>
      <c r="F659" s="25">
        <v>1758.9</v>
      </c>
      <c r="G659" s="8">
        <v>1</v>
      </c>
      <c r="H659" s="26">
        <v>0.24479845357999999</v>
      </c>
    </row>
    <row r="660" spans="1:8" x14ac:dyDescent="0.2">
      <c r="A660" s="14" t="s">
        <v>562</v>
      </c>
      <c r="B660" s="22" t="s">
        <v>580</v>
      </c>
      <c r="C660" s="27"/>
      <c r="D660" s="13"/>
      <c r="E660" s="28"/>
      <c r="F660" s="25">
        <v>452.7</v>
      </c>
      <c r="G660" s="8">
        <v>4</v>
      </c>
      <c r="H660" s="26">
        <v>0.33233929755000002</v>
      </c>
    </row>
    <row r="661" spans="1:8" x14ac:dyDescent="0.2">
      <c r="A661" s="14" t="s">
        <v>562</v>
      </c>
      <c r="B661" s="22" t="s">
        <v>581</v>
      </c>
      <c r="C661" s="25">
        <v>843.66666669999995</v>
      </c>
      <c r="D661" s="15">
        <v>6</v>
      </c>
      <c r="E661" s="26">
        <v>0.24691426314000001</v>
      </c>
      <c r="F661" s="25">
        <v>826.02857140000003</v>
      </c>
      <c r="G661" s="8">
        <v>7</v>
      </c>
      <c r="H661" s="26">
        <v>0.2472688596</v>
      </c>
    </row>
    <row r="662" spans="1:8" x14ac:dyDescent="0.2">
      <c r="A662" s="14" t="s">
        <v>562</v>
      </c>
      <c r="B662" s="22" t="s">
        <v>582</v>
      </c>
      <c r="C662" s="25">
        <v>1319.66</v>
      </c>
      <c r="D662" s="15">
        <v>5</v>
      </c>
      <c r="E662" s="26">
        <v>0.24534076959000001</v>
      </c>
      <c r="F662" s="25">
        <v>1067.7818182000001</v>
      </c>
      <c r="G662" s="8">
        <v>11</v>
      </c>
      <c r="H662" s="26">
        <v>0.25183507015000001</v>
      </c>
    </row>
    <row r="663" spans="1:8" x14ac:dyDescent="0.2">
      <c r="A663" s="14" t="s">
        <v>562</v>
      </c>
      <c r="B663" s="22" t="s">
        <v>583</v>
      </c>
      <c r="C663" s="25">
        <v>731.7</v>
      </c>
      <c r="D663" s="15">
        <v>2</v>
      </c>
      <c r="E663" s="26">
        <v>0.24724340577000001</v>
      </c>
      <c r="F663" s="25">
        <v>785.02499999999998</v>
      </c>
      <c r="G663" s="8">
        <v>4</v>
      </c>
      <c r="H663" s="26">
        <v>0.24821311423</v>
      </c>
    </row>
    <row r="664" spans="1:8" x14ac:dyDescent="0.2">
      <c r="A664" s="14" t="s">
        <v>562</v>
      </c>
      <c r="B664" s="22" t="s">
        <v>584</v>
      </c>
      <c r="C664" s="25">
        <v>1081.1077777999999</v>
      </c>
      <c r="D664" s="15">
        <v>9</v>
      </c>
      <c r="E664" s="26">
        <v>0.24663519004000001</v>
      </c>
      <c r="F664" s="25">
        <v>1163.3352632000001</v>
      </c>
      <c r="G664" s="8">
        <v>19</v>
      </c>
      <c r="H664" s="26">
        <v>0.24722379438</v>
      </c>
    </row>
    <row r="665" spans="1:8" x14ac:dyDescent="0.2">
      <c r="A665" s="14" t="s">
        <v>562</v>
      </c>
      <c r="B665" s="22" t="s">
        <v>585</v>
      </c>
      <c r="C665" s="27"/>
      <c r="D665" s="13"/>
      <c r="E665" s="28"/>
      <c r="F665" s="25">
        <v>1244.2</v>
      </c>
      <c r="G665" s="8">
        <v>1</v>
      </c>
      <c r="H665" s="26">
        <v>0.24766757755999999</v>
      </c>
    </row>
    <row r="666" spans="1:8" x14ac:dyDescent="0.2">
      <c r="A666" s="14" t="s">
        <v>562</v>
      </c>
      <c r="B666" s="22" t="s">
        <v>586</v>
      </c>
      <c r="C666" s="25">
        <v>764.42</v>
      </c>
      <c r="D666" s="15">
        <v>5</v>
      </c>
      <c r="E666" s="26">
        <v>0.26482561941999999</v>
      </c>
      <c r="F666" s="25">
        <v>806.6</v>
      </c>
      <c r="G666" s="8">
        <v>8</v>
      </c>
      <c r="H666" s="26">
        <v>0.25832165881000002</v>
      </c>
    </row>
    <row r="667" spans="1:8" x14ac:dyDescent="0.2">
      <c r="A667" s="14" t="s">
        <v>562</v>
      </c>
      <c r="B667" s="22" t="s">
        <v>587</v>
      </c>
      <c r="C667" s="25">
        <v>528.6</v>
      </c>
      <c r="D667" s="15">
        <v>1</v>
      </c>
      <c r="E667" s="26">
        <v>0.28461975027999997</v>
      </c>
      <c r="F667" s="25">
        <v>528.6</v>
      </c>
      <c r="G667" s="8">
        <v>1</v>
      </c>
      <c r="H667" s="26">
        <v>0.28461975027999997</v>
      </c>
    </row>
    <row r="668" spans="1:8" x14ac:dyDescent="0.2">
      <c r="A668" s="14" t="s">
        <v>562</v>
      </c>
      <c r="B668" s="22" t="s">
        <v>588</v>
      </c>
      <c r="C668" s="25">
        <v>569.68888890000005</v>
      </c>
      <c r="D668" s="15">
        <v>9</v>
      </c>
      <c r="E668" s="26">
        <v>0.27864682478000002</v>
      </c>
      <c r="F668" s="25">
        <v>586.81500000000005</v>
      </c>
      <c r="G668" s="8">
        <v>20</v>
      </c>
      <c r="H668" s="26">
        <v>0.27757163672000001</v>
      </c>
    </row>
    <row r="669" spans="1:8" x14ac:dyDescent="0.2">
      <c r="A669" s="14" t="s">
        <v>562</v>
      </c>
      <c r="B669" s="22" t="s">
        <v>589</v>
      </c>
      <c r="C669" s="25">
        <v>1271.0777777999999</v>
      </c>
      <c r="D669" s="15">
        <v>9</v>
      </c>
      <c r="E669" s="26">
        <v>0.2463594325</v>
      </c>
      <c r="F669" s="25">
        <v>1061.6555556000001</v>
      </c>
      <c r="G669" s="8">
        <v>18</v>
      </c>
      <c r="H669" s="26">
        <v>0.24741504358999999</v>
      </c>
    </row>
    <row r="670" spans="1:8" x14ac:dyDescent="0.2">
      <c r="A670" s="14" t="s">
        <v>562</v>
      </c>
      <c r="B670" s="22" t="s">
        <v>590</v>
      </c>
      <c r="C670" s="25">
        <v>431.26571430000001</v>
      </c>
      <c r="D670" s="15">
        <v>7</v>
      </c>
      <c r="E670" s="26">
        <v>0.34747023711000002</v>
      </c>
      <c r="F670" s="25">
        <v>672.26187500000003</v>
      </c>
      <c r="G670" s="8">
        <v>16</v>
      </c>
      <c r="H670" s="26">
        <v>0.29204876448</v>
      </c>
    </row>
    <row r="671" spans="1:8" x14ac:dyDescent="0.2">
      <c r="A671" s="5" t="s">
        <v>591</v>
      </c>
      <c r="B671" s="22" t="s">
        <v>138</v>
      </c>
      <c r="C671" s="27"/>
      <c r="D671" s="13"/>
      <c r="E671" s="28"/>
      <c r="F671" s="25">
        <v>66</v>
      </c>
      <c r="G671" s="8">
        <v>4</v>
      </c>
      <c r="H671" s="26">
        <v>0</v>
      </c>
    </row>
    <row r="672" spans="1:8" x14ac:dyDescent="0.2">
      <c r="A672" s="5" t="s">
        <v>592</v>
      </c>
      <c r="B672" s="22" t="s">
        <v>397</v>
      </c>
      <c r="C672" s="25">
        <v>644.07692310000004</v>
      </c>
      <c r="D672" s="15">
        <v>24</v>
      </c>
      <c r="E672" s="26">
        <v>0.13591723397</v>
      </c>
      <c r="F672" s="25">
        <v>496.2</v>
      </c>
      <c r="G672" s="8">
        <v>49</v>
      </c>
      <c r="H672" s="26">
        <v>0.1028687113</v>
      </c>
    </row>
    <row r="673" spans="1:8" x14ac:dyDescent="0.2">
      <c r="A673" s="14" t="s">
        <v>593</v>
      </c>
      <c r="B673" s="22" t="s">
        <v>594</v>
      </c>
      <c r="C673" s="27"/>
      <c r="D673" s="13"/>
      <c r="E673" s="28"/>
      <c r="F673" s="25">
        <v>87.428571399999996</v>
      </c>
      <c r="G673" s="8">
        <v>18</v>
      </c>
      <c r="H673" s="26">
        <v>0</v>
      </c>
    </row>
    <row r="674" spans="1:8" x14ac:dyDescent="0.2">
      <c r="A674" s="14" t="s">
        <v>593</v>
      </c>
      <c r="B674" s="22" t="s">
        <v>595</v>
      </c>
      <c r="C674" s="25">
        <v>424.75</v>
      </c>
      <c r="D674" s="15">
        <v>8</v>
      </c>
      <c r="E674" s="26">
        <v>0.20220718068999999</v>
      </c>
      <c r="F674" s="25">
        <v>375.4210526</v>
      </c>
      <c r="G674" s="8">
        <v>18</v>
      </c>
      <c r="H674" s="26">
        <v>0.20330996775999999</v>
      </c>
    </row>
    <row r="675" spans="1:8" ht="13.5" thickBot="1" x14ac:dyDescent="0.25">
      <c r="A675" s="14" t="s">
        <v>593</v>
      </c>
      <c r="B675" s="22" t="s">
        <v>47</v>
      </c>
      <c r="C675" s="29">
        <v>174.5</v>
      </c>
      <c r="D675" s="30">
        <v>2</v>
      </c>
      <c r="E675" s="31">
        <v>0.21426934097</v>
      </c>
      <c r="F675" s="29">
        <v>155</v>
      </c>
      <c r="G675" s="32">
        <v>3</v>
      </c>
      <c r="H675" s="31">
        <v>0.21683870967999999</v>
      </c>
    </row>
    <row r="676" spans="1:8" x14ac:dyDescent="0.2">
      <c r="A676" s="21"/>
    </row>
  </sheetData>
  <phoneticPr fontId="0" type="noConversion"/>
  <pageMargins left="1" right="1" top="1" bottom="1" header="1" footer="1"/>
  <pageSetup orientation="portrait" horizontalDpi="0" verticalDpi="0" r:id="rId1"/>
  <headerFooter alignWithMargins="0">
    <oddFooter>&amp;L&amp;C&amp;R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76"/>
  <sheetViews>
    <sheetView workbookViewId="0">
      <selection activeCell="J7" sqref="J7"/>
    </sheetView>
  </sheetViews>
  <sheetFormatPr baseColWidth="10" defaultColWidth="9.140625" defaultRowHeight="16.5" customHeight="1" x14ac:dyDescent="0.2"/>
  <cols>
    <col min="1" max="1" width="8.5703125" bestFit="1" customWidth="1"/>
    <col min="2" max="2" width="34.7109375" customWidth="1"/>
    <col min="3" max="3" width="8" bestFit="1" customWidth="1"/>
    <col min="4" max="4" width="6.42578125" bestFit="1" customWidth="1"/>
    <col min="5" max="5" width="6.5703125" bestFit="1" customWidth="1"/>
    <col min="6" max="6" width="8" bestFit="1" customWidth="1"/>
    <col min="7" max="7" width="6.42578125" bestFit="1" customWidth="1"/>
    <col min="8" max="8" width="6.5703125" bestFit="1" customWidth="1"/>
    <col min="9" max="9" width="0" hidden="1" customWidth="1"/>
  </cols>
  <sheetData>
    <row r="1" spans="1:8" ht="16.5" customHeight="1" x14ac:dyDescent="0.2">
      <c r="A1" s="10"/>
      <c r="B1" s="33"/>
      <c r="C1" s="33"/>
      <c r="D1" s="33"/>
    </row>
    <row r="3" spans="1:8" ht="16.5" customHeight="1" x14ac:dyDescent="0.2">
      <c r="A3" s="11"/>
      <c r="B3" s="33"/>
      <c r="C3" s="33"/>
      <c r="D3" s="33"/>
      <c r="E3" s="33"/>
    </row>
    <row r="4" spans="1:8" ht="16.5" customHeight="1" x14ac:dyDescent="0.2">
      <c r="C4" s="37"/>
      <c r="D4" s="37"/>
      <c r="E4" s="37"/>
      <c r="F4" s="37"/>
      <c r="G4" s="37"/>
      <c r="H4" s="37"/>
    </row>
    <row r="5" spans="1:8" ht="16.5" customHeight="1" x14ac:dyDescent="0.2">
      <c r="A5" t="s">
        <v>596</v>
      </c>
      <c r="B5" s="12" t="s">
        <v>597</v>
      </c>
      <c r="C5" s="38" t="s">
        <v>0</v>
      </c>
      <c r="D5" s="39"/>
      <c r="E5" s="39"/>
      <c r="F5" s="38" t="s">
        <v>1</v>
      </c>
      <c r="G5" s="39"/>
      <c r="H5" s="39"/>
    </row>
    <row r="6" spans="1:8" ht="16.5" customHeight="1" x14ac:dyDescent="0.2">
      <c r="A6" s="2"/>
      <c r="B6" s="3"/>
      <c r="C6" s="4" t="s">
        <v>2</v>
      </c>
      <c r="D6" s="40" t="s">
        <v>3</v>
      </c>
      <c r="E6" s="40" t="s">
        <v>4</v>
      </c>
      <c r="F6" s="4" t="s">
        <v>2</v>
      </c>
      <c r="G6" s="4" t="s">
        <v>3</v>
      </c>
      <c r="H6" s="4" t="s">
        <v>4</v>
      </c>
    </row>
    <row r="7" spans="1:8" ht="16.5" customHeight="1" x14ac:dyDescent="0.2">
      <c r="A7" s="14" t="s">
        <v>5</v>
      </c>
      <c r="B7" s="6" t="s">
        <v>6</v>
      </c>
      <c r="C7" s="7">
        <v>6.34</v>
      </c>
      <c r="D7" s="15">
        <v>1</v>
      </c>
      <c r="E7" s="19">
        <v>0.15</v>
      </c>
      <c r="F7" s="7">
        <v>6.34</v>
      </c>
      <c r="G7" s="8">
        <v>1</v>
      </c>
      <c r="H7" s="9">
        <v>0.15</v>
      </c>
    </row>
    <row r="8" spans="1:8" ht="16.5" customHeight="1" x14ac:dyDescent="0.2">
      <c r="A8" s="17" t="s">
        <v>5</v>
      </c>
      <c r="B8" s="6" t="s">
        <v>7</v>
      </c>
      <c r="C8" s="7">
        <v>185.5</v>
      </c>
      <c r="D8" s="15">
        <v>1</v>
      </c>
      <c r="E8" s="19">
        <v>0.15</v>
      </c>
      <c r="F8" s="7">
        <v>185.5</v>
      </c>
      <c r="G8" s="8">
        <v>1</v>
      </c>
      <c r="H8" s="9">
        <v>0.15</v>
      </c>
    </row>
    <row r="9" spans="1:8" ht="16.5" customHeight="1" x14ac:dyDescent="0.2">
      <c r="A9" s="14" t="s">
        <v>8</v>
      </c>
      <c r="B9" s="6" t="s">
        <v>9</v>
      </c>
      <c r="C9" s="1"/>
      <c r="D9" s="13"/>
      <c r="E9" s="13"/>
      <c r="F9" s="7">
        <v>23.34</v>
      </c>
      <c r="G9" s="8">
        <v>8</v>
      </c>
      <c r="H9" s="9">
        <v>2.4164524421600002</v>
      </c>
    </row>
    <row r="10" spans="1:8" ht="16.5" customHeight="1" x14ac:dyDescent="0.2">
      <c r="A10" s="18" t="s">
        <v>602</v>
      </c>
      <c r="B10" s="6" t="s">
        <v>10</v>
      </c>
      <c r="C10" s="1"/>
      <c r="D10" s="13"/>
      <c r="E10" s="13"/>
      <c r="F10" s="7">
        <v>64.510000000000005</v>
      </c>
      <c r="G10" s="8">
        <v>1</v>
      </c>
      <c r="H10" s="9">
        <v>0.28383196404</v>
      </c>
    </row>
    <row r="11" spans="1:8" ht="16.5" customHeight="1" x14ac:dyDescent="0.2">
      <c r="A11" s="18" t="s">
        <v>602</v>
      </c>
      <c r="B11" s="6" t="s">
        <v>11</v>
      </c>
      <c r="C11" s="7">
        <v>32.21</v>
      </c>
      <c r="D11" s="15">
        <v>1</v>
      </c>
      <c r="E11" s="19">
        <v>1.7510090034200001</v>
      </c>
      <c r="F11" s="7">
        <v>31.105</v>
      </c>
      <c r="G11" s="8">
        <v>2</v>
      </c>
      <c r="H11" s="9">
        <v>1.8132133097600001</v>
      </c>
    </row>
    <row r="12" spans="1:8" ht="16.5" customHeight="1" x14ac:dyDescent="0.2">
      <c r="A12" s="18" t="s">
        <v>602</v>
      </c>
      <c r="B12" s="6" t="s">
        <v>12</v>
      </c>
      <c r="C12" s="1"/>
      <c r="D12" s="13"/>
      <c r="E12" s="13"/>
      <c r="F12" s="7">
        <v>22.396666700000001</v>
      </c>
      <c r="G12" s="8">
        <v>3</v>
      </c>
      <c r="H12" s="9">
        <v>1.6484595922</v>
      </c>
    </row>
    <row r="13" spans="1:8" ht="16.5" customHeight="1" x14ac:dyDescent="0.2">
      <c r="A13" s="14" t="s">
        <v>8</v>
      </c>
      <c r="B13" s="6" t="s">
        <v>13</v>
      </c>
      <c r="C13" s="1"/>
      <c r="D13" s="13"/>
      <c r="E13" s="13"/>
      <c r="F13" s="7">
        <v>27.94</v>
      </c>
      <c r="G13" s="8">
        <v>1</v>
      </c>
      <c r="H13" s="9">
        <v>0.58231925554999997</v>
      </c>
    </row>
    <row r="14" spans="1:8" ht="16.5" customHeight="1" x14ac:dyDescent="0.2">
      <c r="A14" s="18" t="s">
        <v>602</v>
      </c>
      <c r="B14" s="6" t="s">
        <v>14</v>
      </c>
      <c r="C14" s="7">
        <v>51.42</v>
      </c>
      <c r="D14" s="15">
        <v>1</v>
      </c>
      <c r="E14" s="19">
        <v>1.0184753014400001</v>
      </c>
      <c r="F14" s="7">
        <v>145.9533333</v>
      </c>
      <c r="G14" s="8">
        <v>6</v>
      </c>
      <c r="H14" s="9">
        <v>0.57505138628999997</v>
      </c>
    </row>
    <row r="15" spans="1:8" ht="16.5" customHeight="1" x14ac:dyDescent="0.2">
      <c r="A15" s="18" t="s">
        <v>602</v>
      </c>
      <c r="B15" s="6" t="s">
        <v>15</v>
      </c>
      <c r="C15" s="1"/>
      <c r="D15" s="13"/>
      <c r="E15" s="13"/>
      <c r="F15" s="7">
        <v>5.3</v>
      </c>
      <c r="G15" s="8">
        <v>1</v>
      </c>
      <c r="H15" s="9">
        <v>3.06981132075</v>
      </c>
    </row>
    <row r="16" spans="1:8" ht="16.5" customHeight="1" x14ac:dyDescent="0.2">
      <c r="A16" s="18" t="s">
        <v>602</v>
      </c>
      <c r="B16" s="6" t="s">
        <v>16</v>
      </c>
      <c r="C16" s="1"/>
      <c r="D16" s="13"/>
      <c r="E16" s="13"/>
      <c r="F16" s="7">
        <v>123.9</v>
      </c>
      <c r="G16" s="8">
        <v>1</v>
      </c>
      <c r="H16" s="9">
        <v>0.20338983051000001</v>
      </c>
    </row>
    <row r="17" spans="1:8" ht="16.5" customHeight="1" x14ac:dyDescent="0.2">
      <c r="A17" s="14" t="s">
        <v>8</v>
      </c>
      <c r="B17" s="6" t="s">
        <v>17</v>
      </c>
      <c r="C17" s="1"/>
      <c r="D17" s="13"/>
      <c r="E17" s="13"/>
      <c r="F17" s="7">
        <v>43.436666700000004</v>
      </c>
      <c r="G17" s="8">
        <v>3</v>
      </c>
      <c r="H17" s="9">
        <v>0.88373877676000001</v>
      </c>
    </row>
    <row r="18" spans="1:8" ht="16.5" customHeight="1" x14ac:dyDescent="0.2">
      <c r="A18" s="18" t="s">
        <v>602</v>
      </c>
      <c r="B18" s="6" t="s">
        <v>18</v>
      </c>
      <c r="C18" s="1"/>
      <c r="D18" s="13"/>
      <c r="E18" s="13"/>
      <c r="F18" s="7">
        <v>13.3</v>
      </c>
      <c r="G18" s="8">
        <v>1</v>
      </c>
      <c r="H18" s="9">
        <v>1.22330827068</v>
      </c>
    </row>
    <row r="19" spans="1:8" ht="16.5" customHeight="1" x14ac:dyDescent="0.2">
      <c r="A19" s="18" t="s">
        <v>602</v>
      </c>
      <c r="B19" s="6" t="s">
        <v>19</v>
      </c>
      <c r="C19" s="1"/>
      <c r="D19" s="13"/>
      <c r="E19" s="13"/>
      <c r="F19" s="7">
        <v>87.67</v>
      </c>
      <c r="G19" s="8">
        <v>4</v>
      </c>
      <c r="H19" s="9">
        <v>0.56372761492000001</v>
      </c>
    </row>
    <row r="20" spans="1:8" ht="16.5" customHeight="1" x14ac:dyDescent="0.2">
      <c r="A20" s="18" t="s">
        <v>602</v>
      </c>
      <c r="B20" s="6" t="s">
        <v>20</v>
      </c>
      <c r="C20" s="7">
        <v>48.56</v>
      </c>
      <c r="D20" s="15">
        <v>1</v>
      </c>
      <c r="E20" s="19">
        <v>1.2312602965399999</v>
      </c>
      <c r="F20" s="7">
        <v>32.216666699999998</v>
      </c>
      <c r="G20" s="8">
        <v>3</v>
      </c>
      <c r="H20" s="9">
        <v>1.7857216761500001</v>
      </c>
    </row>
    <row r="21" spans="1:8" ht="16.5" customHeight="1" x14ac:dyDescent="0.2">
      <c r="A21" s="14" t="s">
        <v>8</v>
      </c>
      <c r="B21" s="6" t="s">
        <v>21</v>
      </c>
      <c r="C21" s="7">
        <v>44.23</v>
      </c>
      <c r="D21" s="15">
        <v>1</v>
      </c>
      <c r="E21" s="19">
        <v>0.99886954555999996</v>
      </c>
      <c r="F21" s="7">
        <v>31.24</v>
      </c>
      <c r="G21" s="8">
        <v>8</v>
      </c>
      <c r="H21" s="9">
        <v>1.34391005122</v>
      </c>
    </row>
    <row r="22" spans="1:8" ht="16.5" customHeight="1" x14ac:dyDescent="0.2">
      <c r="A22" s="18" t="s">
        <v>602</v>
      </c>
      <c r="B22" s="6" t="s">
        <v>22</v>
      </c>
      <c r="C22" s="7">
        <v>19.260000000000002</v>
      </c>
      <c r="D22" s="15">
        <v>1</v>
      </c>
      <c r="E22" s="19">
        <v>0.33904465213000001</v>
      </c>
      <c r="F22" s="7">
        <v>47.811999999999998</v>
      </c>
      <c r="G22" s="8">
        <v>5</v>
      </c>
      <c r="H22" s="9">
        <v>0.33902785911</v>
      </c>
    </row>
    <row r="23" spans="1:8" ht="16.5" customHeight="1" x14ac:dyDescent="0.2">
      <c r="A23" s="18" t="s">
        <v>602</v>
      </c>
      <c r="B23" s="6" t="s">
        <v>23</v>
      </c>
      <c r="C23" s="1"/>
      <c r="D23" s="13"/>
      <c r="E23" s="13"/>
      <c r="F23" s="7">
        <v>13.98</v>
      </c>
      <c r="G23" s="8">
        <v>2</v>
      </c>
      <c r="H23" s="9">
        <v>0</v>
      </c>
    </row>
    <row r="24" spans="1:8" ht="16.5" customHeight="1" x14ac:dyDescent="0.2">
      <c r="A24" s="18" t="s">
        <v>602</v>
      </c>
      <c r="B24" s="6" t="s">
        <v>24</v>
      </c>
      <c r="C24" s="1"/>
      <c r="D24" s="13"/>
      <c r="E24" s="13"/>
      <c r="F24" s="7">
        <v>14.556666699999999</v>
      </c>
      <c r="G24" s="8">
        <v>3</v>
      </c>
      <c r="H24" s="9">
        <v>0.33895122509999998</v>
      </c>
    </row>
    <row r="25" spans="1:8" ht="16.5" customHeight="1" x14ac:dyDescent="0.2">
      <c r="A25" s="14" t="s">
        <v>8</v>
      </c>
      <c r="B25" s="6" t="s">
        <v>25</v>
      </c>
      <c r="C25" s="7">
        <v>18.96</v>
      </c>
      <c r="D25" s="15">
        <v>1</v>
      </c>
      <c r="E25" s="19">
        <v>0.33897679325000002</v>
      </c>
      <c r="F25" s="7">
        <v>24.46</v>
      </c>
      <c r="G25" s="8">
        <v>4</v>
      </c>
      <c r="H25" s="9">
        <v>0.33891046607000003</v>
      </c>
    </row>
    <row r="26" spans="1:8" ht="16.5" customHeight="1" x14ac:dyDescent="0.2">
      <c r="A26" s="18" t="s">
        <v>602</v>
      </c>
      <c r="B26" s="6" t="s">
        <v>26</v>
      </c>
      <c r="C26" s="1"/>
      <c r="D26" s="13"/>
      <c r="E26" s="13"/>
      <c r="F26" s="7">
        <v>14.935</v>
      </c>
      <c r="G26" s="8">
        <v>4</v>
      </c>
      <c r="H26" s="9">
        <v>0.33913625711000001</v>
      </c>
    </row>
    <row r="27" spans="1:8" ht="16.5" customHeight="1" x14ac:dyDescent="0.2">
      <c r="A27" s="18" t="s">
        <v>602</v>
      </c>
      <c r="B27" s="6" t="s">
        <v>27</v>
      </c>
      <c r="C27" s="1"/>
      <c r="D27" s="13"/>
      <c r="E27" s="13"/>
      <c r="F27" s="7">
        <v>18.72</v>
      </c>
      <c r="G27" s="8">
        <v>1</v>
      </c>
      <c r="H27" s="9">
        <v>0.33878205128</v>
      </c>
    </row>
    <row r="28" spans="1:8" ht="16.5" customHeight="1" x14ac:dyDescent="0.2">
      <c r="A28" s="18" t="s">
        <v>602</v>
      </c>
      <c r="B28" s="6" t="s">
        <v>28</v>
      </c>
      <c r="C28" s="7">
        <v>21.45</v>
      </c>
      <c r="D28" s="15">
        <v>1</v>
      </c>
      <c r="E28" s="19">
        <v>1.94265734266</v>
      </c>
      <c r="F28" s="7">
        <v>19.62</v>
      </c>
      <c r="G28" s="8">
        <v>7</v>
      </c>
      <c r="H28" s="9">
        <v>2.1238532110100001</v>
      </c>
    </row>
    <row r="29" spans="1:8" ht="16.5" customHeight="1" x14ac:dyDescent="0.2">
      <c r="A29" s="14" t="s">
        <v>8</v>
      </c>
      <c r="B29" s="6" t="s">
        <v>29</v>
      </c>
      <c r="C29" s="1"/>
      <c r="D29" s="13"/>
      <c r="E29" s="13"/>
      <c r="F29" s="7">
        <v>20.72</v>
      </c>
      <c r="G29" s="8">
        <v>1</v>
      </c>
      <c r="H29" s="9">
        <v>1.6081081081099999</v>
      </c>
    </row>
    <row r="30" spans="1:8" ht="16.5" customHeight="1" x14ac:dyDescent="0.2">
      <c r="A30" s="18" t="s">
        <v>602</v>
      </c>
      <c r="B30" s="6" t="s">
        <v>30</v>
      </c>
      <c r="C30" s="7">
        <v>28.86</v>
      </c>
      <c r="D30" s="15">
        <v>2</v>
      </c>
      <c r="E30" s="19">
        <v>0.33906791406999998</v>
      </c>
      <c r="F30" s="7">
        <v>28.254285700000001</v>
      </c>
      <c r="G30" s="8">
        <v>7</v>
      </c>
      <c r="H30" s="9">
        <v>0.33905854990000001</v>
      </c>
    </row>
    <row r="31" spans="1:8" ht="16.5" customHeight="1" x14ac:dyDescent="0.2">
      <c r="A31" s="18" t="s">
        <v>602</v>
      </c>
      <c r="B31" s="6" t="s">
        <v>31</v>
      </c>
      <c r="C31" s="7">
        <v>20.13</v>
      </c>
      <c r="D31" s="15">
        <v>1</v>
      </c>
      <c r="E31" s="19">
        <v>2.0700447093899998</v>
      </c>
      <c r="F31" s="7">
        <v>22.696000000000002</v>
      </c>
      <c r="G31" s="8">
        <v>5</v>
      </c>
      <c r="H31" s="9">
        <v>1.8360063447299999</v>
      </c>
    </row>
    <row r="32" spans="1:8" ht="16.5" customHeight="1" x14ac:dyDescent="0.2">
      <c r="A32" s="18" t="s">
        <v>602</v>
      </c>
      <c r="B32" s="6" t="s">
        <v>32</v>
      </c>
      <c r="C32" s="7">
        <v>19.524999999999999</v>
      </c>
      <c r="D32" s="15">
        <v>2</v>
      </c>
      <c r="E32" s="19">
        <v>0.33889884763</v>
      </c>
      <c r="F32" s="7">
        <v>19.84</v>
      </c>
      <c r="G32" s="8">
        <v>5</v>
      </c>
      <c r="H32" s="9">
        <v>0.33902217742000001</v>
      </c>
    </row>
    <row r="33" spans="1:8" ht="16.5" customHeight="1" x14ac:dyDescent="0.2">
      <c r="A33" s="14" t="s">
        <v>8</v>
      </c>
      <c r="B33" s="6" t="s">
        <v>33</v>
      </c>
      <c r="C33" s="1"/>
      <c r="D33" s="13"/>
      <c r="E33" s="13"/>
      <c r="F33" s="7">
        <v>40.1</v>
      </c>
      <c r="G33" s="8">
        <v>2</v>
      </c>
      <c r="H33" s="9">
        <v>0.33892768080000002</v>
      </c>
    </row>
    <row r="34" spans="1:8" ht="16.5" customHeight="1" x14ac:dyDescent="0.2">
      <c r="A34" s="18" t="s">
        <v>602</v>
      </c>
      <c r="B34" s="6" t="s">
        <v>34</v>
      </c>
      <c r="C34" s="7">
        <v>15.81</v>
      </c>
      <c r="D34" s="15">
        <v>2</v>
      </c>
      <c r="E34" s="19">
        <v>0.33883617963000001</v>
      </c>
      <c r="F34" s="7">
        <v>15.0525</v>
      </c>
      <c r="G34" s="8">
        <v>8</v>
      </c>
      <c r="H34" s="9">
        <v>0.33898854011000001</v>
      </c>
    </row>
    <row r="35" spans="1:8" ht="16.5" customHeight="1" x14ac:dyDescent="0.2">
      <c r="A35" s="18" t="s">
        <v>602</v>
      </c>
      <c r="B35" s="6" t="s">
        <v>35</v>
      </c>
      <c r="C35" s="7">
        <v>19.059999999999999</v>
      </c>
      <c r="D35" s="15">
        <v>1</v>
      </c>
      <c r="E35" s="19">
        <v>0.33882476389999999</v>
      </c>
      <c r="F35" s="7">
        <v>23.344999999999999</v>
      </c>
      <c r="G35" s="8">
        <v>6</v>
      </c>
      <c r="H35" s="9">
        <v>0.33905904191000003</v>
      </c>
    </row>
    <row r="36" spans="1:8" ht="16.5" customHeight="1" x14ac:dyDescent="0.2">
      <c r="A36" s="18" t="s">
        <v>602</v>
      </c>
      <c r="B36" s="6" t="s">
        <v>36</v>
      </c>
      <c r="C36" s="7">
        <v>19.524999999999999</v>
      </c>
      <c r="D36" s="15">
        <v>2</v>
      </c>
      <c r="E36" s="19">
        <v>2.1341869398200002</v>
      </c>
      <c r="F36" s="7">
        <v>19.350000000000001</v>
      </c>
      <c r="G36" s="8">
        <v>8</v>
      </c>
      <c r="H36" s="9">
        <v>2.15348837209</v>
      </c>
    </row>
    <row r="37" spans="1:8" ht="16.5" customHeight="1" x14ac:dyDescent="0.2">
      <c r="A37" s="14" t="s">
        <v>8</v>
      </c>
      <c r="B37" s="6" t="s">
        <v>37</v>
      </c>
      <c r="C37" s="1"/>
      <c r="D37" s="13"/>
      <c r="E37" s="13"/>
      <c r="F37" s="7">
        <v>181.60749999999999</v>
      </c>
      <c r="G37" s="8">
        <v>4</v>
      </c>
      <c r="H37" s="9">
        <v>0.63426482936999995</v>
      </c>
    </row>
    <row r="38" spans="1:8" ht="16.5" customHeight="1" x14ac:dyDescent="0.2">
      <c r="A38" s="18" t="s">
        <v>602</v>
      </c>
      <c r="B38" s="6" t="s">
        <v>38</v>
      </c>
      <c r="C38" s="7">
        <v>170.94</v>
      </c>
      <c r="D38" s="15">
        <v>1</v>
      </c>
      <c r="E38" s="19">
        <v>0.57661752661999999</v>
      </c>
      <c r="F38" s="7">
        <v>237.4722222</v>
      </c>
      <c r="G38" s="8">
        <v>9</v>
      </c>
      <c r="H38" s="9">
        <v>0.51923546614000005</v>
      </c>
    </row>
    <row r="39" spans="1:8" ht="16.5" customHeight="1" x14ac:dyDescent="0.2">
      <c r="A39" s="18" t="s">
        <v>602</v>
      </c>
      <c r="B39" s="6" t="s">
        <v>39</v>
      </c>
      <c r="C39" s="1"/>
      <c r="D39" s="13"/>
      <c r="E39" s="13"/>
      <c r="F39" s="7">
        <v>183.34</v>
      </c>
      <c r="G39" s="8">
        <v>1</v>
      </c>
      <c r="H39" s="9">
        <v>0.52224282752999995</v>
      </c>
    </row>
    <row r="40" spans="1:8" ht="16.5" customHeight="1" x14ac:dyDescent="0.2">
      <c r="A40" s="18" t="s">
        <v>602</v>
      </c>
      <c r="B40" s="6" t="s">
        <v>40</v>
      </c>
      <c r="C40" s="1"/>
      <c r="D40" s="13"/>
      <c r="E40" s="13"/>
      <c r="F40" s="7">
        <v>158.8725</v>
      </c>
      <c r="G40" s="8">
        <v>4</v>
      </c>
      <c r="H40" s="9">
        <v>0.33897779666</v>
      </c>
    </row>
    <row r="41" spans="1:8" ht="16.5" customHeight="1" x14ac:dyDescent="0.2">
      <c r="A41" s="14" t="s">
        <v>8</v>
      </c>
      <c r="B41" s="6" t="s">
        <v>41</v>
      </c>
      <c r="C41" s="1"/>
      <c r="D41" s="13"/>
      <c r="E41" s="13"/>
      <c r="F41" s="7">
        <v>18.984000000000002</v>
      </c>
      <c r="G41" s="8">
        <v>5</v>
      </c>
      <c r="H41" s="9">
        <v>2.1950063211100002</v>
      </c>
    </row>
    <row r="42" spans="1:8" ht="16.5" customHeight="1" x14ac:dyDescent="0.2">
      <c r="A42" s="18" t="s">
        <v>602</v>
      </c>
      <c r="B42" s="6" t="s">
        <v>42</v>
      </c>
      <c r="C42" s="7">
        <v>18.82</v>
      </c>
      <c r="D42" s="15">
        <v>1</v>
      </c>
      <c r="E42" s="19">
        <v>2.2141339001100002</v>
      </c>
      <c r="F42" s="7">
        <v>19.373999999999999</v>
      </c>
      <c r="G42" s="8">
        <v>5</v>
      </c>
      <c r="H42" s="9">
        <v>2.15082068752</v>
      </c>
    </row>
    <row r="43" spans="1:8" ht="16.5" customHeight="1" x14ac:dyDescent="0.2">
      <c r="A43" s="18" t="s">
        <v>602</v>
      </c>
      <c r="B43" s="6" t="s">
        <v>43</v>
      </c>
      <c r="C43" s="7">
        <v>33.380000000000003</v>
      </c>
      <c r="D43" s="15">
        <v>1</v>
      </c>
      <c r="E43" s="19">
        <v>0.90293588975000005</v>
      </c>
      <c r="F43" s="7">
        <v>22.281428600000002</v>
      </c>
      <c r="G43" s="8">
        <v>7</v>
      </c>
      <c r="H43" s="9">
        <v>1.35269603129</v>
      </c>
    </row>
    <row r="44" spans="1:8" ht="16.5" customHeight="1" x14ac:dyDescent="0.2">
      <c r="A44" s="18" t="s">
        <v>602</v>
      </c>
      <c r="B44" s="6" t="s">
        <v>44</v>
      </c>
      <c r="C44" s="1"/>
      <c r="D44" s="13"/>
      <c r="E44" s="13"/>
      <c r="F44" s="7">
        <v>730.98</v>
      </c>
      <c r="G44" s="8">
        <v>2</v>
      </c>
      <c r="H44" s="9">
        <v>0.34149497934</v>
      </c>
    </row>
    <row r="45" spans="1:8" ht="16.5" customHeight="1" x14ac:dyDescent="0.2">
      <c r="A45" s="14" t="s">
        <v>8</v>
      </c>
      <c r="B45" s="6" t="s">
        <v>45</v>
      </c>
      <c r="C45" s="1"/>
      <c r="D45" s="13"/>
      <c r="E45" s="13"/>
      <c r="F45" s="7">
        <v>20.13</v>
      </c>
      <c r="G45" s="8">
        <v>3</v>
      </c>
      <c r="H45" s="9">
        <v>1.5764199370800001</v>
      </c>
    </row>
    <row r="46" spans="1:8" ht="16.5" customHeight="1" x14ac:dyDescent="0.2">
      <c r="A46" s="18" t="s">
        <v>602</v>
      </c>
      <c r="B46" s="6" t="s">
        <v>46</v>
      </c>
      <c r="C46" s="7">
        <v>13.63</v>
      </c>
      <c r="D46" s="15">
        <v>1</v>
      </c>
      <c r="E46" s="19">
        <v>1.1936903888499999</v>
      </c>
      <c r="F46" s="7">
        <v>18.002500000000001</v>
      </c>
      <c r="G46" s="8">
        <v>4</v>
      </c>
      <c r="H46" s="9">
        <v>0.93209276489000004</v>
      </c>
    </row>
    <row r="47" spans="1:8" ht="16.5" customHeight="1" x14ac:dyDescent="0.2">
      <c r="A47" s="18" t="s">
        <v>602</v>
      </c>
      <c r="B47" s="6" t="s">
        <v>47</v>
      </c>
      <c r="C47" s="1"/>
      <c r="D47" s="13"/>
      <c r="E47" s="13"/>
      <c r="F47" s="7">
        <v>68.117999999999995</v>
      </c>
      <c r="G47" s="8">
        <v>5</v>
      </c>
      <c r="H47" s="9">
        <v>0.47452949294000002</v>
      </c>
    </row>
    <row r="48" spans="1:8" ht="16.5" customHeight="1" x14ac:dyDescent="0.2">
      <c r="A48" s="18" t="s">
        <v>602</v>
      </c>
      <c r="B48" s="6" t="s">
        <v>48</v>
      </c>
      <c r="C48" s="1"/>
      <c r="D48" s="13"/>
      <c r="E48" s="13"/>
      <c r="F48" s="7">
        <v>19.647500000000001</v>
      </c>
      <c r="G48" s="8">
        <v>4</v>
      </c>
      <c r="H48" s="9">
        <v>1.87911948085</v>
      </c>
    </row>
    <row r="49" spans="1:8" ht="16.5" customHeight="1" x14ac:dyDescent="0.2">
      <c r="A49" s="14" t="s">
        <v>8</v>
      </c>
      <c r="B49" s="6" t="s">
        <v>49</v>
      </c>
      <c r="C49" s="7">
        <v>16.46</v>
      </c>
      <c r="D49" s="15">
        <v>1</v>
      </c>
      <c r="E49" s="19">
        <v>2.5315917375499999</v>
      </c>
      <c r="F49" s="7">
        <v>15.7766667</v>
      </c>
      <c r="G49" s="8">
        <v>3</v>
      </c>
      <c r="H49" s="9">
        <v>2.6412423410099999</v>
      </c>
    </row>
    <row r="50" spans="1:8" ht="16.5" customHeight="1" x14ac:dyDescent="0.2">
      <c r="A50" s="18" t="s">
        <v>602</v>
      </c>
      <c r="B50" s="6" t="s">
        <v>50</v>
      </c>
      <c r="C50" s="1"/>
      <c r="D50" s="13"/>
      <c r="E50" s="13"/>
      <c r="F50" s="7">
        <v>47.145714300000002</v>
      </c>
      <c r="G50" s="8">
        <v>7</v>
      </c>
      <c r="H50" s="9">
        <v>0.91427792254999996</v>
      </c>
    </row>
    <row r="51" spans="1:8" ht="16.5" customHeight="1" x14ac:dyDescent="0.2">
      <c r="A51" s="18" t="s">
        <v>602</v>
      </c>
      <c r="B51" s="6" t="s">
        <v>51</v>
      </c>
      <c r="C51" s="1"/>
      <c r="D51" s="13"/>
      <c r="E51" s="13"/>
      <c r="F51" s="7">
        <v>5</v>
      </c>
      <c r="G51" s="8">
        <v>1</v>
      </c>
      <c r="H51" s="9">
        <v>3.254</v>
      </c>
    </row>
    <row r="52" spans="1:8" ht="16.5" customHeight="1" x14ac:dyDescent="0.2">
      <c r="A52" s="18" t="s">
        <v>602</v>
      </c>
      <c r="B52" s="6" t="s">
        <v>52</v>
      </c>
      <c r="C52" s="7">
        <v>2.4700000000000002</v>
      </c>
      <c r="D52" s="15">
        <v>1</v>
      </c>
      <c r="E52" s="19">
        <v>6.5870445344100004</v>
      </c>
      <c r="F52" s="7">
        <v>25.106000000000002</v>
      </c>
      <c r="G52" s="8">
        <v>5</v>
      </c>
      <c r="H52" s="9">
        <v>0.66430335378000005</v>
      </c>
    </row>
    <row r="53" spans="1:8" ht="16.5" customHeight="1" x14ac:dyDescent="0.2">
      <c r="A53" s="14" t="s">
        <v>8</v>
      </c>
      <c r="B53" s="6" t="s">
        <v>53</v>
      </c>
      <c r="C53" s="7">
        <v>14.66</v>
      </c>
      <c r="D53" s="15">
        <v>1</v>
      </c>
      <c r="E53" s="19">
        <v>3.84720327422</v>
      </c>
      <c r="F53" s="7">
        <v>27.358000000000001</v>
      </c>
      <c r="G53" s="8">
        <v>5</v>
      </c>
      <c r="H53" s="9">
        <v>2.0615542071799999</v>
      </c>
    </row>
    <row r="54" spans="1:8" ht="16.5" customHeight="1" x14ac:dyDescent="0.2">
      <c r="A54" s="18" t="s">
        <v>602</v>
      </c>
      <c r="B54" s="6" t="s">
        <v>54</v>
      </c>
      <c r="C54" s="1"/>
      <c r="D54" s="13"/>
      <c r="E54" s="13"/>
      <c r="F54" s="7">
        <v>14.63</v>
      </c>
      <c r="G54" s="8">
        <v>1</v>
      </c>
      <c r="H54" s="9">
        <v>1.1120984278899999</v>
      </c>
    </row>
    <row r="55" spans="1:8" ht="16.5" customHeight="1" x14ac:dyDescent="0.2">
      <c r="A55" s="18" t="s">
        <v>602</v>
      </c>
      <c r="B55" s="6" t="s">
        <v>55</v>
      </c>
      <c r="C55" s="1"/>
      <c r="D55" s="13"/>
      <c r="E55" s="13"/>
      <c r="F55" s="7">
        <v>58.22</v>
      </c>
      <c r="G55" s="8">
        <v>4</v>
      </c>
      <c r="H55" s="9">
        <v>0.55384747508999999</v>
      </c>
    </row>
    <row r="56" spans="1:8" ht="16.5" customHeight="1" x14ac:dyDescent="0.2">
      <c r="A56" s="18" t="s">
        <v>602</v>
      </c>
      <c r="B56" s="6" t="s">
        <v>56</v>
      </c>
      <c r="C56" s="1"/>
      <c r="D56" s="13"/>
      <c r="E56" s="13"/>
      <c r="F56" s="7">
        <v>21.844999999999999</v>
      </c>
      <c r="G56" s="8">
        <v>2</v>
      </c>
      <c r="H56" s="9">
        <v>1.5252918287899999</v>
      </c>
    </row>
    <row r="57" spans="1:8" ht="16.5" customHeight="1" x14ac:dyDescent="0.2">
      <c r="A57" s="14" t="s">
        <v>8</v>
      </c>
      <c r="B57" s="6" t="s">
        <v>57</v>
      </c>
      <c r="C57" s="1"/>
      <c r="D57" s="13"/>
      <c r="E57" s="13"/>
      <c r="F57" s="7">
        <v>9.5500000000000007</v>
      </c>
      <c r="G57" s="8">
        <v>3</v>
      </c>
      <c r="H57" s="9">
        <v>3.1560209424100001</v>
      </c>
    </row>
    <row r="58" spans="1:8" ht="16.5" customHeight="1" x14ac:dyDescent="0.2">
      <c r="A58" s="18" t="s">
        <v>602</v>
      </c>
      <c r="B58" s="6" t="s">
        <v>58</v>
      </c>
      <c r="C58" s="7">
        <v>15.32</v>
      </c>
      <c r="D58" s="15">
        <v>1</v>
      </c>
      <c r="E58" s="19">
        <v>2.2389033942599998</v>
      </c>
      <c r="F58" s="7">
        <v>17</v>
      </c>
      <c r="G58" s="8">
        <v>2</v>
      </c>
      <c r="H58" s="9">
        <v>2.0176470588200002</v>
      </c>
    </row>
    <row r="59" spans="1:8" ht="16.5" customHeight="1" x14ac:dyDescent="0.2">
      <c r="A59" s="18" t="s">
        <v>602</v>
      </c>
      <c r="B59" s="6" t="s">
        <v>59</v>
      </c>
      <c r="C59" s="1"/>
      <c r="D59" s="13"/>
      <c r="E59" s="13"/>
      <c r="F59" s="7">
        <v>211.45</v>
      </c>
      <c r="G59" s="8">
        <v>1</v>
      </c>
      <c r="H59" s="9">
        <v>0.40174982264999998</v>
      </c>
    </row>
    <row r="60" spans="1:8" ht="16.5" customHeight="1" x14ac:dyDescent="0.2">
      <c r="A60" s="18" t="s">
        <v>602</v>
      </c>
      <c r="B60" s="6" t="s">
        <v>60</v>
      </c>
      <c r="C60" s="1"/>
      <c r="D60" s="13"/>
      <c r="E60" s="13"/>
      <c r="F60" s="7">
        <v>30.114999999999998</v>
      </c>
      <c r="G60" s="8">
        <v>4</v>
      </c>
      <c r="H60" s="9">
        <v>1.72397476341</v>
      </c>
    </row>
    <row r="61" spans="1:8" ht="16.5" customHeight="1" x14ac:dyDescent="0.2">
      <c r="A61" s="14" t="s">
        <v>8</v>
      </c>
      <c r="B61" s="6" t="s">
        <v>61</v>
      </c>
      <c r="C61" s="1"/>
      <c r="D61" s="13"/>
      <c r="E61" s="13"/>
      <c r="F61" s="7">
        <v>15.295999999999999</v>
      </c>
      <c r="G61" s="8">
        <v>5</v>
      </c>
      <c r="H61" s="9">
        <v>1.97044979079</v>
      </c>
    </row>
    <row r="62" spans="1:8" ht="16.5" customHeight="1" x14ac:dyDescent="0.2">
      <c r="A62" s="18" t="s">
        <v>602</v>
      </c>
      <c r="B62" s="6" t="s">
        <v>62</v>
      </c>
      <c r="C62" s="7">
        <v>41.86</v>
      </c>
      <c r="D62" s="15">
        <v>1</v>
      </c>
      <c r="E62" s="19">
        <v>0.66292403248999998</v>
      </c>
      <c r="F62" s="7">
        <v>60.813333299999996</v>
      </c>
      <c r="G62" s="8">
        <v>3</v>
      </c>
      <c r="H62" s="9">
        <v>0.46091865819</v>
      </c>
    </row>
    <row r="63" spans="1:8" ht="16.5" customHeight="1" x14ac:dyDescent="0.2">
      <c r="A63" s="18" t="s">
        <v>602</v>
      </c>
      <c r="B63" s="6" t="s">
        <v>63</v>
      </c>
      <c r="C63" s="1"/>
      <c r="D63" s="13"/>
      <c r="E63" s="13"/>
      <c r="F63" s="7">
        <v>7.4</v>
      </c>
      <c r="G63" s="8">
        <v>1</v>
      </c>
      <c r="H63" s="9">
        <v>7.6216216216200001</v>
      </c>
    </row>
    <row r="64" spans="1:8" ht="16.5" customHeight="1" x14ac:dyDescent="0.2">
      <c r="A64" s="18" t="s">
        <v>602</v>
      </c>
      <c r="B64" s="6" t="s">
        <v>64</v>
      </c>
      <c r="C64" s="1"/>
      <c r="D64" s="13"/>
      <c r="E64" s="13"/>
      <c r="F64" s="7">
        <v>37.39</v>
      </c>
      <c r="G64" s="8">
        <v>1</v>
      </c>
      <c r="H64" s="9">
        <v>0.97619684407999996</v>
      </c>
    </row>
    <row r="65" spans="1:8" ht="16.5" customHeight="1" x14ac:dyDescent="0.2">
      <c r="A65" s="14" t="s">
        <v>8</v>
      </c>
      <c r="B65" s="6" t="s">
        <v>65</v>
      </c>
      <c r="C65" s="1"/>
      <c r="D65" s="13"/>
      <c r="E65" s="13"/>
      <c r="F65" s="7">
        <v>13.03</v>
      </c>
      <c r="G65" s="8">
        <v>1</v>
      </c>
      <c r="H65" s="9">
        <v>2.6323867996899999</v>
      </c>
    </row>
    <row r="66" spans="1:8" ht="16.5" customHeight="1" x14ac:dyDescent="0.2">
      <c r="A66" s="18" t="s">
        <v>602</v>
      </c>
      <c r="B66" s="6" t="s">
        <v>66</v>
      </c>
      <c r="C66" s="1"/>
      <c r="D66" s="13"/>
      <c r="E66" s="13"/>
      <c r="F66" s="7">
        <v>124.6</v>
      </c>
      <c r="G66" s="8">
        <v>1</v>
      </c>
      <c r="H66" s="9">
        <v>0.48562600320999999</v>
      </c>
    </row>
    <row r="67" spans="1:8" ht="16.5" customHeight="1" x14ac:dyDescent="0.2">
      <c r="A67" s="18" t="s">
        <v>602</v>
      </c>
      <c r="B67" s="6" t="s">
        <v>67</v>
      </c>
      <c r="C67" s="1"/>
      <c r="D67" s="13"/>
      <c r="E67" s="13"/>
      <c r="F67" s="7">
        <v>77.5</v>
      </c>
      <c r="G67" s="8">
        <v>1</v>
      </c>
      <c r="H67" s="9">
        <v>0.42451612903000002</v>
      </c>
    </row>
    <row r="68" spans="1:8" ht="16.5" customHeight="1" x14ac:dyDescent="0.2">
      <c r="A68" s="18" t="s">
        <v>602</v>
      </c>
      <c r="B68" s="6" t="s">
        <v>68</v>
      </c>
      <c r="C68" s="1"/>
      <c r="D68" s="13"/>
      <c r="E68" s="13"/>
      <c r="F68" s="7">
        <v>50.43</v>
      </c>
      <c r="G68" s="8">
        <v>1</v>
      </c>
      <c r="H68" s="9">
        <v>0.72080111044999995</v>
      </c>
    </row>
    <row r="69" spans="1:8" ht="16.5" customHeight="1" x14ac:dyDescent="0.2">
      <c r="A69" s="14" t="s">
        <v>8</v>
      </c>
      <c r="B69" s="6" t="s">
        <v>69</v>
      </c>
      <c r="C69" s="1"/>
      <c r="D69" s="13"/>
      <c r="E69" s="13"/>
      <c r="F69" s="7">
        <v>0</v>
      </c>
      <c r="G69" s="8">
        <v>1</v>
      </c>
      <c r="H69" s="1"/>
    </row>
    <row r="70" spans="1:8" ht="16.5" customHeight="1" x14ac:dyDescent="0.2">
      <c r="A70" s="18" t="s">
        <v>602</v>
      </c>
      <c r="B70" s="6" t="s">
        <v>70</v>
      </c>
      <c r="C70" s="1"/>
      <c r="D70" s="13"/>
      <c r="E70" s="13"/>
      <c r="F70" s="7">
        <v>336</v>
      </c>
      <c r="G70" s="8">
        <v>1</v>
      </c>
      <c r="H70" s="9">
        <v>0.53922321428999997</v>
      </c>
    </row>
    <row r="71" spans="1:8" ht="16.5" customHeight="1" x14ac:dyDescent="0.2">
      <c r="A71" s="18" t="s">
        <v>602</v>
      </c>
      <c r="B71" s="6" t="s">
        <v>71</v>
      </c>
      <c r="C71" s="1"/>
      <c r="D71" s="13"/>
      <c r="E71" s="13"/>
      <c r="F71" s="7">
        <v>39.24</v>
      </c>
      <c r="G71" s="8">
        <v>1</v>
      </c>
      <c r="H71" s="9">
        <v>0.84913353720999996</v>
      </c>
    </row>
    <row r="72" spans="1:8" ht="16.5" customHeight="1" x14ac:dyDescent="0.2">
      <c r="A72" s="18" t="s">
        <v>602</v>
      </c>
      <c r="B72" s="6" t="s">
        <v>72</v>
      </c>
      <c r="C72" s="1"/>
      <c r="D72" s="13"/>
      <c r="E72" s="13"/>
      <c r="F72" s="7">
        <v>67.155000000000001</v>
      </c>
      <c r="G72" s="8">
        <v>2</v>
      </c>
      <c r="H72" s="9">
        <v>0.71260516715</v>
      </c>
    </row>
    <row r="73" spans="1:8" ht="16.5" customHeight="1" x14ac:dyDescent="0.2">
      <c r="A73" s="14" t="s">
        <v>8</v>
      </c>
      <c r="B73" s="6" t="s">
        <v>73</v>
      </c>
      <c r="C73" s="1"/>
      <c r="D73" s="13"/>
      <c r="E73" s="13"/>
      <c r="F73" s="7">
        <v>42.5</v>
      </c>
      <c r="G73" s="8">
        <v>1</v>
      </c>
      <c r="H73" s="9">
        <v>1.2757647058799999</v>
      </c>
    </row>
    <row r="74" spans="1:8" ht="16.5" customHeight="1" x14ac:dyDescent="0.2">
      <c r="A74" s="18" t="s">
        <v>602</v>
      </c>
      <c r="B74" s="6" t="s">
        <v>74</v>
      </c>
      <c r="C74" s="7">
        <v>915.02</v>
      </c>
      <c r="D74" s="15">
        <v>1</v>
      </c>
      <c r="E74" s="19">
        <v>0.38967454263000001</v>
      </c>
      <c r="F74" s="7">
        <v>915.02</v>
      </c>
      <c r="G74" s="8">
        <v>1</v>
      </c>
      <c r="H74" s="9">
        <v>0.38967454263000001</v>
      </c>
    </row>
    <row r="75" spans="1:8" ht="16.5" customHeight="1" x14ac:dyDescent="0.2">
      <c r="A75" s="18" t="s">
        <v>602</v>
      </c>
      <c r="B75" s="6" t="s">
        <v>75</v>
      </c>
      <c r="C75" s="1"/>
      <c r="D75" s="13"/>
      <c r="E75" s="13"/>
      <c r="F75" s="7">
        <v>18.91</v>
      </c>
      <c r="G75" s="8">
        <v>2</v>
      </c>
      <c r="H75" s="9">
        <v>0.86039132734000001</v>
      </c>
    </row>
    <row r="76" spans="1:8" ht="16.5" customHeight="1" x14ac:dyDescent="0.2">
      <c r="A76" s="18" t="s">
        <v>602</v>
      </c>
      <c r="B76" s="6" t="s">
        <v>76</v>
      </c>
      <c r="C76" s="7">
        <v>3.74</v>
      </c>
      <c r="D76" s="15">
        <v>1</v>
      </c>
      <c r="E76" s="19">
        <v>4.35026737968</v>
      </c>
      <c r="F76" s="7">
        <v>5.4233333000000004</v>
      </c>
      <c r="G76" s="8">
        <v>3</v>
      </c>
      <c r="H76" s="9">
        <v>3</v>
      </c>
    </row>
    <row r="77" spans="1:8" ht="16.5" customHeight="1" x14ac:dyDescent="0.2">
      <c r="A77" s="14" t="s">
        <v>8</v>
      </c>
      <c r="B77" s="6" t="s">
        <v>77</v>
      </c>
      <c r="C77" s="1"/>
      <c r="D77" s="13"/>
      <c r="E77" s="13"/>
      <c r="F77" s="7">
        <v>35.49</v>
      </c>
      <c r="G77" s="8">
        <v>1</v>
      </c>
      <c r="H77" s="9">
        <v>0.73795435334000004</v>
      </c>
    </row>
    <row r="78" spans="1:8" ht="16.5" customHeight="1" x14ac:dyDescent="0.2">
      <c r="A78" s="18" t="s">
        <v>602</v>
      </c>
      <c r="B78" s="6" t="s">
        <v>78</v>
      </c>
      <c r="C78" s="7">
        <v>42.99</v>
      </c>
      <c r="D78" s="15">
        <v>1</v>
      </c>
      <c r="E78" s="19">
        <v>0.74296347988</v>
      </c>
      <c r="F78" s="7">
        <v>50.627499999999998</v>
      </c>
      <c r="G78" s="8">
        <v>4</v>
      </c>
      <c r="H78" s="9">
        <v>0.63088242555999996</v>
      </c>
    </row>
    <row r="79" spans="1:8" ht="16.5" customHeight="1" x14ac:dyDescent="0.2">
      <c r="A79" s="18" t="s">
        <v>602</v>
      </c>
      <c r="B79" s="6" t="s">
        <v>79</v>
      </c>
      <c r="C79" s="1"/>
      <c r="D79" s="13"/>
      <c r="E79" s="13"/>
      <c r="F79" s="7">
        <v>38</v>
      </c>
      <c r="G79" s="8">
        <v>4</v>
      </c>
      <c r="H79" s="9">
        <v>1.17013157895</v>
      </c>
    </row>
    <row r="80" spans="1:8" ht="16.5" customHeight="1" x14ac:dyDescent="0.2">
      <c r="A80" s="18" t="s">
        <v>602</v>
      </c>
      <c r="B80" s="6" t="s">
        <v>80</v>
      </c>
      <c r="C80" s="7">
        <v>18.93</v>
      </c>
      <c r="D80" s="15">
        <v>1</v>
      </c>
      <c r="E80" s="19">
        <v>2.9793977812999999</v>
      </c>
      <c r="F80" s="7">
        <v>15.4475</v>
      </c>
      <c r="G80" s="8">
        <v>4</v>
      </c>
      <c r="H80" s="9">
        <v>3.6510762259299998</v>
      </c>
    </row>
    <row r="81" spans="1:8" ht="16.5" customHeight="1" x14ac:dyDescent="0.2">
      <c r="A81" s="14" t="s">
        <v>8</v>
      </c>
      <c r="B81" s="6" t="s">
        <v>81</v>
      </c>
      <c r="C81" s="7">
        <v>73.239999999999995</v>
      </c>
      <c r="D81" s="15">
        <v>1</v>
      </c>
      <c r="E81" s="19">
        <v>0.54423812125000004</v>
      </c>
      <c r="F81" s="7">
        <v>85.41</v>
      </c>
      <c r="G81" s="8">
        <v>4</v>
      </c>
      <c r="H81" s="9">
        <v>0.46669008312999999</v>
      </c>
    </row>
    <row r="82" spans="1:8" ht="16.5" customHeight="1" x14ac:dyDescent="0.2">
      <c r="A82" s="18" t="s">
        <v>602</v>
      </c>
      <c r="B82" s="6" t="s">
        <v>82</v>
      </c>
      <c r="C82" s="1"/>
      <c r="D82" s="13"/>
      <c r="E82" s="13"/>
      <c r="F82" s="7">
        <v>16.41</v>
      </c>
      <c r="G82" s="8">
        <v>3</v>
      </c>
      <c r="H82" s="9">
        <v>1.8366849482000001</v>
      </c>
    </row>
    <row r="83" spans="1:8" ht="16.5" customHeight="1" x14ac:dyDescent="0.2">
      <c r="A83" s="18" t="s">
        <v>602</v>
      </c>
      <c r="B83" s="6" t="s">
        <v>83</v>
      </c>
      <c r="C83" s="1"/>
      <c r="D83" s="13"/>
      <c r="E83" s="13"/>
      <c r="F83" s="7">
        <v>17.23</v>
      </c>
      <c r="G83" s="8">
        <v>3</v>
      </c>
      <c r="H83" s="9">
        <v>1.52002321532</v>
      </c>
    </row>
    <row r="84" spans="1:8" ht="16.5" customHeight="1" x14ac:dyDescent="0.2">
      <c r="A84" s="18" t="s">
        <v>602</v>
      </c>
      <c r="B84" s="6" t="s">
        <v>84</v>
      </c>
      <c r="C84" s="1"/>
      <c r="D84" s="13"/>
      <c r="E84" s="13"/>
      <c r="F84" s="7">
        <v>36.729999999999997</v>
      </c>
      <c r="G84" s="8">
        <v>1</v>
      </c>
      <c r="H84" s="9">
        <v>0.71304111080999999</v>
      </c>
    </row>
    <row r="85" spans="1:8" ht="16.5" customHeight="1" x14ac:dyDescent="0.2">
      <c r="A85" s="14" t="s">
        <v>8</v>
      </c>
      <c r="B85" s="6" t="s">
        <v>85</v>
      </c>
      <c r="C85" s="1"/>
      <c r="D85" s="13"/>
      <c r="E85" s="13"/>
      <c r="F85" s="7">
        <v>22.49</v>
      </c>
      <c r="G85" s="8">
        <v>1</v>
      </c>
      <c r="H85" s="9">
        <v>1.48154735438</v>
      </c>
    </row>
    <row r="86" spans="1:8" ht="16.5" customHeight="1" x14ac:dyDescent="0.2">
      <c r="A86" s="18" t="s">
        <v>602</v>
      </c>
      <c r="B86" s="6" t="s">
        <v>86</v>
      </c>
      <c r="C86" s="1"/>
      <c r="D86" s="13"/>
      <c r="E86" s="13"/>
      <c r="F86" s="7">
        <v>60.9</v>
      </c>
      <c r="G86" s="8">
        <v>1</v>
      </c>
      <c r="H86" s="9">
        <v>0.98177339901000005</v>
      </c>
    </row>
    <row r="87" spans="1:8" ht="16.5" customHeight="1" x14ac:dyDescent="0.2">
      <c r="A87" s="18" t="s">
        <v>602</v>
      </c>
      <c r="B87" s="6" t="s">
        <v>87</v>
      </c>
      <c r="C87" s="7">
        <v>32.229999999999997</v>
      </c>
      <c r="D87" s="15">
        <v>1</v>
      </c>
      <c r="E87" s="19">
        <v>0.50480918398999997</v>
      </c>
      <c r="F87" s="7">
        <v>48.532499999999999</v>
      </c>
      <c r="G87" s="8">
        <v>4</v>
      </c>
      <c r="H87" s="9">
        <v>0.35625611702999999</v>
      </c>
    </row>
    <row r="88" spans="1:8" ht="16.5" customHeight="1" x14ac:dyDescent="0.2">
      <c r="A88" s="18" t="s">
        <v>602</v>
      </c>
      <c r="B88" s="6" t="s">
        <v>88</v>
      </c>
      <c r="C88" s="1"/>
      <c r="D88" s="13"/>
      <c r="E88" s="13"/>
      <c r="F88" s="7">
        <v>24.445</v>
      </c>
      <c r="G88" s="8">
        <v>2</v>
      </c>
      <c r="H88" s="9">
        <v>1.40314992841</v>
      </c>
    </row>
    <row r="89" spans="1:8" ht="16.5" customHeight="1" x14ac:dyDescent="0.2">
      <c r="A89" s="14" t="s">
        <v>8</v>
      </c>
      <c r="B89" s="6" t="s">
        <v>89</v>
      </c>
      <c r="C89" s="1"/>
      <c r="D89" s="13"/>
      <c r="E89" s="13"/>
      <c r="F89" s="7">
        <v>664.32500000000005</v>
      </c>
      <c r="G89" s="8">
        <v>2</v>
      </c>
      <c r="H89" s="9">
        <v>0.38191020961</v>
      </c>
    </row>
    <row r="90" spans="1:8" ht="16.5" customHeight="1" x14ac:dyDescent="0.2">
      <c r="A90" s="18" t="s">
        <v>602</v>
      </c>
      <c r="B90" s="6" t="s">
        <v>90</v>
      </c>
      <c r="C90" s="7">
        <v>101.98</v>
      </c>
      <c r="D90" s="15">
        <v>1</v>
      </c>
      <c r="E90" s="19">
        <v>0.63426161992999996</v>
      </c>
      <c r="F90" s="7">
        <v>102.3266667</v>
      </c>
      <c r="G90" s="8">
        <v>3</v>
      </c>
      <c r="H90" s="9">
        <v>0.62822333703</v>
      </c>
    </row>
    <row r="91" spans="1:8" ht="16.5" customHeight="1" x14ac:dyDescent="0.2">
      <c r="A91" s="18" t="s">
        <v>602</v>
      </c>
      <c r="B91" s="6" t="s">
        <v>91</v>
      </c>
      <c r="C91" s="7">
        <v>18.87</v>
      </c>
      <c r="D91" s="15">
        <v>1</v>
      </c>
      <c r="E91" s="19">
        <v>2.2082670906200002</v>
      </c>
      <c r="F91" s="7">
        <v>19.5</v>
      </c>
      <c r="G91" s="8">
        <v>2</v>
      </c>
      <c r="H91" s="9">
        <v>2.1369230769200001</v>
      </c>
    </row>
    <row r="92" spans="1:8" ht="16.5" customHeight="1" x14ac:dyDescent="0.2">
      <c r="A92" s="18" t="s">
        <v>602</v>
      </c>
      <c r="B92" s="6" t="s">
        <v>92</v>
      </c>
      <c r="C92" s="7">
        <v>48.02</v>
      </c>
      <c r="D92" s="15">
        <v>1</v>
      </c>
      <c r="E92" s="19">
        <v>0.78862973760999999</v>
      </c>
      <c r="F92" s="7">
        <v>73.584999999999994</v>
      </c>
      <c r="G92" s="8">
        <v>4</v>
      </c>
      <c r="H92" s="9">
        <v>0.52616022286999997</v>
      </c>
    </row>
    <row r="93" spans="1:8" ht="16.5" customHeight="1" x14ac:dyDescent="0.2">
      <c r="A93" s="14" t="s">
        <v>8</v>
      </c>
      <c r="B93" s="6" t="s">
        <v>93</v>
      </c>
      <c r="C93" s="1"/>
      <c r="D93" s="13"/>
      <c r="E93" s="13"/>
      <c r="F93" s="7">
        <v>79.953333299999997</v>
      </c>
      <c r="G93" s="8">
        <v>3</v>
      </c>
      <c r="H93" s="9">
        <v>0.41149003584999999</v>
      </c>
    </row>
    <row r="94" spans="1:8" ht="16.5" customHeight="1" x14ac:dyDescent="0.2">
      <c r="A94" s="18" t="s">
        <v>602</v>
      </c>
      <c r="B94" s="6" t="s">
        <v>94</v>
      </c>
      <c r="C94" s="7">
        <v>43.65</v>
      </c>
      <c r="D94" s="15">
        <v>1</v>
      </c>
      <c r="E94" s="19">
        <v>0.73172966781000004</v>
      </c>
      <c r="F94" s="7">
        <v>46.316666699999999</v>
      </c>
      <c r="G94" s="8">
        <v>3</v>
      </c>
      <c r="H94" s="9">
        <v>0.68960057575</v>
      </c>
    </row>
    <row r="95" spans="1:8" ht="16.5" customHeight="1" x14ac:dyDescent="0.2">
      <c r="A95" s="18" t="s">
        <v>602</v>
      </c>
      <c r="B95" s="6" t="s">
        <v>95</v>
      </c>
      <c r="C95" s="1"/>
      <c r="D95" s="13"/>
      <c r="E95" s="13"/>
      <c r="F95" s="7">
        <v>171.4</v>
      </c>
      <c r="G95" s="8">
        <v>2</v>
      </c>
      <c r="H95" s="9">
        <v>0.33900525088</v>
      </c>
    </row>
    <row r="96" spans="1:8" ht="16.5" customHeight="1" x14ac:dyDescent="0.2">
      <c r="A96" s="18" t="s">
        <v>602</v>
      </c>
      <c r="B96" s="6" t="s">
        <v>96</v>
      </c>
      <c r="C96" s="7">
        <v>87.04</v>
      </c>
      <c r="D96" s="15">
        <v>1</v>
      </c>
      <c r="E96" s="19">
        <v>0.32846966911999997</v>
      </c>
      <c r="F96" s="7">
        <v>102.334</v>
      </c>
      <c r="G96" s="8">
        <v>5</v>
      </c>
      <c r="H96" s="9">
        <v>0.29925537944000002</v>
      </c>
    </row>
    <row r="97" spans="1:8" ht="16.5" customHeight="1" x14ac:dyDescent="0.2">
      <c r="A97" s="14" t="s">
        <v>8</v>
      </c>
      <c r="B97" s="6" t="s">
        <v>97</v>
      </c>
      <c r="C97" s="1"/>
      <c r="D97" s="13"/>
      <c r="E97" s="13"/>
      <c r="F97" s="7">
        <v>56.3333333</v>
      </c>
      <c r="G97" s="8">
        <v>3</v>
      </c>
      <c r="H97" s="9">
        <v>0.69568047337000005</v>
      </c>
    </row>
    <row r="98" spans="1:8" ht="16.5" customHeight="1" x14ac:dyDescent="0.2">
      <c r="A98" s="18" t="s">
        <v>602</v>
      </c>
      <c r="B98" s="6" t="s">
        <v>98</v>
      </c>
      <c r="C98" s="1"/>
      <c r="D98" s="13"/>
      <c r="E98" s="13"/>
      <c r="F98" s="7">
        <v>20.54</v>
      </c>
      <c r="G98" s="8">
        <v>5</v>
      </c>
      <c r="H98" s="9">
        <v>1.4849074975700001</v>
      </c>
    </row>
    <row r="99" spans="1:8" ht="16.5" customHeight="1" x14ac:dyDescent="0.2">
      <c r="A99" s="18" t="s">
        <v>602</v>
      </c>
      <c r="B99" s="6" t="s">
        <v>99</v>
      </c>
      <c r="C99" s="1"/>
      <c r="D99" s="13"/>
      <c r="E99" s="13"/>
      <c r="F99" s="7">
        <v>6.88</v>
      </c>
      <c r="G99" s="8">
        <v>1</v>
      </c>
      <c r="H99" s="9">
        <v>4.9854651162800003</v>
      </c>
    </row>
    <row r="100" spans="1:8" ht="16.5" customHeight="1" x14ac:dyDescent="0.2">
      <c r="A100" s="18" t="s">
        <v>602</v>
      </c>
      <c r="B100" s="6" t="s">
        <v>100</v>
      </c>
      <c r="C100" s="1"/>
      <c r="D100" s="13"/>
      <c r="E100" s="13"/>
      <c r="F100" s="7">
        <v>36.79</v>
      </c>
      <c r="G100" s="8">
        <v>1</v>
      </c>
      <c r="H100" s="9">
        <v>0.82631149769000001</v>
      </c>
    </row>
    <row r="101" spans="1:8" ht="16.5" customHeight="1" x14ac:dyDescent="0.2">
      <c r="A101" s="14" t="s">
        <v>8</v>
      </c>
      <c r="B101" s="6" t="s">
        <v>101</v>
      </c>
      <c r="C101" s="7">
        <v>1.98</v>
      </c>
      <c r="D101" s="15">
        <v>1</v>
      </c>
      <c r="E101" s="19">
        <v>18.434343434340001</v>
      </c>
      <c r="F101" s="7">
        <v>1.98</v>
      </c>
      <c r="G101" s="8">
        <v>1</v>
      </c>
      <c r="H101" s="9">
        <v>18.434343434340001</v>
      </c>
    </row>
    <row r="102" spans="1:8" ht="16.5" customHeight="1" x14ac:dyDescent="0.2">
      <c r="A102" s="18" t="s">
        <v>602</v>
      </c>
      <c r="B102" s="6" t="s">
        <v>102</v>
      </c>
      <c r="C102" s="1"/>
      <c r="D102" s="13"/>
      <c r="E102" s="13"/>
      <c r="F102" s="7">
        <v>259.42</v>
      </c>
      <c r="G102" s="8">
        <v>2</v>
      </c>
      <c r="H102" s="9">
        <v>0.41050420168000001</v>
      </c>
    </row>
    <row r="103" spans="1:8" ht="16.5" customHeight="1" x14ac:dyDescent="0.2">
      <c r="A103" s="14" t="s">
        <v>103</v>
      </c>
      <c r="B103" s="6" t="s">
        <v>104</v>
      </c>
      <c r="C103" s="7">
        <v>23.06</v>
      </c>
      <c r="D103" s="15">
        <v>6</v>
      </c>
      <c r="E103" s="19">
        <v>0</v>
      </c>
      <c r="F103" s="7">
        <v>22.5191667</v>
      </c>
      <c r="G103" s="8">
        <v>19</v>
      </c>
      <c r="H103" s="9">
        <v>0.36132183694999997</v>
      </c>
    </row>
    <row r="104" spans="1:8" ht="16.5" customHeight="1" x14ac:dyDescent="0.2">
      <c r="A104" s="18" t="s">
        <v>103</v>
      </c>
      <c r="B104" s="6" t="s">
        <v>105</v>
      </c>
      <c r="C104" s="7">
        <v>19.891666699999998</v>
      </c>
      <c r="D104" s="15">
        <v>4</v>
      </c>
      <c r="E104" s="19">
        <v>0.818098031</v>
      </c>
      <c r="F104" s="7">
        <v>23.4575</v>
      </c>
      <c r="G104" s="8">
        <v>16</v>
      </c>
      <c r="H104" s="9">
        <v>0.69373690007</v>
      </c>
    </row>
    <row r="105" spans="1:8" ht="16.5" customHeight="1" x14ac:dyDescent="0.2">
      <c r="A105" s="14" t="s">
        <v>103</v>
      </c>
      <c r="B105" s="6" t="s">
        <v>106</v>
      </c>
      <c r="C105" s="7">
        <v>18.507272700000001</v>
      </c>
      <c r="D105" s="15">
        <v>9</v>
      </c>
      <c r="E105" s="19">
        <v>0.16848413400000001</v>
      </c>
      <c r="F105" s="7">
        <v>18.284736800000001</v>
      </c>
      <c r="G105" s="8">
        <v>13</v>
      </c>
      <c r="H105" s="9">
        <v>0.29619181946000001</v>
      </c>
    </row>
    <row r="106" spans="1:8" ht="16.5" customHeight="1" x14ac:dyDescent="0.2">
      <c r="A106" s="18" t="s">
        <v>103</v>
      </c>
      <c r="B106" s="6" t="s">
        <v>107</v>
      </c>
      <c r="C106" s="1"/>
      <c r="D106" s="13"/>
      <c r="E106" s="13"/>
      <c r="F106" s="7">
        <v>72.313333299999996</v>
      </c>
      <c r="G106" s="8">
        <v>14</v>
      </c>
      <c r="H106" s="9">
        <v>4.5007836269999997E-2</v>
      </c>
    </row>
    <row r="107" spans="1:8" ht="16.5" customHeight="1" x14ac:dyDescent="0.2">
      <c r="A107" s="14" t="s">
        <v>103</v>
      </c>
      <c r="B107" s="6" t="s">
        <v>108</v>
      </c>
      <c r="C107" s="7">
        <v>19.758749999999999</v>
      </c>
      <c r="D107" s="15">
        <v>14</v>
      </c>
      <c r="E107" s="19">
        <v>0.30885050927000002</v>
      </c>
      <c r="F107" s="7">
        <v>21.772558100000001</v>
      </c>
      <c r="G107" s="8">
        <v>33</v>
      </c>
      <c r="H107" s="9">
        <v>0.47244237466</v>
      </c>
    </row>
    <row r="108" spans="1:8" ht="16.5" customHeight="1" x14ac:dyDescent="0.2">
      <c r="A108" s="18" t="s">
        <v>103</v>
      </c>
      <c r="B108" s="6" t="s">
        <v>109</v>
      </c>
      <c r="C108" s="7">
        <v>25.811250000000001</v>
      </c>
      <c r="D108" s="15">
        <v>7</v>
      </c>
      <c r="E108" s="19">
        <v>0</v>
      </c>
      <c r="F108" s="7">
        <v>27.033333299999999</v>
      </c>
      <c r="G108" s="8">
        <v>23</v>
      </c>
      <c r="H108" s="9">
        <v>0.36118372380000002</v>
      </c>
    </row>
    <row r="109" spans="1:8" ht="16.5" customHeight="1" x14ac:dyDescent="0.2">
      <c r="A109" s="14" t="s">
        <v>103</v>
      </c>
      <c r="B109" s="6" t="s">
        <v>110</v>
      </c>
      <c r="C109" s="7">
        <v>19.606666700000002</v>
      </c>
      <c r="D109" s="15">
        <v>3</v>
      </c>
      <c r="E109" s="19">
        <v>0</v>
      </c>
      <c r="F109" s="7">
        <v>19.606666700000002</v>
      </c>
      <c r="G109" s="8">
        <v>3</v>
      </c>
      <c r="H109" s="9">
        <v>0</v>
      </c>
    </row>
    <row r="110" spans="1:8" ht="16.5" customHeight="1" x14ac:dyDescent="0.2">
      <c r="A110" s="18" t="s">
        <v>103</v>
      </c>
      <c r="B110" s="6" t="s">
        <v>111</v>
      </c>
      <c r="C110" s="1"/>
      <c r="D110" s="13"/>
      <c r="E110" s="13"/>
      <c r="F110" s="7">
        <v>154.61000000000001</v>
      </c>
      <c r="G110" s="8">
        <v>1</v>
      </c>
      <c r="H110" s="9">
        <v>0</v>
      </c>
    </row>
    <row r="111" spans="1:8" ht="16.5" customHeight="1" x14ac:dyDescent="0.2">
      <c r="A111" s="14" t="s">
        <v>112</v>
      </c>
      <c r="B111" s="6" t="s">
        <v>113</v>
      </c>
      <c r="C111" s="1"/>
      <c r="D111" s="13"/>
      <c r="E111" s="13"/>
      <c r="F111" s="7">
        <v>230.5</v>
      </c>
      <c r="G111" s="8">
        <v>1</v>
      </c>
      <c r="H111" s="9">
        <v>0</v>
      </c>
    </row>
    <row r="112" spans="1:8" ht="16.5" customHeight="1" x14ac:dyDescent="0.2">
      <c r="A112" s="18" t="s">
        <v>603</v>
      </c>
      <c r="B112" s="6" t="s">
        <v>114</v>
      </c>
      <c r="C112" s="7">
        <v>108.2066667</v>
      </c>
      <c r="D112" s="15">
        <v>2</v>
      </c>
      <c r="E112" s="19">
        <v>0</v>
      </c>
      <c r="F112" s="7">
        <v>108.2066667</v>
      </c>
      <c r="G112" s="8">
        <v>2</v>
      </c>
      <c r="H112" s="9">
        <v>0</v>
      </c>
    </row>
    <row r="113" spans="1:8" ht="16.5" customHeight="1" x14ac:dyDescent="0.2">
      <c r="A113" s="14" t="s">
        <v>112</v>
      </c>
      <c r="B113" s="6" t="s">
        <v>115</v>
      </c>
      <c r="C113" s="7">
        <v>219.38</v>
      </c>
      <c r="D113" s="15">
        <v>2</v>
      </c>
      <c r="E113" s="19">
        <v>0</v>
      </c>
      <c r="F113" s="7">
        <v>219.38</v>
      </c>
      <c r="G113" s="8">
        <v>2</v>
      </c>
      <c r="H113" s="9">
        <v>0</v>
      </c>
    </row>
    <row r="114" spans="1:8" ht="16.5" customHeight="1" x14ac:dyDescent="0.2">
      <c r="A114" s="18" t="s">
        <v>603</v>
      </c>
      <c r="B114" s="6" t="s">
        <v>116</v>
      </c>
      <c r="C114" s="7">
        <v>175.24090910000001</v>
      </c>
      <c r="D114" s="15">
        <v>13</v>
      </c>
      <c r="E114" s="19">
        <v>0.19251069956</v>
      </c>
      <c r="F114" s="7">
        <v>134.5651685</v>
      </c>
      <c r="G114" s="8">
        <v>28</v>
      </c>
      <c r="H114" s="9">
        <v>0.19525922029000001</v>
      </c>
    </row>
    <row r="115" spans="1:8" ht="16.5" customHeight="1" x14ac:dyDescent="0.2">
      <c r="A115" s="14" t="s">
        <v>112</v>
      </c>
      <c r="B115" s="6" t="s">
        <v>117</v>
      </c>
      <c r="C115" s="7">
        <v>252.03333330000001</v>
      </c>
      <c r="D115" s="15">
        <v>2</v>
      </c>
      <c r="E115" s="19">
        <v>0.15087422299</v>
      </c>
      <c r="F115" s="7">
        <v>252.03333330000001</v>
      </c>
      <c r="G115" s="8">
        <v>2</v>
      </c>
      <c r="H115" s="9">
        <v>0.15087422299</v>
      </c>
    </row>
    <row r="116" spans="1:8" ht="16.5" customHeight="1" x14ac:dyDescent="0.2">
      <c r="A116" s="18" t="s">
        <v>603</v>
      </c>
      <c r="B116" s="6" t="s">
        <v>97</v>
      </c>
      <c r="C116" s="7">
        <v>526.47611110000003</v>
      </c>
      <c r="D116" s="15">
        <v>5</v>
      </c>
      <c r="E116" s="19">
        <v>9.2209312020000003E-2</v>
      </c>
      <c r="F116" s="7">
        <v>526.47611110000003</v>
      </c>
      <c r="G116" s="8">
        <v>5</v>
      </c>
      <c r="H116" s="9">
        <v>9.2209312020000003E-2</v>
      </c>
    </row>
    <row r="117" spans="1:8" ht="16.5" customHeight="1" x14ac:dyDescent="0.2">
      <c r="A117" s="14" t="s">
        <v>112</v>
      </c>
      <c r="B117" s="6" t="s">
        <v>118</v>
      </c>
      <c r="C117" s="7">
        <v>164.2306897</v>
      </c>
      <c r="D117" s="15">
        <v>10</v>
      </c>
      <c r="E117" s="19">
        <v>0.24407551194999999</v>
      </c>
      <c r="F117" s="7">
        <v>160.0586792</v>
      </c>
      <c r="G117" s="8">
        <v>18</v>
      </c>
      <c r="H117" s="9">
        <v>0.23493376838999999</v>
      </c>
    </row>
    <row r="118" spans="1:8" ht="16.5" customHeight="1" x14ac:dyDescent="0.2">
      <c r="A118" s="18" t="s">
        <v>603</v>
      </c>
      <c r="B118" s="6" t="s">
        <v>119</v>
      </c>
      <c r="C118" s="7">
        <v>182.72148150000001</v>
      </c>
      <c r="D118" s="15">
        <v>9</v>
      </c>
      <c r="E118" s="19">
        <v>0.23368433641</v>
      </c>
      <c r="F118" s="7">
        <v>184.1565152</v>
      </c>
      <c r="G118" s="8">
        <v>22</v>
      </c>
      <c r="H118" s="9">
        <v>0.21897784576000001</v>
      </c>
    </row>
    <row r="119" spans="1:8" ht="16.5" customHeight="1" x14ac:dyDescent="0.2">
      <c r="A119" s="14" t="s">
        <v>120</v>
      </c>
      <c r="B119" s="6" t="s">
        <v>121</v>
      </c>
      <c r="C119" s="7">
        <v>20.498181800000001</v>
      </c>
      <c r="D119" s="15">
        <v>13</v>
      </c>
      <c r="E119" s="19">
        <v>1.16146443144</v>
      </c>
      <c r="F119" s="7">
        <v>20.040263199999998</v>
      </c>
      <c r="G119" s="8">
        <v>21</v>
      </c>
      <c r="H119" s="9">
        <v>1.17520123961</v>
      </c>
    </row>
    <row r="120" spans="1:8" ht="16.5" customHeight="1" x14ac:dyDescent="0.2">
      <c r="A120" s="18" t="s">
        <v>120</v>
      </c>
      <c r="B120" s="6" t="s">
        <v>122</v>
      </c>
      <c r="C120" s="7">
        <v>18.5570968</v>
      </c>
      <c r="D120" s="15">
        <v>21</v>
      </c>
      <c r="E120" s="19">
        <v>1.26506162324</v>
      </c>
      <c r="F120" s="7">
        <v>18.524565200000001</v>
      </c>
      <c r="G120" s="8">
        <v>28</v>
      </c>
      <c r="H120" s="9">
        <v>1.2754321523700001</v>
      </c>
    </row>
    <row r="121" spans="1:8" ht="16.5" customHeight="1" x14ac:dyDescent="0.2">
      <c r="A121" s="18" t="s">
        <v>120</v>
      </c>
      <c r="B121" s="6" t="s">
        <v>123</v>
      </c>
      <c r="C121" s="7">
        <v>28.792758599999999</v>
      </c>
      <c r="D121" s="15">
        <v>19</v>
      </c>
      <c r="E121" s="19">
        <v>0.90016407381999997</v>
      </c>
      <c r="F121" s="7">
        <v>29.012307700000001</v>
      </c>
      <c r="G121" s="8">
        <v>32</v>
      </c>
      <c r="H121" s="9">
        <v>0.92203176370999995</v>
      </c>
    </row>
    <row r="122" spans="1:8" ht="16.5" customHeight="1" x14ac:dyDescent="0.2">
      <c r="A122" s="14" t="s">
        <v>604</v>
      </c>
      <c r="B122" s="6" t="s">
        <v>21</v>
      </c>
      <c r="C122" s="7">
        <v>46.114545499999998</v>
      </c>
      <c r="D122" s="15">
        <v>8</v>
      </c>
      <c r="E122" s="19">
        <v>0.59900051255999998</v>
      </c>
      <c r="F122" s="7">
        <v>39.9870588</v>
      </c>
      <c r="G122" s="8">
        <v>12</v>
      </c>
      <c r="H122" s="9">
        <v>0.67410779958</v>
      </c>
    </row>
    <row r="123" spans="1:8" ht="16.5" customHeight="1" x14ac:dyDescent="0.2">
      <c r="A123" s="18" t="s">
        <v>604</v>
      </c>
      <c r="B123" s="6" t="s">
        <v>124</v>
      </c>
      <c r="C123" s="7">
        <v>19.3704</v>
      </c>
      <c r="D123" s="15">
        <v>17</v>
      </c>
      <c r="E123" s="19">
        <v>1.2149238012600001</v>
      </c>
      <c r="F123" s="7">
        <v>18.926976700000001</v>
      </c>
      <c r="G123" s="8">
        <v>25</v>
      </c>
      <c r="H123" s="9">
        <v>1.2523271815799999</v>
      </c>
    </row>
    <row r="124" spans="1:8" ht="16.5" customHeight="1" x14ac:dyDescent="0.2">
      <c r="A124" s="18" t="s">
        <v>604</v>
      </c>
      <c r="B124" s="6" t="s">
        <v>125</v>
      </c>
      <c r="C124" s="7">
        <v>18.9223529</v>
      </c>
      <c r="D124" s="15">
        <v>11</v>
      </c>
      <c r="E124" s="19">
        <v>1.1709462820200001</v>
      </c>
      <c r="F124" s="7">
        <v>18.3562069</v>
      </c>
      <c r="G124" s="8">
        <v>18</v>
      </c>
      <c r="H124" s="9">
        <v>1.2444836849300001</v>
      </c>
    </row>
    <row r="125" spans="1:8" ht="16.5" customHeight="1" x14ac:dyDescent="0.2">
      <c r="A125" s="14" t="s">
        <v>604</v>
      </c>
      <c r="B125" s="6" t="s">
        <v>126</v>
      </c>
      <c r="C125" s="7">
        <v>22.831428599999999</v>
      </c>
      <c r="D125" s="15">
        <v>14</v>
      </c>
      <c r="E125" s="19">
        <v>1.0969361364900001</v>
      </c>
      <c r="F125" s="7">
        <v>20.920857099999999</v>
      </c>
      <c r="G125" s="8">
        <v>22</v>
      </c>
      <c r="H125" s="9">
        <v>1.13024596097</v>
      </c>
    </row>
    <row r="126" spans="1:8" ht="16.5" customHeight="1" x14ac:dyDescent="0.2">
      <c r="A126" s="18" t="s">
        <v>604</v>
      </c>
      <c r="B126" s="6" t="s">
        <v>104</v>
      </c>
      <c r="C126" s="7">
        <v>19.941428599999998</v>
      </c>
      <c r="D126" s="15">
        <v>5</v>
      </c>
      <c r="E126" s="19">
        <v>1.10392578265</v>
      </c>
      <c r="F126" s="7">
        <v>19.6918182</v>
      </c>
      <c r="G126" s="8">
        <v>7</v>
      </c>
      <c r="H126" s="9">
        <v>1.3057615068599999</v>
      </c>
    </row>
    <row r="127" spans="1:8" ht="16.5" customHeight="1" x14ac:dyDescent="0.2">
      <c r="A127" s="18" t="s">
        <v>604</v>
      </c>
      <c r="B127" s="6" t="s">
        <v>105</v>
      </c>
      <c r="C127" s="7">
        <v>20.34</v>
      </c>
      <c r="D127" s="15">
        <v>3</v>
      </c>
      <c r="E127" s="19">
        <v>1.3517600786599999</v>
      </c>
      <c r="F127" s="7">
        <v>19.807692299999999</v>
      </c>
      <c r="G127" s="8">
        <v>7</v>
      </c>
      <c r="H127" s="9">
        <v>1.53470291262</v>
      </c>
    </row>
    <row r="128" spans="1:8" ht="16.5" customHeight="1" x14ac:dyDescent="0.2">
      <c r="A128" s="14" t="s">
        <v>604</v>
      </c>
      <c r="B128" s="6" t="s">
        <v>106</v>
      </c>
      <c r="C128" s="7">
        <v>18.329999999999998</v>
      </c>
      <c r="D128" s="15">
        <v>1</v>
      </c>
      <c r="E128" s="19">
        <v>0.42291325695999998</v>
      </c>
      <c r="F128" s="7">
        <v>18.351111100000001</v>
      </c>
      <c r="G128" s="8">
        <v>6</v>
      </c>
      <c r="H128" s="9">
        <v>1.3044199564100001</v>
      </c>
    </row>
    <row r="129" spans="1:8" ht="16.5" customHeight="1" x14ac:dyDescent="0.2">
      <c r="A129" s="18" t="s">
        <v>604</v>
      </c>
      <c r="B129" s="6" t="s">
        <v>127</v>
      </c>
      <c r="C129" s="7">
        <v>56.205666700000002</v>
      </c>
      <c r="D129" s="15">
        <v>21</v>
      </c>
      <c r="E129" s="19">
        <v>0.5475966243</v>
      </c>
      <c r="F129" s="7">
        <v>49.136481500000002</v>
      </c>
      <c r="G129" s="8">
        <v>37</v>
      </c>
      <c r="H129" s="9">
        <v>0.61543433444999995</v>
      </c>
    </row>
    <row r="130" spans="1:8" ht="16.5" customHeight="1" x14ac:dyDescent="0.2">
      <c r="A130" s="18" t="s">
        <v>604</v>
      </c>
      <c r="B130" s="6" t="s">
        <v>128</v>
      </c>
      <c r="C130" s="7">
        <v>16.5457143</v>
      </c>
      <c r="D130" s="15">
        <v>9</v>
      </c>
      <c r="E130" s="19">
        <v>1.5115480918699999</v>
      </c>
      <c r="F130" s="7">
        <v>16.484999999999999</v>
      </c>
      <c r="G130" s="8">
        <v>18</v>
      </c>
      <c r="H130" s="9">
        <v>1.5159127345200001</v>
      </c>
    </row>
    <row r="131" spans="1:8" ht="16.5" customHeight="1" x14ac:dyDescent="0.2">
      <c r="A131" s="14" t="s">
        <v>604</v>
      </c>
      <c r="B131" s="6" t="s">
        <v>31</v>
      </c>
      <c r="C131" s="7">
        <v>23.7688889</v>
      </c>
      <c r="D131" s="15">
        <v>7</v>
      </c>
      <c r="E131" s="19">
        <v>0.83620044876999999</v>
      </c>
      <c r="F131" s="7">
        <v>25.030625000000001</v>
      </c>
      <c r="G131" s="8">
        <v>11</v>
      </c>
      <c r="H131" s="9">
        <v>0.98738045894000004</v>
      </c>
    </row>
    <row r="132" spans="1:8" ht="16.5" customHeight="1" x14ac:dyDescent="0.2">
      <c r="A132" s="18" t="s">
        <v>604</v>
      </c>
      <c r="B132" s="6" t="s">
        <v>129</v>
      </c>
      <c r="C132" s="1"/>
      <c r="D132" s="13"/>
      <c r="E132" s="13"/>
      <c r="F132" s="7">
        <v>72.954999999999998</v>
      </c>
      <c r="G132" s="8">
        <v>2</v>
      </c>
      <c r="H132" s="9">
        <v>0.58149201562999997</v>
      </c>
    </row>
    <row r="133" spans="1:8" ht="16.5" customHeight="1" x14ac:dyDescent="0.2">
      <c r="A133" s="18" t="s">
        <v>604</v>
      </c>
      <c r="B133" s="6" t="s">
        <v>107</v>
      </c>
      <c r="C133" s="1"/>
      <c r="D133" s="13"/>
      <c r="E133" s="13"/>
      <c r="F133" s="7">
        <v>76.785714299999995</v>
      </c>
      <c r="G133" s="8">
        <v>5</v>
      </c>
      <c r="H133" s="9">
        <v>0.45882046512000002</v>
      </c>
    </row>
    <row r="134" spans="1:8" ht="16.5" customHeight="1" x14ac:dyDescent="0.2">
      <c r="A134" s="14" t="s">
        <v>604</v>
      </c>
      <c r="B134" s="6" t="s">
        <v>108</v>
      </c>
      <c r="C134" s="7">
        <v>26.832000000000001</v>
      </c>
      <c r="D134" s="15">
        <v>7</v>
      </c>
      <c r="E134" s="19">
        <v>0.92123956470000001</v>
      </c>
      <c r="F134" s="7">
        <v>25.07</v>
      </c>
      <c r="G134" s="8">
        <v>12</v>
      </c>
      <c r="H134" s="9">
        <v>0.99753322277000001</v>
      </c>
    </row>
    <row r="135" spans="1:8" ht="16.5" customHeight="1" x14ac:dyDescent="0.2">
      <c r="A135" s="18" t="s">
        <v>604</v>
      </c>
      <c r="B135" s="6" t="s">
        <v>109</v>
      </c>
      <c r="C135" s="7">
        <v>33.377000000000002</v>
      </c>
      <c r="D135" s="15">
        <v>7</v>
      </c>
      <c r="E135" s="19">
        <v>0.78187674146999997</v>
      </c>
      <c r="F135" s="7">
        <v>29.030666700000001</v>
      </c>
      <c r="G135" s="8">
        <v>10</v>
      </c>
      <c r="H135" s="9">
        <v>0.91363845128999999</v>
      </c>
    </row>
    <row r="136" spans="1:8" ht="16.5" customHeight="1" x14ac:dyDescent="0.2">
      <c r="A136" s="18" t="s">
        <v>604</v>
      </c>
      <c r="B136" s="6" t="s">
        <v>130</v>
      </c>
      <c r="C136" s="7">
        <v>36.876666700000001</v>
      </c>
      <c r="D136" s="15">
        <v>18</v>
      </c>
      <c r="E136" s="19">
        <v>0.75910090692999999</v>
      </c>
      <c r="F136" s="7">
        <v>33.334081599999998</v>
      </c>
      <c r="G136" s="8">
        <v>30</v>
      </c>
      <c r="H136" s="9">
        <v>0.83778017228000001</v>
      </c>
    </row>
    <row r="137" spans="1:8" ht="16.5" customHeight="1" x14ac:dyDescent="0.2">
      <c r="A137" s="14" t="s">
        <v>604</v>
      </c>
      <c r="B137" s="6" t="s">
        <v>110</v>
      </c>
      <c r="C137" s="7">
        <v>16.224736799999999</v>
      </c>
      <c r="D137" s="15">
        <v>12</v>
      </c>
      <c r="E137" s="19">
        <v>1.5592564959299999</v>
      </c>
      <c r="F137" s="7">
        <v>15.3382051</v>
      </c>
      <c r="G137" s="8">
        <v>23</v>
      </c>
      <c r="H137" s="9">
        <v>1.6107290325800001</v>
      </c>
    </row>
    <row r="138" spans="1:8" ht="16.5" customHeight="1" x14ac:dyDescent="0.2">
      <c r="A138" s="18" t="s">
        <v>604</v>
      </c>
      <c r="B138" s="6" t="s">
        <v>41</v>
      </c>
      <c r="C138" s="7">
        <v>18.188888899999998</v>
      </c>
      <c r="D138" s="15">
        <v>6</v>
      </c>
      <c r="E138" s="19">
        <v>1.3168417837499999</v>
      </c>
      <c r="F138" s="7">
        <v>18.0727273</v>
      </c>
      <c r="G138" s="8">
        <v>7</v>
      </c>
      <c r="H138" s="9">
        <v>1.4059859154900001</v>
      </c>
    </row>
    <row r="139" spans="1:8" ht="16.5" customHeight="1" x14ac:dyDescent="0.2">
      <c r="A139" s="18" t="s">
        <v>604</v>
      </c>
      <c r="B139" s="6" t="s">
        <v>111</v>
      </c>
      <c r="C139" s="7">
        <v>144.58000000000001</v>
      </c>
      <c r="D139" s="15">
        <v>1</v>
      </c>
      <c r="E139" s="19">
        <v>0</v>
      </c>
      <c r="F139" s="7">
        <v>144.58000000000001</v>
      </c>
      <c r="G139" s="8">
        <v>1</v>
      </c>
      <c r="H139" s="9">
        <v>0</v>
      </c>
    </row>
    <row r="140" spans="1:8" ht="16.5" customHeight="1" x14ac:dyDescent="0.2">
      <c r="A140" s="14" t="s">
        <v>604</v>
      </c>
      <c r="B140" s="6" t="s">
        <v>42</v>
      </c>
      <c r="C140" s="7">
        <v>19.1883333</v>
      </c>
      <c r="D140" s="15">
        <v>7</v>
      </c>
      <c r="E140" s="19">
        <v>1.25696169547</v>
      </c>
      <c r="F140" s="7">
        <v>23.523499999999999</v>
      </c>
      <c r="G140" s="8">
        <v>12</v>
      </c>
      <c r="H140" s="9">
        <v>1.11144174974</v>
      </c>
    </row>
    <row r="141" spans="1:8" ht="16.5" customHeight="1" x14ac:dyDescent="0.2">
      <c r="A141" s="18" t="s">
        <v>604</v>
      </c>
      <c r="B141" s="6" t="s">
        <v>131</v>
      </c>
      <c r="C141" s="7">
        <v>23.335833300000001</v>
      </c>
      <c r="D141" s="15">
        <v>9</v>
      </c>
      <c r="E141" s="19">
        <v>0.90603149663000004</v>
      </c>
      <c r="F141" s="7">
        <v>20.0848485</v>
      </c>
      <c r="G141" s="8">
        <v>23</v>
      </c>
      <c r="H141" s="9">
        <v>1.1403168376599999</v>
      </c>
    </row>
    <row r="142" spans="1:8" ht="16.5" customHeight="1" x14ac:dyDescent="0.2">
      <c r="A142" s="18" t="s">
        <v>604</v>
      </c>
      <c r="B142" s="6" t="s">
        <v>49</v>
      </c>
      <c r="C142" s="7">
        <v>15.445</v>
      </c>
      <c r="D142" s="15">
        <v>4</v>
      </c>
      <c r="E142" s="19">
        <v>1.52132297399</v>
      </c>
      <c r="F142" s="7">
        <v>15.244545499999999</v>
      </c>
      <c r="G142" s="8">
        <v>8</v>
      </c>
      <c r="H142" s="9">
        <v>1.3423459955899999</v>
      </c>
    </row>
    <row r="143" spans="1:8" ht="16.5" customHeight="1" x14ac:dyDescent="0.2">
      <c r="A143" s="14" t="s">
        <v>604</v>
      </c>
      <c r="B143" s="6" t="s">
        <v>132</v>
      </c>
      <c r="C143" s="7">
        <v>19.940000000000001</v>
      </c>
      <c r="D143" s="15">
        <v>1</v>
      </c>
      <c r="E143" s="19">
        <v>1.60050150451</v>
      </c>
      <c r="F143" s="7">
        <v>19.940000000000001</v>
      </c>
      <c r="G143" s="8">
        <v>1</v>
      </c>
      <c r="H143" s="9">
        <v>1.60050150451</v>
      </c>
    </row>
    <row r="144" spans="1:8" ht="16.5" customHeight="1" x14ac:dyDescent="0.2">
      <c r="A144" s="18" t="s">
        <v>604</v>
      </c>
      <c r="B144" s="6" t="s">
        <v>50</v>
      </c>
      <c r="C144" s="7">
        <v>36.656666700000002</v>
      </c>
      <c r="D144" s="15">
        <v>8</v>
      </c>
      <c r="E144" s="19">
        <v>0.79213194507999996</v>
      </c>
      <c r="F144" s="7">
        <v>35.447499999999998</v>
      </c>
      <c r="G144" s="8">
        <v>10</v>
      </c>
      <c r="H144" s="9">
        <v>0.87691480357999996</v>
      </c>
    </row>
    <row r="145" spans="1:8" ht="16.5" customHeight="1" x14ac:dyDescent="0.2">
      <c r="A145" s="18" t="s">
        <v>604</v>
      </c>
      <c r="B145" s="6" t="s">
        <v>133</v>
      </c>
      <c r="C145" s="1"/>
      <c r="D145" s="13"/>
      <c r="E145" s="13"/>
      <c r="F145" s="7">
        <v>209.38</v>
      </c>
      <c r="G145" s="8">
        <v>1</v>
      </c>
      <c r="H145" s="9">
        <v>0.26749450758999999</v>
      </c>
    </row>
    <row r="146" spans="1:8" ht="16.5" customHeight="1" x14ac:dyDescent="0.2">
      <c r="A146" s="14" t="s">
        <v>604</v>
      </c>
      <c r="B146" s="6" t="s">
        <v>91</v>
      </c>
      <c r="C146" s="7">
        <v>17.600000000000001</v>
      </c>
      <c r="D146" s="15">
        <v>1</v>
      </c>
      <c r="E146" s="19">
        <v>1.78860795455</v>
      </c>
      <c r="F146" s="7">
        <v>17.746666699999999</v>
      </c>
      <c r="G146" s="8">
        <v>2</v>
      </c>
      <c r="H146" s="9">
        <v>1.3076821938400001</v>
      </c>
    </row>
    <row r="147" spans="1:8" ht="16.5" customHeight="1" x14ac:dyDescent="0.2">
      <c r="A147" s="14" t="s">
        <v>134</v>
      </c>
      <c r="B147" s="6" t="s">
        <v>135</v>
      </c>
      <c r="C147" s="1"/>
      <c r="D147" s="13"/>
      <c r="E147" s="13"/>
      <c r="F147" s="7">
        <v>33.375882400000002</v>
      </c>
      <c r="G147" s="8">
        <v>13</v>
      </c>
      <c r="H147" s="9">
        <v>0.45656779287999999</v>
      </c>
    </row>
    <row r="148" spans="1:8" ht="16.5" customHeight="1" x14ac:dyDescent="0.2">
      <c r="A148" s="18" t="s">
        <v>134</v>
      </c>
      <c r="B148" s="6" t="s">
        <v>136</v>
      </c>
      <c r="C148" s="7">
        <v>135.1557143</v>
      </c>
      <c r="D148" s="15">
        <v>11</v>
      </c>
      <c r="E148" s="19">
        <v>0.26370773394000002</v>
      </c>
      <c r="F148" s="7">
        <v>127.7305405</v>
      </c>
      <c r="G148" s="8">
        <v>18</v>
      </c>
      <c r="H148" s="9">
        <v>0.28018950366000001</v>
      </c>
    </row>
    <row r="149" spans="1:8" ht="16.5" customHeight="1" x14ac:dyDescent="0.2">
      <c r="A149" s="14" t="s">
        <v>134</v>
      </c>
      <c r="B149" s="6" t="s">
        <v>137</v>
      </c>
      <c r="C149" s="7">
        <v>43.361538500000002</v>
      </c>
      <c r="D149" s="15">
        <v>5</v>
      </c>
      <c r="E149" s="19">
        <v>0.34964874933000001</v>
      </c>
      <c r="F149" s="7">
        <v>43.361538500000002</v>
      </c>
      <c r="G149" s="8">
        <v>5</v>
      </c>
      <c r="H149" s="9">
        <v>0.34964874933000001</v>
      </c>
    </row>
    <row r="150" spans="1:8" ht="16.5" customHeight="1" x14ac:dyDescent="0.2">
      <c r="A150" s="18" t="s">
        <v>134</v>
      </c>
      <c r="B150" s="6" t="s">
        <v>138</v>
      </c>
      <c r="C150" s="1"/>
      <c r="D150" s="13"/>
      <c r="E150" s="13"/>
      <c r="F150" s="7">
        <v>82.742000000000004</v>
      </c>
      <c r="G150" s="8">
        <v>3</v>
      </c>
      <c r="H150" s="9">
        <v>0.25824128012000003</v>
      </c>
    </row>
    <row r="151" spans="1:8" ht="16.5" customHeight="1" x14ac:dyDescent="0.2">
      <c r="A151" s="14" t="s">
        <v>134</v>
      </c>
      <c r="B151" s="6" t="s">
        <v>139</v>
      </c>
      <c r="C151" s="7">
        <v>119.5204444</v>
      </c>
      <c r="D151" s="15">
        <v>19</v>
      </c>
      <c r="E151" s="19">
        <v>0.22640980064999999</v>
      </c>
      <c r="F151" s="7">
        <v>111.4086667</v>
      </c>
      <c r="G151" s="8">
        <v>26</v>
      </c>
      <c r="H151" s="9">
        <v>0.23489435291999999</v>
      </c>
    </row>
    <row r="152" spans="1:8" ht="16.5" customHeight="1" x14ac:dyDescent="0.2">
      <c r="A152" s="18" t="s">
        <v>134</v>
      </c>
      <c r="B152" s="6" t="s">
        <v>140</v>
      </c>
      <c r="C152" s="7">
        <v>245.00388889999999</v>
      </c>
      <c r="D152" s="15">
        <v>7</v>
      </c>
      <c r="E152" s="19">
        <v>0.18865188081000001</v>
      </c>
      <c r="F152" s="7">
        <v>241.28864859999999</v>
      </c>
      <c r="G152" s="8">
        <v>20</v>
      </c>
      <c r="H152" s="9">
        <v>0.20624574358</v>
      </c>
    </row>
    <row r="153" spans="1:8" ht="16.5" customHeight="1" x14ac:dyDescent="0.2">
      <c r="A153" s="14" t="s">
        <v>134</v>
      </c>
      <c r="B153" s="6" t="s">
        <v>141</v>
      </c>
      <c r="C153" s="1"/>
      <c r="D153" s="13"/>
      <c r="E153" s="13"/>
      <c r="F153" s="7">
        <v>368.21</v>
      </c>
      <c r="G153" s="8">
        <v>5</v>
      </c>
      <c r="H153" s="9">
        <v>0.22479454659000001</v>
      </c>
    </row>
    <row r="154" spans="1:8" ht="16.5" customHeight="1" x14ac:dyDescent="0.2">
      <c r="A154" s="18" t="s">
        <v>134</v>
      </c>
      <c r="B154" s="6" t="s">
        <v>142</v>
      </c>
      <c r="C154" s="7">
        <v>20.1166667</v>
      </c>
      <c r="D154" s="15">
        <v>4</v>
      </c>
      <c r="E154" s="19">
        <v>0.74829605080999995</v>
      </c>
      <c r="F154" s="7">
        <v>18.159047600000001</v>
      </c>
      <c r="G154" s="8">
        <v>10</v>
      </c>
      <c r="H154" s="9">
        <v>0.78964965646999996</v>
      </c>
    </row>
    <row r="155" spans="1:8" ht="16.5" customHeight="1" x14ac:dyDescent="0.2">
      <c r="A155" s="14" t="s">
        <v>134</v>
      </c>
      <c r="B155" s="6" t="s">
        <v>143</v>
      </c>
      <c r="C155" s="7">
        <v>261.30428569999998</v>
      </c>
      <c r="D155" s="15">
        <v>3</v>
      </c>
      <c r="E155" s="19">
        <v>0.18042402671999999</v>
      </c>
      <c r="F155" s="7">
        <v>203.96761900000001</v>
      </c>
      <c r="G155" s="8">
        <v>11</v>
      </c>
      <c r="H155" s="9">
        <v>0.20542453050000001</v>
      </c>
    </row>
    <row r="156" spans="1:8" ht="16.5" customHeight="1" x14ac:dyDescent="0.2">
      <c r="A156" s="18" t="s">
        <v>134</v>
      </c>
      <c r="B156" s="6" t="s">
        <v>144</v>
      </c>
      <c r="C156" s="1"/>
      <c r="D156" s="13"/>
      <c r="E156" s="13"/>
      <c r="F156" s="7">
        <v>125.99</v>
      </c>
      <c r="G156" s="8">
        <v>2</v>
      </c>
      <c r="H156" s="9">
        <v>0.24109849988000001</v>
      </c>
    </row>
    <row r="157" spans="1:8" ht="16.5" customHeight="1" x14ac:dyDescent="0.2">
      <c r="A157" s="14" t="s">
        <v>134</v>
      </c>
      <c r="B157" s="6" t="s">
        <v>145</v>
      </c>
      <c r="C157" s="7">
        <v>104.0727273</v>
      </c>
      <c r="D157" s="15">
        <v>4</v>
      </c>
      <c r="E157" s="19">
        <v>0.19732092942000001</v>
      </c>
      <c r="F157" s="7">
        <v>126.83210529999999</v>
      </c>
      <c r="G157" s="8">
        <v>8</v>
      </c>
      <c r="H157" s="9">
        <v>0.21078383773000001</v>
      </c>
    </row>
    <row r="158" spans="1:8" ht="16.5" customHeight="1" x14ac:dyDescent="0.2">
      <c r="A158" s="18" t="s">
        <v>134</v>
      </c>
      <c r="B158" s="6" t="s">
        <v>146</v>
      </c>
      <c r="C158" s="7">
        <v>361.23292679999997</v>
      </c>
      <c r="D158" s="15">
        <v>17</v>
      </c>
      <c r="E158" s="19">
        <v>0.20581950029000001</v>
      </c>
      <c r="F158" s="7">
        <v>315.00802470000002</v>
      </c>
      <c r="G158" s="8">
        <v>41</v>
      </c>
      <c r="H158" s="9">
        <v>0.21251804285000001</v>
      </c>
    </row>
    <row r="159" spans="1:8" ht="16.5" customHeight="1" x14ac:dyDescent="0.2">
      <c r="A159" s="14" t="s">
        <v>134</v>
      </c>
      <c r="B159" s="6" t="s">
        <v>147</v>
      </c>
      <c r="C159" s="7">
        <v>28.47</v>
      </c>
      <c r="D159" s="15">
        <v>1</v>
      </c>
      <c r="E159" s="19">
        <v>0.53199859501000002</v>
      </c>
      <c r="F159" s="7">
        <v>28.47</v>
      </c>
      <c r="G159" s="8">
        <v>1</v>
      </c>
      <c r="H159" s="9">
        <v>0.53199859501000002</v>
      </c>
    </row>
    <row r="160" spans="1:8" ht="16.5" customHeight="1" x14ac:dyDescent="0.2">
      <c r="A160" s="18" t="s">
        <v>134</v>
      </c>
      <c r="B160" s="6" t="s">
        <v>148</v>
      </c>
      <c r="C160" s="1"/>
      <c r="D160" s="13"/>
      <c r="E160" s="13"/>
      <c r="F160" s="7">
        <v>91.284999999999997</v>
      </c>
      <c r="G160" s="8">
        <v>2</v>
      </c>
      <c r="H160" s="9">
        <v>0.28170564715000002</v>
      </c>
    </row>
    <row r="161" spans="1:8" ht="16.5" customHeight="1" x14ac:dyDescent="0.2">
      <c r="A161" s="14" t="s">
        <v>134</v>
      </c>
      <c r="B161" s="6" t="s">
        <v>149</v>
      </c>
      <c r="C161" s="1"/>
      <c r="D161" s="13"/>
      <c r="E161" s="13"/>
      <c r="F161" s="7">
        <v>40.825000000000003</v>
      </c>
      <c r="G161" s="8">
        <v>3</v>
      </c>
      <c r="H161" s="9">
        <v>0.36711982037000002</v>
      </c>
    </row>
    <row r="162" spans="1:8" ht="16.5" customHeight="1" x14ac:dyDescent="0.2">
      <c r="A162" s="18" t="s">
        <v>134</v>
      </c>
      <c r="B162" s="6" t="s">
        <v>150</v>
      </c>
      <c r="C162" s="1"/>
      <c r="D162" s="13"/>
      <c r="E162" s="13"/>
      <c r="F162" s="7">
        <v>43.15</v>
      </c>
      <c r="G162" s="8">
        <v>2</v>
      </c>
      <c r="H162" s="9">
        <v>0.32179026650999998</v>
      </c>
    </row>
    <row r="163" spans="1:8" ht="16.5" customHeight="1" x14ac:dyDescent="0.2">
      <c r="A163" s="14" t="s">
        <v>134</v>
      </c>
      <c r="B163" s="6" t="s">
        <v>151</v>
      </c>
      <c r="C163" s="7">
        <v>27.090555599999998</v>
      </c>
      <c r="D163" s="15">
        <v>7</v>
      </c>
      <c r="E163" s="19">
        <v>0.55971125648999998</v>
      </c>
      <c r="F163" s="7">
        <v>27.090555599999998</v>
      </c>
      <c r="G163" s="8">
        <v>7</v>
      </c>
      <c r="H163" s="9">
        <v>0.55971125648999998</v>
      </c>
    </row>
    <row r="164" spans="1:8" ht="16.5" customHeight="1" x14ac:dyDescent="0.2">
      <c r="A164" s="18" t="s">
        <v>134</v>
      </c>
      <c r="B164" s="6" t="s">
        <v>152</v>
      </c>
      <c r="C164" s="7">
        <v>45.466666699999998</v>
      </c>
      <c r="D164" s="15">
        <v>6</v>
      </c>
      <c r="E164" s="19">
        <v>0.36056744868000001</v>
      </c>
      <c r="F164" s="7">
        <v>52.458888899999998</v>
      </c>
      <c r="G164" s="8">
        <v>7</v>
      </c>
      <c r="H164" s="9">
        <v>0.32825704784999998</v>
      </c>
    </row>
    <row r="165" spans="1:8" ht="16.5" customHeight="1" x14ac:dyDescent="0.2">
      <c r="A165" s="14" t="s">
        <v>134</v>
      </c>
      <c r="B165" s="6" t="s">
        <v>153</v>
      </c>
      <c r="C165" s="7">
        <v>117.19</v>
      </c>
      <c r="D165" s="15">
        <v>1</v>
      </c>
      <c r="E165" s="19">
        <v>0.22654663367</v>
      </c>
      <c r="F165" s="7">
        <v>75.832999999999998</v>
      </c>
      <c r="G165" s="8">
        <v>7</v>
      </c>
      <c r="H165" s="9">
        <v>0.25450529452999998</v>
      </c>
    </row>
    <row r="166" spans="1:8" ht="16.5" customHeight="1" x14ac:dyDescent="0.2">
      <c r="A166" s="18" t="s">
        <v>134</v>
      </c>
      <c r="B166" s="6" t="s">
        <v>154</v>
      </c>
      <c r="C166" s="7">
        <v>40.853333300000003</v>
      </c>
      <c r="D166" s="15">
        <v>3</v>
      </c>
      <c r="E166" s="19">
        <v>0.41124347257999999</v>
      </c>
      <c r="F166" s="7">
        <v>40.853333300000003</v>
      </c>
      <c r="G166" s="8">
        <v>3</v>
      </c>
      <c r="H166" s="9">
        <v>0.41124347257999999</v>
      </c>
    </row>
    <row r="167" spans="1:8" ht="16.5" customHeight="1" x14ac:dyDescent="0.2">
      <c r="A167" s="14" t="s">
        <v>134</v>
      </c>
      <c r="B167" s="6" t="s">
        <v>155</v>
      </c>
      <c r="C167" s="1"/>
      <c r="D167" s="13"/>
      <c r="E167" s="13"/>
      <c r="F167" s="7">
        <v>47.5</v>
      </c>
      <c r="G167" s="8">
        <v>1</v>
      </c>
      <c r="H167" s="9">
        <v>0</v>
      </c>
    </row>
    <row r="168" spans="1:8" ht="16.5" customHeight="1" x14ac:dyDescent="0.2">
      <c r="A168" s="18" t="s">
        <v>134</v>
      </c>
      <c r="B168" s="6" t="s">
        <v>156</v>
      </c>
      <c r="C168" s="1"/>
      <c r="D168" s="13"/>
      <c r="E168" s="13"/>
      <c r="F168" s="7">
        <v>255.20750000000001</v>
      </c>
      <c r="G168" s="8">
        <v>2</v>
      </c>
      <c r="H168" s="9">
        <v>0.11891108216</v>
      </c>
    </row>
    <row r="169" spans="1:8" ht="16.5" customHeight="1" x14ac:dyDescent="0.2">
      <c r="A169" s="14" t="s">
        <v>134</v>
      </c>
      <c r="B169" s="6" t="s">
        <v>157</v>
      </c>
      <c r="C169" s="7">
        <v>201.15937500000001</v>
      </c>
      <c r="D169" s="15">
        <v>7</v>
      </c>
      <c r="E169" s="19">
        <v>9.2861692379999999E-2</v>
      </c>
      <c r="F169" s="7">
        <v>161.39074070000001</v>
      </c>
      <c r="G169" s="8">
        <v>16</v>
      </c>
      <c r="H169" s="9">
        <v>7.8232034059999997E-2</v>
      </c>
    </row>
    <row r="170" spans="1:8" ht="16.5" customHeight="1" x14ac:dyDescent="0.2">
      <c r="A170" s="18" t="s">
        <v>134</v>
      </c>
      <c r="B170" s="6" t="s">
        <v>158</v>
      </c>
      <c r="C170" s="7">
        <v>470.21</v>
      </c>
      <c r="D170" s="15">
        <v>1</v>
      </c>
      <c r="E170" s="19">
        <v>0.21652559495000001</v>
      </c>
      <c r="F170" s="7">
        <v>470.21</v>
      </c>
      <c r="G170" s="8">
        <v>1</v>
      </c>
      <c r="H170" s="9">
        <v>0.21652559495000001</v>
      </c>
    </row>
    <row r="171" spans="1:8" ht="16.5" customHeight="1" x14ac:dyDescent="0.2">
      <c r="A171" s="14" t="s">
        <v>134</v>
      </c>
      <c r="B171" s="6" t="s">
        <v>159</v>
      </c>
      <c r="C171" s="7">
        <v>268.8</v>
      </c>
      <c r="D171" s="15">
        <v>1</v>
      </c>
      <c r="E171" s="19">
        <v>0.21901971726</v>
      </c>
      <c r="F171" s="7">
        <v>268.8</v>
      </c>
      <c r="G171" s="8">
        <v>1</v>
      </c>
      <c r="H171" s="9">
        <v>0.21901971726</v>
      </c>
    </row>
    <row r="172" spans="1:8" ht="16.5" customHeight="1" x14ac:dyDescent="0.2">
      <c r="A172" s="14" t="s">
        <v>160</v>
      </c>
      <c r="B172" s="6" t="s">
        <v>161</v>
      </c>
      <c r="C172" s="7">
        <v>91.194999999999993</v>
      </c>
      <c r="D172" s="15">
        <v>12</v>
      </c>
      <c r="E172" s="19">
        <v>0.20601092896000001</v>
      </c>
      <c r="F172" s="7">
        <v>91.194999999999993</v>
      </c>
      <c r="G172" s="8">
        <v>12</v>
      </c>
      <c r="H172" s="9">
        <v>0.20601092896000001</v>
      </c>
    </row>
    <row r="173" spans="1:8" ht="16.5" customHeight="1" x14ac:dyDescent="0.2">
      <c r="A173" s="18" t="s">
        <v>605</v>
      </c>
      <c r="B173" s="6" t="s">
        <v>162</v>
      </c>
      <c r="C173" s="7">
        <v>3979.37</v>
      </c>
      <c r="D173" s="15">
        <v>9</v>
      </c>
      <c r="E173" s="19">
        <v>0.22979165043999999</v>
      </c>
      <c r="F173" s="7">
        <v>4437.8535714</v>
      </c>
      <c r="G173" s="8">
        <v>14</v>
      </c>
      <c r="H173" s="9">
        <v>0.22971069508</v>
      </c>
    </row>
    <row r="174" spans="1:8" ht="16.5" customHeight="1" x14ac:dyDescent="0.2">
      <c r="A174" s="14" t="s">
        <v>160</v>
      </c>
      <c r="B174" s="6" t="s">
        <v>138</v>
      </c>
      <c r="C174" s="7">
        <v>127.83666669999999</v>
      </c>
      <c r="D174" s="15">
        <v>9</v>
      </c>
      <c r="E174" s="19">
        <v>0.24072470947999999</v>
      </c>
      <c r="F174" s="7">
        <v>101.79695649999999</v>
      </c>
      <c r="G174" s="8">
        <v>23</v>
      </c>
      <c r="H174" s="9">
        <v>0.24696561355999999</v>
      </c>
    </row>
    <row r="175" spans="1:8" ht="16.5" customHeight="1" x14ac:dyDescent="0.2">
      <c r="A175" s="18" t="s">
        <v>605</v>
      </c>
      <c r="B175" s="6" t="s">
        <v>163</v>
      </c>
      <c r="C175" s="7">
        <v>1842.1789474</v>
      </c>
      <c r="D175" s="15">
        <v>19</v>
      </c>
      <c r="E175" s="19">
        <v>0.19783762934999999</v>
      </c>
      <c r="F175" s="7">
        <v>2312.8155556000002</v>
      </c>
      <c r="G175" s="8">
        <v>45</v>
      </c>
      <c r="H175" s="9">
        <v>0.19749317571</v>
      </c>
    </row>
    <row r="176" spans="1:8" ht="16.5" customHeight="1" x14ac:dyDescent="0.2">
      <c r="A176" s="14" t="s">
        <v>160</v>
      </c>
      <c r="B176" s="6" t="s">
        <v>164</v>
      </c>
      <c r="C176" s="7">
        <v>241.42500000000001</v>
      </c>
      <c r="D176" s="15">
        <v>8</v>
      </c>
      <c r="E176" s="19">
        <v>0.20906751578999999</v>
      </c>
      <c r="F176" s="7">
        <v>288.61428569999998</v>
      </c>
      <c r="G176" s="8">
        <v>21</v>
      </c>
      <c r="H176" s="9">
        <v>0.20695375274</v>
      </c>
    </row>
    <row r="177" spans="1:8" ht="16.5" customHeight="1" x14ac:dyDescent="0.2">
      <c r="A177" s="18" t="s">
        <v>605</v>
      </c>
      <c r="B177" s="6" t="s">
        <v>165</v>
      </c>
      <c r="C177" s="1"/>
      <c r="D177" s="13"/>
      <c r="E177" s="13"/>
      <c r="F177" s="7">
        <v>95.81</v>
      </c>
      <c r="G177" s="8">
        <v>1</v>
      </c>
      <c r="H177" s="9">
        <v>0.26152802420999999</v>
      </c>
    </row>
    <row r="178" spans="1:8" ht="16.5" customHeight="1" x14ac:dyDescent="0.2">
      <c r="A178" s="14" t="s">
        <v>160</v>
      </c>
      <c r="B178" s="6" t="s">
        <v>166</v>
      </c>
      <c r="C178" s="1"/>
      <c r="D178" s="13"/>
      <c r="E178" s="13"/>
      <c r="F178" s="7">
        <v>813.26666669999997</v>
      </c>
      <c r="G178" s="8">
        <v>3</v>
      </c>
      <c r="H178" s="9">
        <v>0.19998196572999999</v>
      </c>
    </row>
    <row r="179" spans="1:8" ht="16.5" customHeight="1" x14ac:dyDescent="0.2">
      <c r="A179" s="18" t="s">
        <v>605</v>
      </c>
      <c r="B179" s="6" t="s">
        <v>167</v>
      </c>
      <c r="C179" s="7">
        <v>247.16666670000001</v>
      </c>
      <c r="D179" s="15">
        <v>3</v>
      </c>
      <c r="E179" s="19">
        <v>0.18443155764999999</v>
      </c>
      <c r="F179" s="7">
        <v>247.16666670000001</v>
      </c>
      <c r="G179" s="8">
        <v>3</v>
      </c>
      <c r="H179" s="9">
        <v>0.18443155764999999</v>
      </c>
    </row>
    <row r="180" spans="1:8" ht="16.5" customHeight="1" x14ac:dyDescent="0.2">
      <c r="A180" s="14" t="s">
        <v>160</v>
      </c>
      <c r="B180" s="6" t="s">
        <v>168</v>
      </c>
      <c r="C180" s="7">
        <v>172.01</v>
      </c>
      <c r="D180" s="15">
        <v>2</v>
      </c>
      <c r="E180" s="19">
        <v>0.40429335504000002</v>
      </c>
      <c r="F180" s="7">
        <v>172.01</v>
      </c>
      <c r="G180" s="8">
        <v>2</v>
      </c>
      <c r="H180" s="9">
        <v>0.40429335504000002</v>
      </c>
    </row>
    <row r="181" spans="1:8" ht="16.5" customHeight="1" x14ac:dyDescent="0.2">
      <c r="A181" s="18" t="s">
        <v>605</v>
      </c>
      <c r="B181" s="6" t="s">
        <v>169</v>
      </c>
      <c r="C181" s="7">
        <v>264.50428570000003</v>
      </c>
      <c r="D181" s="15">
        <v>35</v>
      </c>
      <c r="E181" s="19">
        <v>0.24080139128</v>
      </c>
      <c r="F181" s="7">
        <v>241.21561639999999</v>
      </c>
      <c r="G181" s="8">
        <v>73</v>
      </c>
      <c r="H181" s="9">
        <v>0.24194133140999999</v>
      </c>
    </row>
    <row r="182" spans="1:8" ht="16.5" customHeight="1" x14ac:dyDescent="0.2">
      <c r="A182" s="14" t="s">
        <v>160</v>
      </c>
      <c r="B182" s="6" t="s">
        <v>170</v>
      </c>
      <c r="C182" s="7">
        <v>778.4</v>
      </c>
      <c r="D182" s="15">
        <v>1</v>
      </c>
      <c r="E182" s="19">
        <v>0</v>
      </c>
      <c r="F182" s="7">
        <v>778.4</v>
      </c>
      <c r="G182" s="8">
        <v>1</v>
      </c>
      <c r="H182" s="9">
        <v>0</v>
      </c>
    </row>
    <row r="183" spans="1:8" ht="16.5" customHeight="1" x14ac:dyDescent="0.2">
      <c r="A183" s="18" t="s">
        <v>605</v>
      </c>
      <c r="B183" s="6" t="s">
        <v>171</v>
      </c>
      <c r="C183" s="7">
        <v>38.43</v>
      </c>
      <c r="D183" s="15">
        <v>1</v>
      </c>
      <c r="E183" s="19">
        <v>0.27733541503999998</v>
      </c>
      <c r="F183" s="7">
        <v>36.905000000000001</v>
      </c>
      <c r="G183" s="8">
        <v>2</v>
      </c>
      <c r="H183" s="9">
        <v>0.28073431784000002</v>
      </c>
    </row>
    <row r="184" spans="1:8" ht="16.5" customHeight="1" x14ac:dyDescent="0.2">
      <c r="A184" s="14" t="s">
        <v>160</v>
      </c>
      <c r="B184" s="6" t="s">
        <v>172</v>
      </c>
      <c r="C184" s="7">
        <v>626.45333330000005</v>
      </c>
      <c r="D184" s="15">
        <v>9</v>
      </c>
      <c r="E184" s="19">
        <v>0.23399047193</v>
      </c>
      <c r="F184" s="7">
        <v>548.83799999999997</v>
      </c>
      <c r="G184" s="8">
        <v>25</v>
      </c>
      <c r="H184" s="9">
        <v>0.23469322459</v>
      </c>
    </row>
    <row r="185" spans="1:8" ht="16.5" customHeight="1" x14ac:dyDescent="0.2">
      <c r="A185" s="18" t="s">
        <v>605</v>
      </c>
      <c r="B185" s="6" t="s">
        <v>173</v>
      </c>
      <c r="C185" s="7">
        <v>89.083333300000007</v>
      </c>
      <c r="D185" s="15">
        <v>9</v>
      </c>
      <c r="E185" s="19">
        <v>0.26405363267999998</v>
      </c>
      <c r="F185" s="7">
        <v>89.083333300000007</v>
      </c>
      <c r="G185" s="8">
        <v>9</v>
      </c>
      <c r="H185" s="9">
        <v>0.26405363267999998</v>
      </c>
    </row>
    <row r="186" spans="1:8" ht="16.5" customHeight="1" x14ac:dyDescent="0.2">
      <c r="A186" s="14" t="s">
        <v>160</v>
      </c>
      <c r="B186" s="6" t="s">
        <v>174</v>
      </c>
      <c r="C186" s="7">
        <v>254.44444440000001</v>
      </c>
      <c r="D186" s="15">
        <v>18</v>
      </c>
      <c r="E186" s="19">
        <v>0.39841812227000001</v>
      </c>
      <c r="F186" s="7">
        <v>261.63600000000002</v>
      </c>
      <c r="G186" s="8">
        <v>40</v>
      </c>
      <c r="H186" s="9">
        <v>0.39807948830000001</v>
      </c>
    </row>
    <row r="187" spans="1:8" ht="16.5" customHeight="1" x14ac:dyDescent="0.2">
      <c r="A187" s="18" t="s">
        <v>605</v>
      </c>
      <c r="B187" s="6" t="s">
        <v>175</v>
      </c>
      <c r="C187" s="7">
        <v>216.31299999999999</v>
      </c>
      <c r="D187" s="15">
        <v>10</v>
      </c>
      <c r="E187" s="19">
        <v>0.36500857553999999</v>
      </c>
      <c r="F187" s="7">
        <v>193.69565220000001</v>
      </c>
      <c r="G187" s="8">
        <v>23</v>
      </c>
      <c r="H187" s="9">
        <v>0.36669113355999999</v>
      </c>
    </row>
    <row r="188" spans="1:8" ht="16.5" customHeight="1" x14ac:dyDescent="0.2">
      <c r="A188" s="14" t="s">
        <v>160</v>
      </c>
      <c r="B188" s="6" t="s">
        <v>176</v>
      </c>
      <c r="C188" s="7">
        <v>79.2157895</v>
      </c>
      <c r="D188" s="15">
        <v>19</v>
      </c>
      <c r="E188" s="19">
        <v>0.21118331007999999</v>
      </c>
      <c r="F188" s="7">
        <v>81.735576899999998</v>
      </c>
      <c r="G188" s="8">
        <v>51</v>
      </c>
      <c r="H188" s="9">
        <v>0.20996929591999999</v>
      </c>
    </row>
    <row r="189" spans="1:8" ht="16.5" customHeight="1" x14ac:dyDescent="0.2">
      <c r="A189" s="18" t="s">
        <v>605</v>
      </c>
      <c r="B189" s="6" t="s">
        <v>177</v>
      </c>
      <c r="C189" s="7">
        <v>100.3</v>
      </c>
      <c r="D189" s="15">
        <v>1</v>
      </c>
      <c r="E189" s="19">
        <v>0.41725822532000001</v>
      </c>
      <c r="F189" s="7">
        <v>104.6333333</v>
      </c>
      <c r="G189" s="8">
        <v>3</v>
      </c>
      <c r="H189" s="9">
        <v>0.41599235424999997</v>
      </c>
    </row>
    <row r="190" spans="1:8" ht="16.5" customHeight="1" x14ac:dyDescent="0.2">
      <c r="A190" s="14" t="s">
        <v>160</v>
      </c>
      <c r="B190" s="6" t="s">
        <v>178</v>
      </c>
      <c r="C190" s="7">
        <v>156.59</v>
      </c>
      <c r="D190" s="15">
        <v>2</v>
      </c>
      <c r="E190" s="19">
        <v>0.40606999170000002</v>
      </c>
      <c r="F190" s="7">
        <v>293.09666670000001</v>
      </c>
      <c r="G190" s="8">
        <v>6</v>
      </c>
      <c r="H190" s="9">
        <v>0.39679741610000002</v>
      </c>
    </row>
    <row r="191" spans="1:8" ht="16.5" customHeight="1" x14ac:dyDescent="0.2">
      <c r="A191" s="18" t="s">
        <v>605</v>
      </c>
      <c r="B191" s="6" t="s">
        <v>179</v>
      </c>
      <c r="C191" s="7">
        <v>88.44</v>
      </c>
      <c r="D191" s="15">
        <v>1</v>
      </c>
      <c r="E191" s="19">
        <v>0</v>
      </c>
      <c r="F191" s="7">
        <v>88.44</v>
      </c>
      <c r="G191" s="8">
        <v>1</v>
      </c>
      <c r="H191" s="9">
        <v>0</v>
      </c>
    </row>
    <row r="192" spans="1:8" ht="16.5" customHeight="1" x14ac:dyDescent="0.2">
      <c r="A192" s="14" t="s">
        <v>160</v>
      </c>
      <c r="B192" s="6" t="s">
        <v>158</v>
      </c>
      <c r="C192" s="7">
        <v>394.12</v>
      </c>
      <c r="D192" s="15">
        <v>30</v>
      </c>
      <c r="E192" s="19">
        <v>0.2242395717</v>
      </c>
      <c r="F192" s="7">
        <v>311.64659569999998</v>
      </c>
      <c r="G192" s="8">
        <v>47</v>
      </c>
      <c r="H192" s="9">
        <v>0.22633452103000001</v>
      </c>
    </row>
    <row r="193" spans="1:8" ht="16.5" customHeight="1" x14ac:dyDescent="0.2">
      <c r="A193" s="18" t="s">
        <v>605</v>
      </c>
      <c r="B193" s="6" t="s">
        <v>180</v>
      </c>
      <c r="C193" s="7">
        <v>8.7633332999999993</v>
      </c>
      <c r="D193" s="15">
        <v>3</v>
      </c>
      <c r="E193" s="19">
        <v>0.52765310003999999</v>
      </c>
      <c r="F193" s="7">
        <v>11.246</v>
      </c>
      <c r="G193" s="8">
        <v>5</v>
      </c>
      <c r="H193" s="9">
        <v>0.44919082339999999</v>
      </c>
    </row>
    <row r="194" spans="1:8" ht="16.5" customHeight="1" x14ac:dyDescent="0.2">
      <c r="A194" s="14" t="s">
        <v>160</v>
      </c>
      <c r="B194" s="6" t="s">
        <v>159</v>
      </c>
      <c r="C194" s="7">
        <v>405.65</v>
      </c>
      <c r="D194" s="15">
        <v>2</v>
      </c>
      <c r="E194" s="19">
        <v>0.22401207938000001</v>
      </c>
      <c r="F194" s="7">
        <v>405.65</v>
      </c>
      <c r="G194" s="8">
        <v>2</v>
      </c>
      <c r="H194" s="9">
        <v>0.22401207938000001</v>
      </c>
    </row>
    <row r="195" spans="1:8" ht="16.5" customHeight="1" x14ac:dyDescent="0.2">
      <c r="A195" s="18" t="s">
        <v>605</v>
      </c>
      <c r="B195" s="6" t="s">
        <v>181</v>
      </c>
      <c r="C195" s="7">
        <v>192.8</v>
      </c>
      <c r="D195" s="15">
        <v>4</v>
      </c>
      <c r="E195" s="19">
        <v>0.34523729253000002</v>
      </c>
      <c r="F195" s="7">
        <v>218.84444439999999</v>
      </c>
      <c r="G195" s="8">
        <v>9</v>
      </c>
      <c r="H195" s="9">
        <v>0.34331336311999999</v>
      </c>
    </row>
    <row r="196" spans="1:8" ht="16.5" customHeight="1" x14ac:dyDescent="0.2">
      <c r="A196" s="14" t="s">
        <v>160</v>
      </c>
      <c r="B196" s="6" t="s">
        <v>182</v>
      </c>
      <c r="C196" s="7">
        <v>184.33333329999999</v>
      </c>
      <c r="D196" s="15">
        <v>3</v>
      </c>
      <c r="E196" s="19">
        <v>0.40307233272999998</v>
      </c>
      <c r="F196" s="7">
        <v>183.85</v>
      </c>
      <c r="G196" s="8">
        <v>6</v>
      </c>
      <c r="H196" s="9">
        <v>0.40311939080999998</v>
      </c>
    </row>
    <row r="197" spans="1:8" ht="16.5" customHeight="1" x14ac:dyDescent="0.2">
      <c r="A197" s="18" t="s">
        <v>605</v>
      </c>
      <c r="B197" s="6" t="s">
        <v>97</v>
      </c>
      <c r="C197" s="1"/>
      <c r="D197" s="13"/>
      <c r="E197" s="13"/>
      <c r="F197" s="7">
        <v>575.16833329999997</v>
      </c>
      <c r="G197" s="8">
        <v>6</v>
      </c>
      <c r="H197" s="9">
        <v>0.25803750205999998</v>
      </c>
    </row>
    <row r="198" spans="1:8" ht="16.5" customHeight="1" x14ac:dyDescent="0.2">
      <c r="A198" s="14" t="s">
        <v>160</v>
      </c>
      <c r="B198" s="6" t="s">
        <v>183</v>
      </c>
      <c r="C198" s="7">
        <v>123.9555556</v>
      </c>
      <c r="D198" s="15">
        <v>9</v>
      </c>
      <c r="E198" s="19">
        <v>0.19697472212</v>
      </c>
      <c r="F198" s="7">
        <v>111.23375</v>
      </c>
      <c r="G198" s="8">
        <v>16</v>
      </c>
      <c r="H198" s="9">
        <v>0.19985503500999999</v>
      </c>
    </row>
    <row r="199" spans="1:8" ht="16.5" customHeight="1" x14ac:dyDescent="0.2">
      <c r="A199" s="14" t="s">
        <v>184</v>
      </c>
      <c r="B199" s="6" t="s">
        <v>185</v>
      </c>
      <c r="C199" s="7">
        <v>68.1674194</v>
      </c>
      <c r="D199" s="15">
        <v>10</v>
      </c>
      <c r="E199" s="19">
        <v>0.11523336755999999</v>
      </c>
      <c r="F199" s="7">
        <v>66.564756099999997</v>
      </c>
      <c r="G199" s="8">
        <v>24</v>
      </c>
      <c r="H199" s="9">
        <v>0.10803160685</v>
      </c>
    </row>
    <row r="200" spans="1:8" ht="16.5" customHeight="1" x14ac:dyDescent="0.2">
      <c r="A200" s="18" t="s">
        <v>184</v>
      </c>
      <c r="B200" s="6" t="s">
        <v>186</v>
      </c>
      <c r="C200" s="7">
        <v>92.253749999999997</v>
      </c>
      <c r="D200" s="15">
        <v>8</v>
      </c>
      <c r="E200" s="19">
        <v>8.7604388259999999E-2</v>
      </c>
      <c r="F200" s="7">
        <v>72.891363600000005</v>
      </c>
      <c r="G200" s="8">
        <v>19</v>
      </c>
      <c r="H200" s="9">
        <v>9.5882415299999996E-2</v>
      </c>
    </row>
    <row r="201" spans="1:8" ht="16.5" customHeight="1" x14ac:dyDescent="0.2">
      <c r="A201" s="14" t="s">
        <v>184</v>
      </c>
      <c r="B201" s="6" t="s">
        <v>187</v>
      </c>
      <c r="C201" s="7">
        <v>41.911250000000003</v>
      </c>
      <c r="D201" s="15">
        <v>8</v>
      </c>
      <c r="E201" s="19">
        <v>0.10113632974</v>
      </c>
      <c r="F201" s="7">
        <v>54.7776</v>
      </c>
      <c r="G201" s="8">
        <v>20</v>
      </c>
      <c r="H201" s="9">
        <v>0.11786399307000001</v>
      </c>
    </row>
    <row r="202" spans="1:8" ht="16.5" customHeight="1" x14ac:dyDescent="0.2">
      <c r="A202" s="18" t="s">
        <v>184</v>
      </c>
      <c r="B202" s="6" t="s">
        <v>188</v>
      </c>
      <c r="C202" s="7">
        <v>640.38466670000003</v>
      </c>
      <c r="D202" s="15">
        <v>15</v>
      </c>
      <c r="E202" s="19">
        <v>7.7960468899999996E-2</v>
      </c>
      <c r="F202" s="7">
        <v>478.26837840000002</v>
      </c>
      <c r="G202" s="8">
        <v>31</v>
      </c>
      <c r="H202" s="9">
        <v>7.4467970879999998E-2</v>
      </c>
    </row>
    <row r="203" spans="1:8" ht="16.5" customHeight="1" x14ac:dyDescent="0.2">
      <c r="A203" s="14" t="s">
        <v>184</v>
      </c>
      <c r="B203" s="6" t="s">
        <v>189</v>
      </c>
      <c r="C203" s="7">
        <v>74.311578900000001</v>
      </c>
      <c r="D203" s="15">
        <v>18</v>
      </c>
      <c r="E203" s="19">
        <v>9.7982416380000006E-2</v>
      </c>
      <c r="F203" s="7">
        <v>59.9889796</v>
      </c>
      <c r="G203" s="8">
        <v>41</v>
      </c>
      <c r="H203" s="9">
        <v>0.11730533273</v>
      </c>
    </row>
    <row r="204" spans="1:8" ht="16.5" customHeight="1" x14ac:dyDescent="0.2">
      <c r="A204" s="18" t="s">
        <v>184</v>
      </c>
      <c r="B204" s="6" t="s">
        <v>190</v>
      </c>
      <c r="C204" s="7">
        <v>111.5766667</v>
      </c>
      <c r="D204" s="15">
        <v>3</v>
      </c>
      <c r="E204" s="19">
        <v>0</v>
      </c>
      <c r="F204" s="7">
        <v>111.5766667</v>
      </c>
      <c r="G204" s="8">
        <v>3</v>
      </c>
      <c r="H204" s="9">
        <v>0</v>
      </c>
    </row>
    <row r="205" spans="1:8" ht="16.5" customHeight="1" x14ac:dyDescent="0.2">
      <c r="A205" s="14" t="s">
        <v>184</v>
      </c>
      <c r="B205" s="6" t="s">
        <v>191</v>
      </c>
      <c r="C205" s="7">
        <v>174.19136359999999</v>
      </c>
      <c r="D205" s="15">
        <v>8</v>
      </c>
      <c r="E205" s="19">
        <v>9.0649259829999995E-2</v>
      </c>
      <c r="F205" s="7">
        <v>171.67984379999999</v>
      </c>
      <c r="G205" s="8">
        <v>19</v>
      </c>
      <c r="H205" s="9">
        <v>8.124479523E-2</v>
      </c>
    </row>
    <row r="206" spans="1:8" ht="16.5" customHeight="1" x14ac:dyDescent="0.2">
      <c r="A206" s="18" t="s">
        <v>184</v>
      </c>
      <c r="B206" s="6" t="s">
        <v>192</v>
      </c>
      <c r="C206" s="7">
        <v>343.23277780000001</v>
      </c>
      <c r="D206" s="15">
        <v>17</v>
      </c>
      <c r="E206" s="19">
        <v>8.0017880099999994E-2</v>
      </c>
      <c r="F206" s="7">
        <v>415.34199999999998</v>
      </c>
      <c r="G206" s="8">
        <v>39</v>
      </c>
      <c r="H206" s="9">
        <v>7.4136280730000004E-2</v>
      </c>
    </row>
    <row r="207" spans="1:8" ht="16.5" customHeight="1" x14ac:dyDescent="0.2">
      <c r="A207" s="14" t="s">
        <v>184</v>
      </c>
      <c r="B207" s="6" t="s">
        <v>193</v>
      </c>
      <c r="C207" s="7">
        <v>139.18777779999999</v>
      </c>
      <c r="D207" s="15">
        <v>9</v>
      </c>
      <c r="E207" s="19">
        <v>8.3807113759999996E-2</v>
      </c>
      <c r="F207" s="7">
        <v>138.69423080000001</v>
      </c>
      <c r="G207" s="8">
        <v>22</v>
      </c>
      <c r="H207" s="9">
        <v>7.9160484929999997E-2</v>
      </c>
    </row>
    <row r="208" spans="1:8" ht="16.5" customHeight="1" x14ac:dyDescent="0.2">
      <c r="A208" s="18" t="s">
        <v>184</v>
      </c>
      <c r="B208" s="6" t="s">
        <v>194</v>
      </c>
      <c r="C208" s="7">
        <v>52.952631599999997</v>
      </c>
      <c r="D208" s="15">
        <v>7</v>
      </c>
      <c r="E208" s="19">
        <v>0.11052778054</v>
      </c>
      <c r="F208" s="7">
        <v>33.797818200000002</v>
      </c>
      <c r="G208" s="8">
        <v>16</v>
      </c>
      <c r="H208" s="9">
        <v>0.14992522379000001</v>
      </c>
    </row>
    <row r="209" spans="1:8" ht="16.5" customHeight="1" x14ac:dyDescent="0.2">
      <c r="A209" s="14" t="s">
        <v>184</v>
      </c>
      <c r="B209" s="6" t="s">
        <v>195</v>
      </c>
      <c r="C209" s="7">
        <v>94.8</v>
      </c>
      <c r="D209" s="15">
        <v>1</v>
      </c>
      <c r="E209" s="19">
        <v>8.7324191280000005E-2</v>
      </c>
      <c r="F209" s="7">
        <v>127.1428571</v>
      </c>
      <c r="G209" s="8">
        <v>5</v>
      </c>
      <c r="H209" s="9">
        <v>8.6887265919999998E-2</v>
      </c>
    </row>
    <row r="210" spans="1:8" ht="16.5" customHeight="1" x14ac:dyDescent="0.2">
      <c r="A210" s="18" t="s">
        <v>184</v>
      </c>
      <c r="B210" s="6" t="s">
        <v>196</v>
      </c>
      <c r="C210" s="7">
        <v>505.6</v>
      </c>
      <c r="D210" s="15">
        <v>3</v>
      </c>
      <c r="E210" s="19">
        <v>7.8392888539999997E-2</v>
      </c>
      <c r="F210" s="7">
        <v>414.51</v>
      </c>
      <c r="G210" s="8">
        <v>9</v>
      </c>
      <c r="H210" s="9">
        <v>7.5215475300000001E-2</v>
      </c>
    </row>
    <row r="211" spans="1:8" ht="16.5" customHeight="1" x14ac:dyDescent="0.2">
      <c r="A211" s="14" t="s">
        <v>184</v>
      </c>
      <c r="B211" s="6" t="s">
        <v>197</v>
      </c>
      <c r="C211" s="7">
        <v>65.422142899999997</v>
      </c>
      <c r="D211" s="15">
        <v>12</v>
      </c>
      <c r="E211" s="19">
        <v>0.10265819422</v>
      </c>
      <c r="F211" s="7">
        <v>62.8803226</v>
      </c>
      <c r="G211" s="8">
        <v>25</v>
      </c>
      <c r="H211" s="9">
        <v>0.11757973416</v>
      </c>
    </row>
    <row r="212" spans="1:8" ht="16.5" customHeight="1" x14ac:dyDescent="0.2">
      <c r="A212" s="18" t="s">
        <v>184</v>
      </c>
      <c r="B212" s="6" t="s">
        <v>198</v>
      </c>
      <c r="C212" s="1"/>
      <c r="D212" s="13"/>
      <c r="E212" s="13"/>
      <c r="F212" s="7">
        <v>248.89400000000001</v>
      </c>
      <c r="G212" s="8">
        <v>3</v>
      </c>
      <c r="H212" s="9">
        <v>6.8879121230000007E-2</v>
      </c>
    </row>
    <row r="213" spans="1:8" ht="16.5" customHeight="1" x14ac:dyDescent="0.2">
      <c r="A213" s="14" t="s">
        <v>184</v>
      </c>
      <c r="B213" s="6" t="s">
        <v>199</v>
      </c>
      <c r="C213" s="7">
        <v>30.500645200000001</v>
      </c>
      <c r="D213" s="15">
        <v>10</v>
      </c>
      <c r="E213" s="19">
        <v>0.16220809713000001</v>
      </c>
      <c r="F213" s="7">
        <v>33.6942308</v>
      </c>
      <c r="G213" s="8">
        <v>16</v>
      </c>
      <c r="H213" s="9">
        <v>0.15278465841</v>
      </c>
    </row>
    <row r="214" spans="1:8" ht="16.5" customHeight="1" x14ac:dyDescent="0.2">
      <c r="A214" s="18" t="s">
        <v>184</v>
      </c>
      <c r="B214" s="6" t="s">
        <v>200</v>
      </c>
      <c r="C214" s="7">
        <v>192.5</v>
      </c>
      <c r="D214" s="15">
        <v>1</v>
      </c>
      <c r="E214" s="19">
        <v>8.1747186149999998E-2</v>
      </c>
      <c r="F214" s="7">
        <v>180.0285714</v>
      </c>
      <c r="G214" s="8">
        <v>5</v>
      </c>
      <c r="H214" s="9">
        <v>7.5299687879999994E-2</v>
      </c>
    </row>
    <row r="215" spans="1:8" ht="16.5" customHeight="1" x14ac:dyDescent="0.2">
      <c r="A215" s="14" t="s">
        <v>184</v>
      </c>
      <c r="B215" s="6" t="s">
        <v>201</v>
      </c>
      <c r="C215" s="7">
        <v>72.563783799999996</v>
      </c>
      <c r="D215" s="15">
        <v>12</v>
      </c>
      <c r="E215" s="19">
        <v>0.13255216286999999</v>
      </c>
      <c r="F215" s="7">
        <v>59.790795500000002</v>
      </c>
      <c r="G215" s="8">
        <v>23</v>
      </c>
      <c r="H215" s="9">
        <v>0.14138786945000001</v>
      </c>
    </row>
    <row r="216" spans="1:8" ht="16.5" customHeight="1" x14ac:dyDescent="0.2">
      <c r="A216" s="18" t="s">
        <v>184</v>
      </c>
      <c r="B216" s="6" t="s">
        <v>202</v>
      </c>
      <c r="C216" s="7">
        <v>172.93</v>
      </c>
      <c r="D216" s="15">
        <v>3</v>
      </c>
      <c r="E216" s="19">
        <v>8.2349955340000003E-2</v>
      </c>
      <c r="F216" s="7">
        <v>188.79928570000001</v>
      </c>
      <c r="G216" s="8">
        <v>12</v>
      </c>
      <c r="H216" s="9">
        <v>7.7399657230000002E-2</v>
      </c>
    </row>
    <row r="217" spans="1:8" ht="16.5" customHeight="1" x14ac:dyDescent="0.2">
      <c r="A217" s="14" t="s">
        <v>184</v>
      </c>
      <c r="B217" s="6" t="s">
        <v>203</v>
      </c>
      <c r="C217" s="7">
        <v>97.4</v>
      </c>
      <c r="D217" s="15">
        <v>1</v>
      </c>
      <c r="E217" s="19">
        <v>8.7019164960000006E-2</v>
      </c>
      <c r="F217" s="7">
        <v>105.8</v>
      </c>
      <c r="G217" s="8">
        <v>5</v>
      </c>
      <c r="H217" s="9">
        <v>9.5450985690000004E-2</v>
      </c>
    </row>
    <row r="218" spans="1:8" ht="16.5" customHeight="1" x14ac:dyDescent="0.2">
      <c r="A218" s="18" t="s">
        <v>184</v>
      </c>
      <c r="B218" s="6" t="s">
        <v>204</v>
      </c>
      <c r="C218" s="7">
        <v>95.894000000000005</v>
      </c>
      <c r="D218" s="15">
        <v>10</v>
      </c>
      <c r="E218" s="19">
        <v>8.7182722589999997E-2</v>
      </c>
      <c r="F218" s="7">
        <v>106.27</v>
      </c>
      <c r="G218" s="8">
        <v>23</v>
      </c>
      <c r="H218" s="9">
        <v>8.8069024539999999E-2</v>
      </c>
    </row>
    <row r="219" spans="1:8" ht="16.5" customHeight="1" x14ac:dyDescent="0.2">
      <c r="A219" s="14" t="s">
        <v>184</v>
      </c>
      <c r="B219" s="6" t="s">
        <v>205</v>
      </c>
      <c r="C219" s="7">
        <v>117.8</v>
      </c>
      <c r="D219" s="15">
        <v>8</v>
      </c>
      <c r="E219" s="19">
        <v>8.5164119979999994E-2</v>
      </c>
      <c r="F219" s="7">
        <v>148.05384620000001</v>
      </c>
      <c r="G219" s="8">
        <v>22</v>
      </c>
      <c r="H219" s="9">
        <v>8.2075734750000004E-2</v>
      </c>
    </row>
    <row r="220" spans="1:8" ht="16.5" customHeight="1" x14ac:dyDescent="0.2">
      <c r="A220" s="18" t="s">
        <v>184</v>
      </c>
      <c r="B220" s="6" t="s">
        <v>206</v>
      </c>
      <c r="C220" s="7">
        <v>65.137272699999997</v>
      </c>
      <c r="D220" s="15">
        <v>11</v>
      </c>
      <c r="E220" s="19">
        <v>0.15289621451999999</v>
      </c>
      <c r="F220" s="7">
        <v>60.267307700000003</v>
      </c>
      <c r="G220" s="8">
        <v>23</v>
      </c>
      <c r="H220" s="9">
        <v>0.16145845964</v>
      </c>
    </row>
    <row r="221" spans="1:8" ht="16.5" customHeight="1" x14ac:dyDescent="0.2">
      <c r="A221" s="14" t="s">
        <v>184</v>
      </c>
      <c r="B221" s="6" t="s">
        <v>207</v>
      </c>
      <c r="C221" s="7">
        <v>82.756799999999998</v>
      </c>
      <c r="D221" s="15">
        <v>9</v>
      </c>
      <c r="E221" s="19">
        <v>9.6499139649999996E-2</v>
      </c>
      <c r="F221" s="7">
        <v>79.788552600000003</v>
      </c>
      <c r="G221" s="8">
        <v>22</v>
      </c>
      <c r="H221" s="9">
        <v>0.10422086007</v>
      </c>
    </row>
    <row r="222" spans="1:8" ht="16.5" customHeight="1" x14ac:dyDescent="0.2">
      <c r="A222" s="18" t="s">
        <v>184</v>
      </c>
      <c r="B222" s="6" t="s">
        <v>208</v>
      </c>
      <c r="C222" s="7">
        <v>31.836666699999999</v>
      </c>
      <c r="D222" s="15">
        <v>9</v>
      </c>
      <c r="E222" s="19">
        <v>0.10893332868</v>
      </c>
      <c r="F222" s="7">
        <v>30.937916699999999</v>
      </c>
      <c r="G222" s="8">
        <v>20</v>
      </c>
      <c r="H222" s="9">
        <v>0.14974029529999999</v>
      </c>
    </row>
    <row r="223" spans="1:8" ht="16.5" customHeight="1" x14ac:dyDescent="0.2">
      <c r="A223" s="14" t="s">
        <v>184</v>
      </c>
      <c r="B223" s="6" t="s">
        <v>209</v>
      </c>
      <c r="C223" s="7">
        <v>46.301250000000003</v>
      </c>
      <c r="D223" s="15">
        <v>8</v>
      </c>
      <c r="E223" s="19">
        <v>9.8795028930000001E-2</v>
      </c>
      <c r="F223" s="7">
        <v>38.830434799999999</v>
      </c>
      <c r="G223" s="8">
        <v>18</v>
      </c>
      <c r="H223" s="9">
        <v>0.14642555891</v>
      </c>
    </row>
    <row r="224" spans="1:8" ht="16.5" customHeight="1" x14ac:dyDescent="0.2">
      <c r="A224" s="18" t="s">
        <v>184</v>
      </c>
      <c r="B224" s="6" t="s">
        <v>210</v>
      </c>
      <c r="C224" s="7">
        <v>57.018421099999998</v>
      </c>
      <c r="D224" s="15">
        <v>7</v>
      </c>
      <c r="E224" s="19">
        <v>0.11478192643</v>
      </c>
      <c r="F224" s="7">
        <v>62.205714299999997</v>
      </c>
      <c r="G224" s="8">
        <v>14</v>
      </c>
      <c r="H224" s="9">
        <v>0.12296494843</v>
      </c>
    </row>
    <row r="225" spans="1:8" ht="16.5" customHeight="1" x14ac:dyDescent="0.2">
      <c r="A225" s="14" t="s">
        <v>184</v>
      </c>
      <c r="B225" s="6" t="s">
        <v>211</v>
      </c>
      <c r="C225" s="7">
        <v>205.49489800000001</v>
      </c>
      <c r="D225" s="15">
        <v>16</v>
      </c>
      <c r="E225" s="19">
        <v>8.7847257740000004E-2</v>
      </c>
      <c r="F225" s="7">
        <v>164.5663514</v>
      </c>
      <c r="G225" s="8">
        <v>41</v>
      </c>
      <c r="H225" s="9">
        <v>8.7138187089999999E-2</v>
      </c>
    </row>
    <row r="226" spans="1:8" ht="16.5" customHeight="1" x14ac:dyDescent="0.2">
      <c r="A226" s="18" t="s">
        <v>184</v>
      </c>
      <c r="B226" s="6" t="s">
        <v>212</v>
      </c>
      <c r="C226" s="7">
        <v>88.773750000000007</v>
      </c>
      <c r="D226" s="15">
        <v>8</v>
      </c>
      <c r="E226" s="19">
        <v>8.7977395720000004E-2</v>
      </c>
      <c r="F226" s="7">
        <v>54.352608699999998</v>
      </c>
      <c r="G226" s="8">
        <v>20</v>
      </c>
      <c r="H226" s="9">
        <v>0.12140264990000001</v>
      </c>
    </row>
    <row r="227" spans="1:8" ht="16.5" customHeight="1" x14ac:dyDescent="0.2">
      <c r="A227" s="14" t="s">
        <v>184</v>
      </c>
      <c r="B227" s="6" t="s">
        <v>213</v>
      </c>
      <c r="C227" s="7">
        <v>249.8</v>
      </c>
      <c r="D227" s="15">
        <v>1</v>
      </c>
      <c r="E227" s="19">
        <v>8.0499065920000001E-2</v>
      </c>
      <c r="F227" s="7">
        <v>249.8</v>
      </c>
      <c r="G227" s="8">
        <v>1</v>
      </c>
      <c r="H227" s="9">
        <v>8.0499065920000001E-2</v>
      </c>
    </row>
    <row r="228" spans="1:8" ht="16.5" customHeight="1" x14ac:dyDescent="0.2">
      <c r="A228" s="18" t="s">
        <v>184</v>
      </c>
      <c r="B228" s="6" t="s">
        <v>214</v>
      </c>
      <c r="C228" s="7">
        <v>27.12</v>
      </c>
      <c r="D228" s="15">
        <v>1</v>
      </c>
      <c r="E228" s="19">
        <v>0.73746312684000004</v>
      </c>
      <c r="F228" s="7">
        <v>35.135814000000003</v>
      </c>
      <c r="G228" s="8">
        <v>16</v>
      </c>
      <c r="H228" s="9">
        <v>0.21645508459000001</v>
      </c>
    </row>
    <row r="229" spans="1:8" ht="16.5" customHeight="1" x14ac:dyDescent="0.2">
      <c r="A229" s="14" t="s">
        <v>184</v>
      </c>
      <c r="B229" s="6" t="s">
        <v>215</v>
      </c>
      <c r="C229" s="7">
        <v>32.4332432</v>
      </c>
      <c r="D229" s="15">
        <v>12</v>
      </c>
      <c r="E229" s="19">
        <v>0.1058065215</v>
      </c>
      <c r="F229" s="7">
        <v>31.770377400000001</v>
      </c>
      <c r="G229" s="8">
        <v>16</v>
      </c>
      <c r="H229" s="9">
        <v>9.9270710230000003E-2</v>
      </c>
    </row>
    <row r="230" spans="1:8" ht="16.5" customHeight="1" x14ac:dyDescent="0.2">
      <c r="A230" s="18" t="s">
        <v>184</v>
      </c>
      <c r="B230" s="6" t="s">
        <v>216</v>
      </c>
      <c r="C230" s="7">
        <v>115.6483333</v>
      </c>
      <c r="D230" s="15">
        <v>17</v>
      </c>
      <c r="E230" s="19">
        <v>0.14835412593</v>
      </c>
      <c r="F230" s="7">
        <v>99.771627899999999</v>
      </c>
      <c r="G230" s="8">
        <v>34</v>
      </c>
      <c r="H230" s="9">
        <v>0.16181574355</v>
      </c>
    </row>
    <row r="231" spans="1:8" ht="16.5" customHeight="1" x14ac:dyDescent="0.2">
      <c r="A231" s="14" t="s">
        <v>184</v>
      </c>
      <c r="B231" s="6" t="s">
        <v>217</v>
      </c>
      <c r="C231" s="7">
        <v>34.4</v>
      </c>
      <c r="D231" s="15">
        <v>5</v>
      </c>
      <c r="E231" s="19">
        <v>0.10657751938</v>
      </c>
      <c r="F231" s="7">
        <v>35.617272700000001</v>
      </c>
      <c r="G231" s="8">
        <v>17</v>
      </c>
      <c r="H231" s="9">
        <v>0.15506861668999999</v>
      </c>
    </row>
    <row r="232" spans="1:8" ht="16.5" customHeight="1" x14ac:dyDescent="0.2">
      <c r="A232" s="18" t="s">
        <v>184</v>
      </c>
      <c r="B232" s="6" t="s">
        <v>218</v>
      </c>
      <c r="C232" s="1"/>
      <c r="D232" s="13"/>
      <c r="E232" s="13"/>
      <c r="F232" s="7">
        <v>202.84</v>
      </c>
      <c r="G232" s="8">
        <v>3</v>
      </c>
      <c r="H232" s="9">
        <v>7.1413922300000002E-2</v>
      </c>
    </row>
    <row r="233" spans="1:8" ht="16.5" customHeight="1" x14ac:dyDescent="0.2">
      <c r="A233" s="14" t="s">
        <v>184</v>
      </c>
      <c r="B233" s="6" t="s">
        <v>219</v>
      </c>
      <c r="C233" s="7">
        <v>145.07124999999999</v>
      </c>
      <c r="D233" s="15">
        <v>8</v>
      </c>
      <c r="E233" s="19">
        <v>8.3510114280000006E-2</v>
      </c>
      <c r="F233" s="7">
        <v>77.104799999999997</v>
      </c>
      <c r="G233" s="8">
        <v>19</v>
      </c>
      <c r="H233" s="9">
        <v>0.10823243170000001</v>
      </c>
    </row>
    <row r="234" spans="1:8" ht="16.5" customHeight="1" x14ac:dyDescent="0.2">
      <c r="A234" s="18" t="s">
        <v>184</v>
      </c>
      <c r="B234" s="6" t="s">
        <v>220</v>
      </c>
      <c r="C234" s="7">
        <v>44.69</v>
      </c>
      <c r="D234" s="15">
        <v>4</v>
      </c>
      <c r="E234" s="19">
        <v>9.9617736999999998E-2</v>
      </c>
      <c r="F234" s="7">
        <v>35.504285699999997</v>
      </c>
      <c r="G234" s="8">
        <v>5</v>
      </c>
      <c r="H234" s="9">
        <v>0.13073539075999999</v>
      </c>
    </row>
    <row r="235" spans="1:8" ht="16.5" customHeight="1" x14ac:dyDescent="0.2">
      <c r="A235" s="14" t="s">
        <v>184</v>
      </c>
      <c r="B235" s="6" t="s">
        <v>221</v>
      </c>
      <c r="C235" s="7">
        <v>164.7161538</v>
      </c>
      <c r="D235" s="15">
        <v>13</v>
      </c>
      <c r="E235" s="19">
        <v>8.2650028880000004E-2</v>
      </c>
      <c r="F235" s="7">
        <v>168.4645946</v>
      </c>
      <c r="G235" s="8">
        <v>31</v>
      </c>
      <c r="H235" s="9">
        <v>7.7496220500000004E-2</v>
      </c>
    </row>
    <row r="236" spans="1:8" ht="16.5" customHeight="1" x14ac:dyDescent="0.2">
      <c r="A236" s="18" t="s">
        <v>184</v>
      </c>
      <c r="B236" s="6" t="s">
        <v>222</v>
      </c>
      <c r="C236" s="7">
        <v>95.4936364</v>
      </c>
      <c r="D236" s="15">
        <v>8</v>
      </c>
      <c r="E236" s="19">
        <v>9.8145045360000002E-2</v>
      </c>
      <c r="F236" s="7">
        <v>81.86</v>
      </c>
      <c r="G236" s="8">
        <v>21</v>
      </c>
      <c r="H236" s="9">
        <v>9.3516980210000003E-2</v>
      </c>
    </row>
    <row r="237" spans="1:8" ht="16.5" customHeight="1" x14ac:dyDescent="0.2">
      <c r="A237" s="14" t="s">
        <v>184</v>
      </c>
      <c r="B237" s="6" t="s">
        <v>223</v>
      </c>
      <c r="C237" s="7">
        <v>183.5</v>
      </c>
      <c r="D237" s="15">
        <v>1</v>
      </c>
      <c r="E237" s="19">
        <v>8.2010899179999999E-2</v>
      </c>
      <c r="F237" s="7">
        <v>214.42857140000001</v>
      </c>
      <c r="G237" s="8">
        <v>5</v>
      </c>
      <c r="H237" s="9">
        <v>7.0092826999999996E-2</v>
      </c>
    </row>
    <row r="238" spans="1:8" ht="16.5" customHeight="1" x14ac:dyDescent="0.2">
      <c r="A238" s="18" t="s">
        <v>184</v>
      </c>
      <c r="B238" s="6" t="s">
        <v>224</v>
      </c>
      <c r="C238" s="1"/>
      <c r="D238" s="13"/>
      <c r="E238" s="13"/>
      <c r="F238" s="7">
        <v>34.637333300000002</v>
      </c>
      <c r="G238" s="8">
        <v>11</v>
      </c>
      <c r="H238" s="9">
        <v>0.14841468422000001</v>
      </c>
    </row>
    <row r="239" spans="1:8" ht="16.5" customHeight="1" x14ac:dyDescent="0.2">
      <c r="A239" s="14" t="s">
        <v>184</v>
      </c>
      <c r="B239" s="6" t="s">
        <v>225</v>
      </c>
      <c r="C239" s="1"/>
      <c r="D239" s="13"/>
      <c r="E239" s="13"/>
      <c r="F239" s="7">
        <v>38.386000000000003</v>
      </c>
      <c r="G239" s="8">
        <v>11</v>
      </c>
      <c r="H239" s="9">
        <v>0.17332476539</v>
      </c>
    </row>
    <row r="240" spans="1:8" ht="16.5" customHeight="1" x14ac:dyDescent="0.2">
      <c r="A240" s="18" t="s">
        <v>184</v>
      </c>
      <c r="B240" s="6" t="s">
        <v>226</v>
      </c>
      <c r="C240" s="7">
        <v>51.508076899999999</v>
      </c>
      <c r="D240" s="15">
        <v>16</v>
      </c>
      <c r="E240" s="19">
        <v>0.11103635726</v>
      </c>
      <c r="F240" s="7">
        <v>49.669391900000001</v>
      </c>
      <c r="G240" s="8">
        <v>41</v>
      </c>
      <c r="H240" s="9">
        <v>0.12703157500000001</v>
      </c>
    </row>
    <row r="241" spans="1:8" ht="16.5" customHeight="1" x14ac:dyDescent="0.2">
      <c r="A241" s="14" t="s">
        <v>184</v>
      </c>
      <c r="B241" s="6" t="s">
        <v>227</v>
      </c>
      <c r="C241" s="1"/>
      <c r="D241" s="13"/>
      <c r="E241" s="13"/>
      <c r="F241" s="7">
        <v>113.4</v>
      </c>
      <c r="G241" s="8">
        <v>2</v>
      </c>
      <c r="H241" s="9">
        <v>8.5509994120000002E-2</v>
      </c>
    </row>
    <row r="242" spans="1:8" ht="16.5" customHeight="1" x14ac:dyDescent="0.2">
      <c r="A242" s="18" t="s">
        <v>184</v>
      </c>
      <c r="B242" s="6" t="s">
        <v>228</v>
      </c>
      <c r="C242" s="7">
        <v>74.858750000000001</v>
      </c>
      <c r="D242" s="15">
        <v>8</v>
      </c>
      <c r="E242" s="19">
        <v>9.0226593420000001E-2</v>
      </c>
      <c r="F242" s="7">
        <v>63.751304300000001</v>
      </c>
      <c r="G242" s="8">
        <v>20</v>
      </c>
      <c r="H242" s="9">
        <v>0.11258445407999999</v>
      </c>
    </row>
    <row r="243" spans="1:8" ht="16.5" customHeight="1" x14ac:dyDescent="0.2">
      <c r="A243" s="14" t="s">
        <v>184</v>
      </c>
      <c r="B243" s="6" t="s">
        <v>229</v>
      </c>
      <c r="C243" s="7">
        <v>71.5485714</v>
      </c>
      <c r="D243" s="15">
        <v>6</v>
      </c>
      <c r="E243" s="19">
        <v>0.11033596891</v>
      </c>
      <c r="F243" s="7">
        <v>48.535925900000002</v>
      </c>
      <c r="G243" s="8">
        <v>21</v>
      </c>
      <c r="H243" s="9">
        <v>0.13384027613999999</v>
      </c>
    </row>
    <row r="244" spans="1:8" ht="16.5" customHeight="1" x14ac:dyDescent="0.2">
      <c r="A244" s="18" t="s">
        <v>184</v>
      </c>
      <c r="B244" s="6" t="s">
        <v>230</v>
      </c>
      <c r="C244" s="7">
        <v>124.1725</v>
      </c>
      <c r="D244" s="15">
        <v>12</v>
      </c>
      <c r="E244" s="19">
        <v>8.471257502E-2</v>
      </c>
      <c r="F244" s="7">
        <v>113.0308824</v>
      </c>
      <c r="G244" s="8">
        <v>29</v>
      </c>
      <c r="H244" s="9">
        <v>9.2209486389999998E-2</v>
      </c>
    </row>
    <row r="245" spans="1:8" ht="16.5" customHeight="1" x14ac:dyDescent="0.2">
      <c r="A245" s="14" t="s">
        <v>184</v>
      </c>
      <c r="B245" s="6" t="s">
        <v>231</v>
      </c>
      <c r="C245" s="7">
        <v>139.35</v>
      </c>
      <c r="D245" s="15">
        <v>8</v>
      </c>
      <c r="E245" s="19">
        <v>8.3797093650000001E-2</v>
      </c>
      <c r="F245" s="7">
        <v>156.30526320000001</v>
      </c>
      <c r="G245" s="8">
        <v>17</v>
      </c>
      <c r="H245" s="9">
        <v>8.4800211010000001E-2</v>
      </c>
    </row>
    <row r="246" spans="1:8" ht="16.5" customHeight="1" x14ac:dyDescent="0.2">
      <c r="A246" s="18" t="s">
        <v>184</v>
      </c>
      <c r="B246" s="6" t="s">
        <v>232</v>
      </c>
      <c r="C246" s="7">
        <v>168.57285709999999</v>
      </c>
      <c r="D246" s="15">
        <v>7</v>
      </c>
      <c r="E246" s="19">
        <v>8.2510317710000003E-2</v>
      </c>
      <c r="F246" s="7">
        <v>173.45947369999999</v>
      </c>
      <c r="G246" s="8">
        <v>16</v>
      </c>
      <c r="H246" s="9">
        <v>7.7442731449999996E-2</v>
      </c>
    </row>
    <row r="247" spans="1:8" ht="16.5" customHeight="1" x14ac:dyDescent="0.2">
      <c r="A247" s="14" t="s">
        <v>184</v>
      </c>
      <c r="B247" s="6" t="s">
        <v>233</v>
      </c>
      <c r="C247" s="7">
        <v>56.142222199999999</v>
      </c>
      <c r="D247" s="15">
        <v>9</v>
      </c>
      <c r="E247" s="19">
        <v>9.4866212790000001E-2</v>
      </c>
      <c r="F247" s="7">
        <v>54.032857100000001</v>
      </c>
      <c r="G247" s="8">
        <v>18</v>
      </c>
      <c r="H247" s="9">
        <v>0.12124956302000001</v>
      </c>
    </row>
    <row r="248" spans="1:8" ht="16.5" customHeight="1" x14ac:dyDescent="0.2">
      <c r="A248" s="18" t="s">
        <v>184</v>
      </c>
      <c r="B248" s="6" t="s">
        <v>234</v>
      </c>
      <c r="C248" s="7">
        <v>91.444444399999995</v>
      </c>
      <c r="D248" s="15">
        <v>9</v>
      </c>
      <c r="E248" s="19">
        <v>8.7709194010000005E-2</v>
      </c>
      <c r="F248" s="7">
        <v>88.414230799999999</v>
      </c>
      <c r="G248" s="8">
        <v>22</v>
      </c>
      <c r="H248" s="9">
        <v>9.6413734299999998E-2</v>
      </c>
    </row>
    <row r="249" spans="1:8" ht="16.5" customHeight="1" x14ac:dyDescent="0.2">
      <c r="A249" s="14" t="s">
        <v>184</v>
      </c>
      <c r="B249" s="6" t="s">
        <v>235</v>
      </c>
      <c r="C249" s="7">
        <v>83.3919231</v>
      </c>
      <c r="D249" s="15">
        <v>24</v>
      </c>
      <c r="E249" s="19">
        <v>9.472601571E-2</v>
      </c>
      <c r="F249" s="7">
        <v>77.5</v>
      </c>
      <c r="G249" s="8">
        <v>68</v>
      </c>
      <c r="H249" s="9">
        <v>0.10301303598</v>
      </c>
    </row>
    <row r="250" spans="1:8" ht="16.5" customHeight="1" x14ac:dyDescent="0.2">
      <c r="A250" s="18" t="s">
        <v>184</v>
      </c>
      <c r="B250" s="6" t="s">
        <v>236</v>
      </c>
      <c r="C250" s="7">
        <v>163.16249999999999</v>
      </c>
      <c r="D250" s="15">
        <v>7</v>
      </c>
      <c r="E250" s="19">
        <v>8.2023800399999999E-2</v>
      </c>
      <c r="F250" s="7">
        <v>167.15</v>
      </c>
      <c r="G250" s="8">
        <v>19</v>
      </c>
      <c r="H250" s="9">
        <v>8.1569531690000002E-2</v>
      </c>
    </row>
    <row r="251" spans="1:8" ht="16.5" customHeight="1" x14ac:dyDescent="0.2">
      <c r="A251" s="14" t="s">
        <v>184</v>
      </c>
      <c r="B251" s="6" t="s">
        <v>237</v>
      </c>
      <c r="C251" s="1"/>
      <c r="D251" s="13"/>
      <c r="E251" s="13"/>
      <c r="F251" s="7">
        <v>28.37</v>
      </c>
      <c r="G251" s="8">
        <v>1</v>
      </c>
      <c r="H251" s="9">
        <v>0.11299494771</v>
      </c>
    </row>
    <row r="252" spans="1:8" ht="16.5" customHeight="1" x14ac:dyDescent="0.2">
      <c r="A252" s="18" t="s">
        <v>184</v>
      </c>
      <c r="B252" s="6" t="s">
        <v>238</v>
      </c>
      <c r="C252" s="7">
        <v>42.385624999999997</v>
      </c>
      <c r="D252" s="15">
        <v>15</v>
      </c>
      <c r="E252" s="19">
        <v>0.11594241365000001</v>
      </c>
      <c r="F252" s="7">
        <v>36.872999999999998</v>
      </c>
      <c r="G252" s="8">
        <v>41</v>
      </c>
      <c r="H252" s="9">
        <v>0.15297028538999999</v>
      </c>
    </row>
    <row r="253" spans="1:8" ht="16.5" customHeight="1" x14ac:dyDescent="0.2">
      <c r="A253" s="14" t="s">
        <v>184</v>
      </c>
      <c r="B253" s="6" t="s">
        <v>239</v>
      </c>
      <c r="C253" s="7">
        <v>12.38</v>
      </c>
      <c r="D253" s="15">
        <v>1</v>
      </c>
      <c r="E253" s="19">
        <v>0.49404954226999998</v>
      </c>
      <c r="F253" s="7">
        <v>19.064444399999999</v>
      </c>
      <c r="G253" s="8">
        <v>18</v>
      </c>
      <c r="H253" s="9">
        <v>0.26704096567000002</v>
      </c>
    </row>
    <row r="254" spans="1:8" ht="16.5" customHeight="1" x14ac:dyDescent="0.2">
      <c r="A254" s="18" t="s">
        <v>184</v>
      </c>
      <c r="B254" s="6" t="s">
        <v>240</v>
      </c>
      <c r="C254" s="7">
        <v>75.364444399999996</v>
      </c>
      <c r="D254" s="15">
        <v>9</v>
      </c>
      <c r="E254" s="19">
        <v>9.0133376579999994E-2</v>
      </c>
      <c r="F254" s="7">
        <v>64.076923100000002</v>
      </c>
      <c r="G254" s="8">
        <v>22</v>
      </c>
      <c r="H254" s="9">
        <v>0.11004661865</v>
      </c>
    </row>
    <row r="255" spans="1:8" ht="16.5" customHeight="1" x14ac:dyDescent="0.2">
      <c r="A255" s="14" t="s">
        <v>184</v>
      </c>
      <c r="B255" s="6" t="s">
        <v>241</v>
      </c>
      <c r="C255" s="7">
        <v>73.281111100000004</v>
      </c>
      <c r="D255" s="15">
        <v>17</v>
      </c>
      <c r="E255" s="19">
        <v>9.6928368180000002E-2</v>
      </c>
      <c r="F255" s="7">
        <v>77.125961500000003</v>
      </c>
      <c r="G255" s="8">
        <v>43</v>
      </c>
      <c r="H255" s="9">
        <v>0.10461142071</v>
      </c>
    </row>
    <row r="256" spans="1:8" ht="16.5" customHeight="1" x14ac:dyDescent="0.2">
      <c r="A256" s="18" t="s">
        <v>184</v>
      </c>
      <c r="B256" s="6" t="s">
        <v>242</v>
      </c>
      <c r="C256" s="7">
        <v>18</v>
      </c>
      <c r="D256" s="15">
        <v>1</v>
      </c>
      <c r="E256" s="19">
        <v>0</v>
      </c>
      <c r="F256" s="7">
        <v>18</v>
      </c>
      <c r="G256" s="8">
        <v>1</v>
      </c>
      <c r="H256" s="9">
        <v>0</v>
      </c>
    </row>
    <row r="257" spans="1:8" ht="16.5" customHeight="1" x14ac:dyDescent="0.2">
      <c r="A257" s="14" t="s">
        <v>184</v>
      </c>
      <c r="B257" s="6" t="s">
        <v>243</v>
      </c>
      <c r="C257" s="7">
        <v>932.72500000000002</v>
      </c>
      <c r="D257" s="15">
        <v>8</v>
      </c>
      <c r="E257" s="19">
        <v>7.7451285209999998E-2</v>
      </c>
      <c r="F257" s="7">
        <v>808.00750000000005</v>
      </c>
      <c r="G257" s="8">
        <v>18</v>
      </c>
      <c r="H257" s="9">
        <v>7.3137708090000003E-2</v>
      </c>
    </row>
    <row r="258" spans="1:8" ht="16.5" customHeight="1" x14ac:dyDescent="0.2">
      <c r="A258" s="18" t="s">
        <v>184</v>
      </c>
      <c r="B258" s="6" t="s">
        <v>244</v>
      </c>
      <c r="C258" s="7">
        <v>60.963000000000001</v>
      </c>
      <c r="D258" s="15">
        <v>8</v>
      </c>
      <c r="E258" s="19">
        <v>0.10911919252000001</v>
      </c>
      <c r="F258" s="7">
        <v>59.005833299999999</v>
      </c>
      <c r="G258" s="8">
        <v>18</v>
      </c>
      <c r="H258" s="9">
        <v>0.13162022587</v>
      </c>
    </row>
    <row r="259" spans="1:8" ht="16.5" customHeight="1" x14ac:dyDescent="0.2">
      <c r="A259" s="14" t="s">
        <v>184</v>
      </c>
      <c r="B259" s="6" t="s">
        <v>245</v>
      </c>
      <c r="C259" s="1"/>
      <c r="D259" s="13"/>
      <c r="E259" s="13"/>
      <c r="F259" s="7">
        <v>171.34</v>
      </c>
      <c r="G259" s="8">
        <v>1</v>
      </c>
      <c r="H259" s="9">
        <v>8.2407299330000003E-2</v>
      </c>
    </row>
    <row r="260" spans="1:8" ht="16.5" customHeight="1" x14ac:dyDescent="0.2">
      <c r="A260" s="18" t="s">
        <v>184</v>
      </c>
      <c r="B260" s="6" t="s">
        <v>246</v>
      </c>
      <c r="C260" s="7">
        <v>152.63736840000001</v>
      </c>
      <c r="D260" s="15">
        <v>18</v>
      </c>
      <c r="E260" s="19">
        <v>8.351269435E-2</v>
      </c>
      <c r="F260" s="7">
        <v>140.90568630000001</v>
      </c>
      <c r="G260" s="8">
        <v>43</v>
      </c>
      <c r="H260" s="9">
        <v>8.5606837559999996E-2</v>
      </c>
    </row>
    <row r="261" spans="1:8" ht="16.5" customHeight="1" x14ac:dyDescent="0.2">
      <c r="A261" s="14" t="s">
        <v>184</v>
      </c>
      <c r="B261" s="6" t="s">
        <v>247</v>
      </c>
      <c r="C261" s="7">
        <v>158.8077778</v>
      </c>
      <c r="D261" s="15">
        <v>9</v>
      </c>
      <c r="E261" s="19">
        <v>8.2884969249999996E-2</v>
      </c>
      <c r="F261" s="7">
        <v>136.6503846</v>
      </c>
      <c r="G261" s="8">
        <v>22</v>
      </c>
      <c r="H261" s="9">
        <v>8.6820943959999994E-2</v>
      </c>
    </row>
    <row r="262" spans="1:8" ht="16.5" customHeight="1" x14ac:dyDescent="0.2">
      <c r="A262" s="18" t="s">
        <v>184</v>
      </c>
      <c r="B262" s="6" t="s">
        <v>248</v>
      </c>
      <c r="C262" s="7">
        <v>119.22333329999999</v>
      </c>
      <c r="D262" s="15">
        <v>9</v>
      </c>
      <c r="E262" s="19">
        <v>8.5055125300000006E-2</v>
      </c>
      <c r="F262" s="7">
        <v>98.705714299999997</v>
      </c>
      <c r="G262" s="8">
        <v>24</v>
      </c>
      <c r="H262" s="9">
        <v>9.2879265929999996E-2</v>
      </c>
    </row>
    <row r="263" spans="1:8" ht="16.5" customHeight="1" x14ac:dyDescent="0.2">
      <c r="A263" s="14" t="s">
        <v>184</v>
      </c>
      <c r="B263" s="6" t="s">
        <v>249</v>
      </c>
      <c r="C263" s="7">
        <v>92.1088235</v>
      </c>
      <c r="D263" s="15">
        <v>16</v>
      </c>
      <c r="E263" s="19">
        <v>9.1818288260000006E-2</v>
      </c>
      <c r="F263" s="7">
        <v>83.986956500000005</v>
      </c>
      <c r="G263" s="8">
        <v>38</v>
      </c>
      <c r="H263" s="9">
        <v>0.10219866783999999</v>
      </c>
    </row>
    <row r="264" spans="1:8" ht="16.5" customHeight="1" x14ac:dyDescent="0.2">
      <c r="A264" s="18" t="s">
        <v>184</v>
      </c>
      <c r="B264" s="6" t="s">
        <v>250</v>
      </c>
      <c r="C264" s="7">
        <v>261.12534879999998</v>
      </c>
      <c r="D264" s="15">
        <v>14</v>
      </c>
      <c r="E264" s="19">
        <v>8.6878350320000006E-2</v>
      </c>
      <c r="F264" s="7">
        <v>253.05301890000001</v>
      </c>
      <c r="G264" s="8">
        <v>28</v>
      </c>
      <c r="H264" s="9">
        <v>7.443074425E-2</v>
      </c>
    </row>
    <row r="265" spans="1:8" ht="16.5" customHeight="1" x14ac:dyDescent="0.2">
      <c r="A265" s="14" t="s">
        <v>184</v>
      </c>
      <c r="B265" s="6" t="s">
        <v>251</v>
      </c>
      <c r="C265" s="7">
        <v>66.265000000000001</v>
      </c>
      <c r="D265" s="15">
        <v>17</v>
      </c>
      <c r="E265" s="19">
        <v>9.8440325179999996E-2</v>
      </c>
      <c r="F265" s="7">
        <v>57.281363599999999</v>
      </c>
      <c r="G265" s="8">
        <v>36</v>
      </c>
      <c r="H265" s="9">
        <v>0.12171894714000001</v>
      </c>
    </row>
    <row r="266" spans="1:8" ht="16.5" customHeight="1" x14ac:dyDescent="0.2">
      <c r="A266" s="18" t="s">
        <v>184</v>
      </c>
      <c r="B266" s="6" t="s">
        <v>252</v>
      </c>
      <c r="C266" s="7">
        <v>45.9755556</v>
      </c>
      <c r="D266" s="15">
        <v>9</v>
      </c>
      <c r="E266" s="19">
        <v>9.8952744610000004E-2</v>
      </c>
      <c r="F266" s="7">
        <v>40.962222199999999</v>
      </c>
      <c r="G266" s="8">
        <v>15</v>
      </c>
      <c r="H266" s="9">
        <v>0.14201884302000001</v>
      </c>
    </row>
    <row r="267" spans="1:8" ht="16.5" customHeight="1" x14ac:dyDescent="0.2">
      <c r="A267" s="14" t="s">
        <v>184</v>
      </c>
      <c r="B267" s="6" t="s">
        <v>253</v>
      </c>
      <c r="C267" s="7">
        <v>677.53445450000004</v>
      </c>
      <c r="D267" s="15">
        <v>36</v>
      </c>
      <c r="E267" s="19">
        <v>7.680325952E-2</v>
      </c>
      <c r="F267" s="7">
        <v>685.34725100000003</v>
      </c>
      <c r="G267" s="8">
        <v>67</v>
      </c>
      <c r="H267" s="9">
        <v>6.6384575099999996E-2</v>
      </c>
    </row>
    <row r="268" spans="1:8" ht="16.5" customHeight="1" x14ac:dyDescent="0.2">
      <c r="A268" s="18" t="s">
        <v>184</v>
      </c>
      <c r="B268" s="6" t="s">
        <v>254</v>
      </c>
      <c r="C268" s="7">
        <v>15.26</v>
      </c>
      <c r="D268" s="15">
        <v>1</v>
      </c>
      <c r="E268" s="19">
        <v>0</v>
      </c>
      <c r="F268" s="7">
        <v>53.33</v>
      </c>
      <c r="G268" s="8">
        <v>2</v>
      </c>
      <c r="H268" s="9">
        <v>0</v>
      </c>
    </row>
    <row r="269" spans="1:8" ht="16.5" customHeight="1" x14ac:dyDescent="0.2">
      <c r="A269" s="14" t="s">
        <v>184</v>
      </c>
      <c r="B269" s="6" t="s">
        <v>255</v>
      </c>
      <c r="C269" s="7">
        <v>130.24</v>
      </c>
      <c r="D269" s="15">
        <v>2</v>
      </c>
      <c r="E269" s="19">
        <v>0</v>
      </c>
      <c r="F269" s="7">
        <v>130.24</v>
      </c>
      <c r="G269" s="8">
        <v>2</v>
      </c>
      <c r="H269" s="9">
        <v>0</v>
      </c>
    </row>
    <row r="270" spans="1:8" ht="16.5" customHeight="1" x14ac:dyDescent="0.2">
      <c r="A270" s="18" t="s">
        <v>184</v>
      </c>
      <c r="B270" s="6" t="s">
        <v>256</v>
      </c>
      <c r="C270" s="7">
        <v>78.277500000000003</v>
      </c>
      <c r="D270" s="15">
        <v>8</v>
      </c>
      <c r="E270" s="19">
        <v>8.9619196659999997E-2</v>
      </c>
      <c r="F270" s="7">
        <v>70.799199999999999</v>
      </c>
      <c r="G270" s="8">
        <v>21</v>
      </c>
      <c r="H270" s="9">
        <v>0.1110688633</v>
      </c>
    </row>
    <row r="271" spans="1:8" ht="16.5" customHeight="1" x14ac:dyDescent="0.2">
      <c r="A271" s="14" t="s">
        <v>184</v>
      </c>
      <c r="B271" s="6" t="s">
        <v>257</v>
      </c>
      <c r="C271" s="7">
        <v>94.226666699999996</v>
      </c>
      <c r="D271" s="15">
        <v>9</v>
      </c>
      <c r="E271" s="19">
        <v>8.7374023240000001E-2</v>
      </c>
      <c r="F271" s="7">
        <v>115.3356522</v>
      </c>
      <c r="G271" s="8">
        <v>20</v>
      </c>
      <c r="H271" s="9">
        <v>8.6625677289999994E-2</v>
      </c>
    </row>
    <row r="272" spans="1:8" ht="16.5" customHeight="1" x14ac:dyDescent="0.2">
      <c r="A272" s="18" t="s">
        <v>184</v>
      </c>
      <c r="B272" s="6" t="s">
        <v>258</v>
      </c>
      <c r="C272" s="7">
        <v>87.320363599999993</v>
      </c>
      <c r="D272" s="15">
        <v>17</v>
      </c>
      <c r="E272" s="19">
        <v>9.1965427200000005E-2</v>
      </c>
      <c r="F272" s="7">
        <v>79.406329099999994</v>
      </c>
      <c r="G272" s="8">
        <v>21</v>
      </c>
      <c r="H272" s="9">
        <v>9.9239450990000005E-2</v>
      </c>
    </row>
    <row r="273" spans="1:8" ht="16.5" customHeight="1" x14ac:dyDescent="0.2">
      <c r="A273" s="14" t="s">
        <v>184</v>
      </c>
      <c r="B273" s="6" t="s">
        <v>259</v>
      </c>
      <c r="C273" s="7">
        <v>73.483636399999995</v>
      </c>
      <c r="D273" s="15">
        <v>17</v>
      </c>
      <c r="E273" s="19">
        <v>9.7265192E-2</v>
      </c>
      <c r="F273" s="7">
        <v>76.140821900000006</v>
      </c>
      <c r="G273" s="8">
        <v>20</v>
      </c>
      <c r="H273" s="9">
        <v>0.10441161654</v>
      </c>
    </row>
    <row r="274" spans="1:8" ht="16.5" customHeight="1" x14ac:dyDescent="0.2">
      <c r="A274" s="18" t="s">
        <v>184</v>
      </c>
      <c r="B274" s="6" t="s">
        <v>260</v>
      </c>
      <c r="C274" s="7">
        <v>188.7816176</v>
      </c>
      <c r="D274" s="15">
        <v>43</v>
      </c>
      <c r="E274" s="19">
        <v>8.3885325009999998E-2</v>
      </c>
      <c r="F274" s="7">
        <v>176.5312275</v>
      </c>
      <c r="G274" s="8">
        <v>93</v>
      </c>
      <c r="H274" s="9">
        <v>8.1842909850000006E-2</v>
      </c>
    </row>
    <row r="275" spans="1:8" ht="16.5" customHeight="1" x14ac:dyDescent="0.2">
      <c r="A275" s="14" t="s">
        <v>184</v>
      </c>
      <c r="B275" s="6" t="s">
        <v>261</v>
      </c>
      <c r="C275" s="7">
        <v>80.305714300000005</v>
      </c>
      <c r="D275" s="15">
        <v>7</v>
      </c>
      <c r="E275" s="19">
        <v>8.9280250470000003E-2</v>
      </c>
      <c r="F275" s="7">
        <v>60.834782599999997</v>
      </c>
      <c r="G275" s="8">
        <v>19</v>
      </c>
      <c r="H275" s="9">
        <v>0.12105369735</v>
      </c>
    </row>
    <row r="276" spans="1:8" ht="16.5" customHeight="1" x14ac:dyDescent="0.2">
      <c r="A276" s="18" t="s">
        <v>184</v>
      </c>
      <c r="B276" s="6" t="s">
        <v>262</v>
      </c>
      <c r="C276" s="7">
        <v>46.183888899999999</v>
      </c>
      <c r="D276" s="15">
        <v>18</v>
      </c>
      <c r="E276" s="19">
        <v>9.8854418530000002E-2</v>
      </c>
      <c r="F276" s="7">
        <v>49.986296299999999</v>
      </c>
      <c r="G276" s="8">
        <v>46</v>
      </c>
      <c r="H276" s="9">
        <v>0.11236104215999999</v>
      </c>
    </row>
    <row r="277" spans="1:8" ht="16.5" customHeight="1" x14ac:dyDescent="0.2">
      <c r="A277" s="14" t="s">
        <v>184</v>
      </c>
      <c r="B277" s="6" t="s">
        <v>263</v>
      </c>
      <c r="C277" s="7">
        <v>155.22666670000001</v>
      </c>
      <c r="D277" s="15">
        <v>9</v>
      </c>
      <c r="E277" s="19">
        <v>8.3034606499999997E-2</v>
      </c>
      <c r="F277" s="7">
        <v>102.3266667</v>
      </c>
      <c r="G277" s="8">
        <v>21</v>
      </c>
      <c r="H277" s="9">
        <v>9.5015961950000005E-2</v>
      </c>
    </row>
    <row r="278" spans="1:8" ht="16.5" customHeight="1" x14ac:dyDescent="0.2">
      <c r="A278" s="18" t="s">
        <v>184</v>
      </c>
      <c r="B278" s="6" t="s">
        <v>173</v>
      </c>
      <c r="C278" s="7">
        <v>85.3</v>
      </c>
      <c r="D278" s="15">
        <v>1</v>
      </c>
      <c r="E278" s="19">
        <v>8.8522860489999994E-2</v>
      </c>
      <c r="F278" s="7">
        <v>85.3</v>
      </c>
      <c r="G278" s="8">
        <v>1</v>
      </c>
      <c r="H278" s="9">
        <v>8.8522860489999994E-2</v>
      </c>
    </row>
    <row r="279" spans="1:8" ht="16.5" customHeight="1" x14ac:dyDescent="0.2">
      <c r="A279" s="14" t="s">
        <v>184</v>
      </c>
      <c r="B279" s="6" t="s">
        <v>264</v>
      </c>
      <c r="C279" s="7">
        <v>236.72</v>
      </c>
      <c r="D279" s="15">
        <v>1</v>
      </c>
      <c r="E279" s="19">
        <v>8.0736735379999994E-2</v>
      </c>
      <c r="F279" s="7">
        <v>236.72</v>
      </c>
      <c r="G279" s="8">
        <v>1</v>
      </c>
      <c r="H279" s="9">
        <v>8.0736735379999994E-2</v>
      </c>
    </row>
    <row r="280" spans="1:8" ht="16.5" customHeight="1" x14ac:dyDescent="0.2">
      <c r="A280" s="18" t="s">
        <v>184</v>
      </c>
      <c r="B280" s="6" t="s">
        <v>265</v>
      </c>
      <c r="C280" s="7">
        <v>276.89</v>
      </c>
      <c r="D280" s="15">
        <v>5</v>
      </c>
      <c r="E280" s="19">
        <v>8.5248515790000007E-2</v>
      </c>
      <c r="F280" s="7">
        <v>305.2667568</v>
      </c>
      <c r="G280" s="8">
        <v>11</v>
      </c>
      <c r="H280" s="9">
        <v>7.4624143530000006E-2</v>
      </c>
    </row>
    <row r="281" spans="1:8" ht="16.5" customHeight="1" x14ac:dyDescent="0.2">
      <c r="A281" s="14" t="s">
        <v>184</v>
      </c>
      <c r="B281" s="6" t="s">
        <v>266</v>
      </c>
      <c r="C281" s="7">
        <v>1142.3251723999999</v>
      </c>
      <c r="D281" s="15">
        <v>20</v>
      </c>
      <c r="E281" s="19">
        <v>8.4441594169999995E-2</v>
      </c>
      <c r="F281" s="7">
        <v>931.33970590000001</v>
      </c>
      <c r="G281" s="8">
        <v>40</v>
      </c>
      <c r="H281" s="9">
        <v>7.5318319120000005E-2</v>
      </c>
    </row>
    <row r="282" spans="1:8" ht="16.5" customHeight="1" x14ac:dyDescent="0.2">
      <c r="A282" s="18" t="s">
        <v>184</v>
      </c>
      <c r="B282" s="6" t="s">
        <v>267</v>
      </c>
      <c r="C282" s="7">
        <v>152.30000000000001</v>
      </c>
      <c r="D282" s="15">
        <v>1</v>
      </c>
      <c r="E282" s="19">
        <v>0.13554169401999999</v>
      </c>
      <c r="F282" s="7">
        <v>229.8</v>
      </c>
      <c r="G282" s="8">
        <v>3</v>
      </c>
      <c r="H282" s="9">
        <v>0.11636858138</v>
      </c>
    </row>
    <row r="283" spans="1:8" ht="16.5" customHeight="1" x14ac:dyDescent="0.2">
      <c r="A283" s="14" t="s">
        <v>184</v>
      </c>
      <c r="B283" s="6" t="s">
        <v>268</v>
      </c>
      <c r="C283" s="7">
        <v>366.153211</v>
      </c>
      <c r="D283" s="15">
        <v>35</v>
      </c>
      <c r="E283" s="19">
        <v>7.7430137780000005E-2</v>
      </c>
      <c r="F283" s="7">
        <v>398.5065798</v>
      </c>
      <c r="G283" s="8">
        <v>86</v>
      </c>
      <c r="H283" s="9">
        <v>7.5068014520000004E-2</v>
      </c>
    </row>
    <row r="284" spans="1:8" ht="16.5" customHeight="1" x14ac:dyDescent="0.2">
      <c r="A284" s="18" t="s">
        <v>184</v>
      </c>
      <c r="B284" s="6" t="s">
        <v>269</v>
      </c>
      <c r="C284" s="7">
        <v>83.648947399999997</v>
      </c>
      <c r="D284" s="15">
        <v>7</v>
      </c>
      <c r="E284" s="19">
        <v>0.11001679953</v>
      </c>
      <c r="F284" s="7">
        <v>65.147049199999998</v>
      </c>
      <c r="G284" s="8">
        <v>17</v>
      </c>
      <c r="H284" s="9">
        <v>0.12490506974</v>
      </c>
    </row>
    <row r="285" spans="1:8" ht="16.5" customHeight="1" x14ac:dyDescent="0.2">
      <c r="A285" s="14" t="s">
        <v>184</v>
      </c>
      <c r="B285" s="6" t="s">
        <v>270</v>
      </c>
      <c r="C285" s="7">
        <v>68.757727299999999</v>
      </c>
      <c r="D285" s="15">
        <v>8</v>
      </c>
      <c r="E285" s="19">
        <v>0.10099294625000001</v>
      </c>
      <c r="F285" s="7">
        <v>51.292786900000003</v>
      </c>
      <c r="G285" s="8">
        <v>19</v>
      </c>
      <c r="H285" s="9">
        <v>0.1219773336</v>
      </c>
    </row>
    <row r="286" spans="1:8" ht="16.5" customHeight="1" x14ac:dyDescent="0.2">
      <c r="A286" s="18" t="s">
        <v>184</v>
      </c>
      <c r="B286" s="6" t="s">
        <v>271</v>
      </c>
      <c r="C286" s="7">
        <v>54.831111100000001</v>
      </c>
      <c r="D286" s="15">
        <v>9</v>
      </c>
      <c r="E286" s="19">
        <v>9.5291940229999997E-2</v>
      </c>
      <c r="F286" s="7">
        <v>61.48</v>
      </c>
      <c r="G286" s="8">
        <v>19</v>
      </c>
      <c r="H286" s="9">
        <v>0.10887305060999999</v>
      </c>
    </row>
    <row r="287" spans="1:8" ht="16.5" customHeight="1" x14ac:dyDescent="0.2">
      <c r="A287" s="14" t="s">
        <v>184</v>
      </c>
      <c r="B287" s="6" t="s">
        <v>272</v>
      </c>
      <c r="C287" s="7">
        <v>144.5733333</v>
      </c>
      <c r="D287" s="15">
        <v>9</v>
      </c>
      <c r="E287" s="19">
        <v>8.3532130299999993E-2</v>
      </c>
      <c r="F287" s="7">
        <v>135.47269230000001</v>
      </c>
      <c r="G287" s="8">
        <v>22</v>
      </c>
      <c r="H287" s="9">
        <v>9.1408430309999997E-2</v>
      </c>
    </row>
    <row r="288" spans="1:8" ht="16.5" customHeight="1" x14ac:dyDescent="0.2">
      <c r="A288" s="18" t="s">
        <v>184</v>
      </c>
      <c r="B288" s="6" t="s">
        <v>273</v>
      </c>
      <c r="C288" s="7">
        <v>45.186428599999999</v>
      </c>
      <c r="D288" s="15">
        <v>14</v>
      </c>
      <c r="E288" s="19">
        <v>9.9346095280000005E-2</v>
      </c>
      <c r="F288" s="7">
        <v>43.681904799999998</v>
      </c>
      <c r="G288" s="8">
        <v>34</v>
      </c>
      <c r="H288" s="9">
        <v>0.12921953807</v>
      </c>
    </row>
    <row r="289" spans="1:8" ht="16.5" customHeight="1" x14ac:dyDescent="0.2">
      <c r="A289" s="14" t="s">
        <v>184</v>
      </c>
      <c r="B289" s="6" t="s">
        <v>274</v>
      </c>
      <c r="C289" s="7">
        <v>441.61</v>
      </c>
      <c r="D289" s="15">
        <v>2</v>
      </c>
      <c r="E289" s="19">
        <v>7.869122831E-2</v>
      </c>
      <c r="F289" s="7">
        <v>420.14285710000001</v>
      </c>
      <c r="G289" s="8">
        <v>5</v>
      </c>
      <c r="H289" s="9">
        <v>6.38805395E-2</v>
      </c>
    </row>
    <row r="290" spans="1:8" ht="16.5" customHeight="1" x14ac:dyDescent="0.2">
      <c r="A290" s="18" t="s">
        <v>184</v>
      </c>
      <c r="B290" s="6" t="s">
        <v>275</v>
      </c>
      <c r="C290" s="7">
        <v>92.936666700000004</v>
      </c>
      <c r="D290" s="15">
        <v>9</v>
      </c>
      <c r="E290" s="19">
        <v>8.7523562439999994E-2</v>
      </c>
      <c r="F290" s="7">
        <v>74.457857099999998</v>
      </c>
      <c r="G290" s="8">
        <v>22</v>
      </c>
      <c r="H290" s="9">
        <v>0.11457727765</v>
      </c>
    </row>
    <row r="291" spans="1:8" ht="16.5" customHeight="1" x14ac:dyDescent="0.2">
      <c r="A291" s="14" t="s">
        <v>184</v>
      </c>
      <c r="B291" s="6" t="s">
        <v>276</v>
      </c>
      <c r="C291" s="7">
        <v>283.54846149999997</v>
      </c>
      <c r="D291" s="15">
        <v>37</v>
      </c>
      <c r="E291" s="19">
        <v>7.7882856370000003E-2</v>
      </c>
      <c r="F291" s="7">
        <v>255.59126319999999</v>
      </c>
      <c r="G291" s="8">
        <v>78</v>
      </c>
      <c r="H291" s="9">
        <v>7.4652402120000003E-2</v>
      </c>
    </row>
    <row r="292" spans="1:8" ht="16.5" customHeight="1" x14ac:dyDescent="0.2">
      <c r="A292" s="18" t="s">
        <v>184</v>
      </c>
      <c r="B292" s="6" t="s">
        <v>277</v>
      </c>
      <c r="C292" s="7">
        <v>261.3690909</v>
      </c>
      <c r="D292" s="15">
        <v>10</v>
      </c>
      <c r="E292" s="19">
        <v>8.0315889060000006E-2</v>
      </c>
      <c r="F292" s="7">
        <v>305.82153849999997</v>
      </c>
      <c r="G292" s="8">
        <v>21</v>
      </c>
      <c r="H292" s="9">
        <v>7.4378596869999994E-2</v>
      </c>
    </row>
    <row r="293" spans="1:8" ht="16.5" customHeight="1" x14ac:dyDescent="0.2">
      <c r="A293" s="14" t="s">
        <v>184</v>
      </c>
      <c r="B293" s="6" t="s">
        <v>278</v>
      </c>
      <c r="C293" s="7">
        <v>203</v>
      </c>
      <c r="D293" s="15">
        <v>1</v>
      </c>
      <c r="E293" s="19">
        <v>0</v>
      </c>
      <c r="F293" s="7">
        <v>203</v>
      </c>
      <c r="G293" s="8">
        <v>1</v>
      </c>
      <c r="H293" s="9">
        <v>0</v>
      </c>
    </row>
    <row r="294" spans="1:8" ht="16.5" customHeight="1" x14ac:dyDescent="0.2">
      <c r="A294" s="18" t="s">
        <v>184</v>
      </c>
      <c r="B294" s="6" t="s">
        <v>279</v>
      </c>
      <c r="C294" s="1"/>
      <c r="D294" s="13"/>
      <c r="E294" s="13"/>
      <c r="F294" s="7">
        <v>30.91</v>
      </c>
      <c r="G294" s="8">
        <v>1</v>
      </c>
      <c r="H294" s="9">
        <v>0.10995362881</v>
      </c>
    </row>
    <row r="295" spans="1:8" ht="16.5" customHeight="1" x14ac:dyDescent="0.2">
      <c r="A295" s="14" t="s">
        <v>280</v>
      </c>
      <c r="B295" s="6" t="s">
        <v>281</v>
      </c>
      <c r="C295" s="7">
        <v>125.80214290000001</v>
      </c>
      <c r="D295" s="15">
        <v>20</v>
      </c>
      <c r="E295" s="19">
        <v>0.11593446058</v>
      </c>
      <c r="F295" s="7">
        <v>101.8621831</v>
      </c>
      <c r="G295" s="8">
        <v>46</v>
      </c>
      <c r="H295" s="9">
        <v>0.12985240344999999</v>
      </c>
    </row>
    <row r="296" spans="1:8" ht="16.5" customHeight="1" x14ac:dyDescent="0.2">
      <c r="A296" s="18" t="s">
        <v>280</v>
      </c>
      <c r="B296" s="6" t="s">
        <v>282</v>
      </c>
      <c r="C296" s="7">
        <v>233.97575760000001</v>
      </c>
      <c r="D296" s="15">
        <v>12</v>
      </c>
      <c r="E296" s="19">
        <v>0.27515243744000001</v>
      </c>
      <c r="F296" s="7">
        <v>233.97575760000001</v>
      </c>
      <c r="G296" s="8">
        <v>12</v>
      </c>
      <c r="H296" s="9">
        <v>0.27515243744000001</v>
      </c>
    </row>
    <row r="297" spans="1:8" ht="16.5" customHeight="1" x14ac:dyDescent="0.2">
      <c r="A297" s="18" t="s">
        <v>280</v>
      </c>
      <c r="B297" s="6" t="s">
        <v>283</v>
      </c>
      <c r="C297" s="7">
        <v>167.92372549999999</v>
      </c>
      <c r="D297" s="15">
        <v>18</v>
      </c>
      <c r="E297" s="19">
        <v>0.21828246017</v>
      </c>
      <c r="F297" s="7">
        <v>161.25102190000001</v>
      </c>
      <c r="G297" s="8">
        <v>44</v>
      </c>
      <c r="H297" s="9">
        <v>0.22425343085999999</v>
      </c>
    </row>
    <row r="298" spans="1:8" ht="16.5" customHeight="1" x14ac:dyDescent="0.2">
      <c r="A298" s="18" t="s">
        <v>280</v>
      </c>
      <c r="B298" s="6" t="s">
        <v>284</v>
      </c>
      <c r="C298" s="7">
        <v>43.0296296</v>
      </c>
      <c r="D298" s="15">
        <v>10</v>
      </c>
      <c r="E298" s="19">
        <v>0.34543294886999998</v>
      </c>
      <c r="F298" s="7">
        <v>43.0296296</v>
      </c>
      <c r="G298" s="8">
        <v>10</v>
      </c>
      <c r="H298" s="9">
        <v>0.34543294886999998</v>
      </c>
    </row>
    <row r="299" spans="1:8" ht="16.5" customHeight="1" x14ac:dyDescent="0.2">
      <c r="A299" s="18" t="s">
        <v>280</v>
      </c>
      <c r="B299" s="6" t="s">
        <v>285</v>
      </c>
      <c r="C299" s="1"/>
      <c r="D299" s="13"/>
      <c r="E299" s="13"/>
      <c r="F299" s="7">
        <v>44.917586200000002</v>
      </c>
      <c r="G299" s="8">
        <v>9</v>
      </c>
      <c r="H299" s="9">
        <v>0.35830371330999999</v>
      </c>
    </row>
    <row r="300" spans="1:8" ht="16.5" customHeight="1" x14ac:dyDescent="0.2">
      <c r="A300" s="17" t="s">
        <v>280</v>
      </c>
      <c r="B300" s="6" t="s">
        <v>286</v>
      </c>
      <c r="C300" s="7">
        <v>56.980499999999999</v>
      </c>
      <c r="D300" s="15">
        <v>21</v>
      </c>
      <c r="E300" s="19">
        <v>0.29731019090999999</v>
      </c>
      <c r="F300" s="7">
        <v>65.623286699999994</v>
      </c>
      <c r="G300" s="8">
        <v>46</v>
      </c>
      <c r="H300" s="9">
        <v>0.27992877336999999</v>
      </c>
    </row>
    <row r="301" spans="1:8" ht="16.5" customHeight="1" x14ac:dyDescent="0.2">
      <c r="A301" s="14" t="s">
        <v>287</v>
      </c>
      <c r="B301" s="6" t="s">
        <v>288</v>
      </c>
      <c r="C301" s="7">
        <v>172.48374999999999</v>
      </c>
      <c r="D301" s="15">
        <v>39</v>
      </c>
      <c r="E301" s="19">
        <v>0.23508997224</v>
      </c>
      <c r="F301" s="7">
        <v>151.45051280000001</v>
      </c>
      <c r="G301" s="8">
        <v>76</v>
      </c>
      <c r="H301" s="9">
        <v>0.24042782021</v>
      </c>
    </row>
    <row r="302" spans="1:8" ht="16.5" customHeight="1" x14ac:dyDescent="0.2">
      <c r="A302" s="17" t="s">
        <v>287</v>
      </c>
      <c r="B302" s="6" t="s">
        <v>289</v>
      </c>
      <c r="C302" s="1"/>
      <c r="D302" s="13"/>
      <c r="E302" s="13"/>
      <c r="F302" s="7">
        <v>32.43</v>
      </c>
      <c r="G302" s="8">
        <v>1</v>
      </c>
      <c r="H302" s="9">
        <v>0.14609929078</v>
      </c>
    </row>
    <row r="303" spans="1:8" ht="16.5" customHeight="1" x14ac:dyDescent="0.2">
      <c r="A303" s="14" t="s">
        <v>290</v>
      </c>
      <c r="B303" s="6" t="s">
        <v>188</v>
      </c>
      <c r="C303" s="1"/>
      <c r="D303" s="13"/>
      <c r="E303" s="13"/>
      <c r="F303" s="7">
        <v>460.69333330000001</v>
      </c>
      <c r="G303" s="8">
        <v>6</v>
      </c>
      <c r="H303" s="9">
        <v>0.15394857750999999</v>
      </c>
    </row>
    <row r="304" spans="1:8" ht="16.5" customHeight="1" x14ac:dyDescent="0.2">
      <c r="A304" s="17" t="s">
        <v>290</v>
      </c>
      <c r="B304" s="6" t="s">
        <v>268</v>
      </c>
      <c r="C304" s="7">
        <v>655.92499999999995</v>
      </c>
      <c r="D304" s="15">
        <v>2</v>
      </c>
      <c r="E304" s="19">
        <v>7.2120288140000002E-2</v>
      </c>
      <c r="F304" s="7">
        <v>655.92499999999995</v>
      </c>
      <c r="G304" s="8">
        <v>2</v>
      </c>
      <c r="H304" s="9">
        <v>7.2120288140000002E-2</v>
      </c>
    </row>
    <row r="305" spans="1:8" ht="16.5" customHeight="1" x14ac:dyDescent="0.2">
      <c r="A305" s="14" t="s">
        <v>291</v>
      </c>
      <c r="B305" s="6" t="s">
        <v>292</v>
      </c>
      <c r="C305" s="7">
        <v>27.894666699999998</v>
      </c>
      <c r="D305" s="15">
        <v>10</v>
      </c>
      <c r="E305" s="19">
        <v>0.70687347640999998</v>
      </c>
      <c r="F305" s="7">
        <v>42.0129412</v>
      </c>
      <c r="G305" s="8">
        <v>12</v>
      </c>
      <c r="H305" s="9">
        <v>0.41411609867999999</v>
      </c>
    </row>
    <row r="306" spans="1:8" ht="16.5" customHeight="1" x14ac:dyDescent="0.2">
      <c r="A306" s="18" t="s">
        <v>291</v>
      </c>
      <c r="B306" s="6" t="s">
        <v>293</v>
      </c>
      <c r="C306" s="7">
        <v>81.228800000000007</v>
      </c>
      <c r="D306" s="15">
        <v>17</v>
      </c>
      <c r="E306" s="19">
        <v>0.24936968169000001</v>
      </c>
      <c r="F306" s="7">
        <v>76.007118599999998</v>
      </c>
      <c r="G306" s="8">
        <v>43</v>
      </c>
      <c r="H306" s="9">
        <v>0.22584860472000001</v>
      </c>
    </row>
    <row r="307" spans="1:8" ht="16.5" customHeight="1" x14ac:dyDescent="0.2">
      <c r="A307" s="14" t="s">
        <v>291</v>
      </c>
      <c r="B307" s="6" t="s">
        <v>294</v>
      </c>
      <c r="C307" s="7">
        <v>130.5907143</v>
      </c>
      <c r="D307" s="15">
        <v>9</v>
      </c>
      <c r="E307" s="19">
        <v>0.28941020746000001</v>
      </c>
      <c r="F307" s="7">
        <v>121.7055172</v>
      </c>
      <c r="G307" s="8">
        <v>20</v>
      </c>
      <c r="H307" s="9">
        <v>0.28955930936000002</v>
      </c>
    </row>
    <row r="308" spans="1:8" ht="16.5" customHeight="1" x14ac:dyDescent="0.2">
      <c r="A308" s="18" t="s">
        <v>291</v>
      </c>
      <c r="B308" s="6" t="s">
        <v>121</v>
      </c>
      <c r="C308" s="1"/>
      <c r="D308" s="13"/>
      <c r="E308" s="13"/>
      <c r="F308" s="7">
        <v>17.7854545</v>
      </c>
      <c r="G308" s="8">
        <v>9</v>
      </c>
      <c r="H308" s="9">
        <v>0.67887446330000001</v>
      </c>
    </row>
    <row r="309" spans="1:8" ht="16.5" customHeight="1" x14ac:dyDescent="0.2">
      <c r="A309" s="14" t="s">
        <v>291</v>
      </c>
      <c r="B309" s="6" t="s">
        <v>122</v>
      </c>
      <c r="C309" s="1"/>
      <c r="D309" s="13"/>
      <c r="E309" s="13"/>
      <c r="F309" s="7">
        <v>18.0227273</v>
      </c>
      <c r="G309" s="8">
        <v>8</v>
      </c>
      <c r="H309" s="9">
        <v>0.67376040353</v>
      </c>
    </row>
    <row r="310" spans="1:8" ht="16.5" customHeight="1" x14ac:dyDescent="0.2">
      <c r="A310" s="18" t="s">
        <v>291</v>
      </c>
      <c r="B310" s="6" t="s">
        <v>123</v>
      </c>
      <c r="C310" s="1"/>
      <c r="D310" s="13"/>
      <c r="E310" s="13"/>
      <c r="F310" s="7">
        <v>33.345714299999997</v>
      </c>
      <c r="G310" s="8">
        <v>13</v>
      </c>
      <c r="H310" s="9">
        <v>0.45731728215</v>
      </c>
    </row>
    <row r="311" spans="1:8" ht="16.5" customHeight="1" x14ac:dyDescent="0.2">
      <c r="A311" s="14" t="s">
        <v>291</v>
      </c>
      <c r="B311" s="6" t="s">
        <v>21</v>
      </c>
      <c r="C311" s="1"/>
      <c r="D311" s="13"/>
      <c r="E311" s="13"/>
      <c r="F311" s="7">
        <v>31.404285699999999</v>
      </c>
      <c r="G311" s="8">
        <v>6</v>
      </c>
      <c r="H311" s="9">
        <v>0.59089751171000005</v>
      </c>
    </row>
    <row r="312" spans="1:8" ht="16.5" customHeight="1" x14ac:dyDescent="0.2">
      <c r="A312" s="18" t="s">
        <v>291</v>
      </c>
      <c r="B312" s="6" t="s">
        <v>124</v>
      </c>
      <c r="C312" s="1"/>
      <c r="D312" s="13"/>
      <c r="E312" s="13"/>
      <c r="F312" s="7">
        <v>17.662500000000001</v>
      </c>
      <c r="G312" s="8">
        <v>9</v>
      </c>
      <c r="H312" s="9">
        <v>0.66011323425000001</v>
      </c>
    </row>
    <row r="313" spans="1:8" ht="16.5" customHeight="1" x14ac:dyDescent="0.2">
      <c r="A313" s="14" t="s">
        <v>291</v>
      </c>
      <c r="B313" s="6" t="s">
        <v>125</v>
      </c>
      <c r="C313" s="1"/>
      <c r="D313" s="13"/>
      <c r="E313" s="13"/>
      <c r="F313" s="7">
        <v>17.687999999999999</v>
      </c>
      <c r="G313" s="8">
        <v>4</v>
      </c>
      <c r="H313" s="9">
        <v>0.97852781547000001</v>
      </c>
    </row>
    <row r="314" spans="1:8" ht="16.5" customHeight="1" x14ac:dyDescent="0.2">
      <c r="A314" s="18" t="s">
        <v>291</v>
      </c>
      <c r="B314" s="6" t="s">
        <v>126</v>
      </c>
      <c r="C314" s="1"/>
      <c r="D314" s="13"/>
      <c r="E314" s="13"/>
      <c r="F314" s="7">
        <v>18.185454499999999</v>
      </c>
      <c r="G314" s="8">
        <v>8</v>
      </c>
      <c r="H314" s="9">
        <v>0.66722155568999997</v>
      </c>
    </row>
    <row r="315" spans="1:8" ht="16.5" customHeight="1" x14ac:dyDescent="0.2">
      <c r="A315" s="14" t="s">
        <v>291</v>
      </c>
      <c r="B315" s="6" t="s">
        <v>104</v>
      </c>
      <c r="C315" s="1"/>
      <c r="D315" s="13"/>
      <c r="E315" s="13"/>
      <c r="F315" s="7">
        <v>18.673333299999999</v>
      </c>
      <c r="G315" s="8">
        <v>3</v>
      </c>
      <c r="H315" s="9">
        <v>0.41979650125000001</v>
      </c>
    </row>
    <row r="316" spans="1:8" ht="16.5" customHeight="1" x14ac:dyDescent="0.2">
      <c r="A316" s="18" t="s">
        <v>291</v>
      </c>
      <c r="B316" s="6" t="s">
        <v>105</v>
      </c>
      <c r="C316" s="1"/>
      <c r="D316" s="13"/>
      <c r="E316" s="13"/>
      <c r="F316" s="7">
        <v>26.73</v>
      </c>
      <c r="G316" s="8">
        <v>3</v>
      </c>
      <c r="H316" s="9">
        <v>0.36936026935999999</v>
      </c>
    </row>
    <row r="317" spans="1:8" ht="16.5" customHeight="1" x14ac:dyDescent="0.2">
      <c r="A317" s="14" t="s">
        <v>291</v>
      </c>
      <c r="B317" s="6" t="s">
        <v>106</v>
      </c>
      <c r="C317" s="1"/>
      <c r="D317" s="13"/>
      <c r="E317" s="13"/>
      <c r="F317" s="7">
        <v>22.192499999999999</v>
      </c>
      <c r="G317" s="8">
        <v>4</v>
      </c>
      <c r="H317" s="9">
        <v>0.39318463445000001</v>
      </c>
    </row>
    <row r="318" spans="1:8" ht="16.5" customHeight="1" x14ac:dyDescent="0.2">
      <c r="A318" s="18" t="s">
        <v>291</v>
      </c>
      <c r="B318" s="6" t="s">
        <v>127</v>
      </c>
      <c r="C318" s="1"/>
      <c r="D318" s="13"/>
      <c r="E318" s="13"/>
      <c r="F318" s="7">
        <v>35.071538500000003</v>
      </c>
      <c r="G318" s="8">
        <v>13</v>
      </c>
      <c r="H318" s="9">
        <v>0.34155462461000002</v>
      </c>
    </row>
    <row r="319" spans="1:8" ht="16.5" customHeight="1" x14ac:dyDescent="0.2">
      <c r="A319" s="14" t="s">
        <v>291</v>
      </c>
      <c r="B319" s="6" t="s">
        <v>128</v>
      </c>
      <c r="C319" s="1"/>
      <c r="D319" s="13"/>
      <c r="E319" s="13"/>
      <c r="F319" s="7">
        <v>21.6245455</v>
      </c>
      <c r="G319" s="8">
        <v>9</v>
      </c>
      <c r="H319" s="9">
        <v>0.60517509564000005</v>
      </c>
    </row>
    <row r="320" spans="1:8" ht="16.5" customHeight="1" x14ac:dyDescent="0.2">
      <c r="A320" s="18" t="s">
        <v>291</v>
      </c>
      <c r="B320" s="6" t="s">
        <v>31</v>
      </c>
      <c r="C320" s="1"/>
      <c r="D320" s="13"/>
      <c r="E320" s="13"/>
      <c r="F320" s="7">
        <v>19.136666699999999</v>
      </c>
      <c r="G320" s="8">
        <v>5</v>
      </c>
      <c r="H320" s="9">
        <v>0.84052429890000002</v>
      </c>
    </row>
    <row r="321" spans="1:8" ht="16.5" customHeight="1" x14ac:dyDescent="0.2">
      <c r="A321" s="14" t="s">
        <v>291</v>
      </c>
      <c r="B321" s="6" t="s">
        <v>107</v>
      </c>
      <c r="C321" s="1"/>
      <c r="D321" s="13"/>
      <c r="E321" s="13"/>
      <c r="F321" s="7">
        <v>67.872857100000004</v>
      </c>
      <c r="G321" s="8">
        <v>7</v>
      </c>
      <c r="H321" s="9">
        <v>0.29861295279</v>
      </c>
    </row>
    <row r="322" spans="1:8" ht="16.5" customHeight="1" x14ac:dyDescent="0.2">
      <c r="A322" s="18" t="s">
        <v>291</v>
      </c>
      <c r="B322" s="6" t="s">
        <v>108</v>
      </c>
      <c r="C322" s="1"/>
      <c r="D322" s="13"/>
      <c r="E322" s="13"/>
      <c r="F322" s="7">
        <v>20.28</v>
      </c>
      <c r="G322" s="8">
        <v>2</v>
      </c>
      <c r="H322" s="9">
        <v>0.40660749506999999</v>
      </c>
    </row>
    <row r="323" spans="1:8" ht="16.5" customHeight="1" x14ac:dyDescent="0.2">
      <c r="A323" s="14" t="s">
        <v>291</v>
      </c>
      <c r="B323" s="6" t="s">
        <v>109</v>
      </c>
      <c r="C323" s="1"/>
      <c r="D323" s="13"/>
      <c r="E323" s="13"/>
      <c r="F323" s="7">
        <v>31.355</v>
      </c>
      <c r="G323" s="8">
        <v>2</v>
      </c>
      <c r="H323" s="9">
        <v>0.35214479349</v>
      </c>
    </row>
    <row r="324" spans="1:8" ht="16.5" customHeight="1" x14ac:dyDescent="0.2">
      <c r="A324" s="18" t="s">
        <v>291</v>
      </c>
      <c r="B324" s="6" t="s">
        <v>130</v>
      </c>
      <c r="C324" s="1"/>
      <c r="D324" s="13"/>
      <c r="E324" s="13"/>
      <c r="F324" s="7">
        <v>34.003571399999998</v>
      </c>
      <c r="G324" s="8">
        <v>14</v>
      </c>
      <c r="H324" s="9">
        <v>0.34437979204000002</v>
      </c>
    </row>
    <row r="325" spans="1:8" ht="16.5" customHeight="1" x14ac:dyDescent="0.2">
      <c r="A325" s="14" t="s">
        <v>291</v>
      </c>
      <c r="B325" s="6" t="s">
        <v>110</v>
      </c>
      <c r="C325" s="1"/>
      <c r="D325" s="13"/>
      <c r="E325" s="13"/>
      <c r="F325" s="7">
        <v>17.4590909</v>
      </c>
      <c r="G325" s="8">
        <v>11</v>
      </c>
      <c r="H325" s="9">
        <v>0.43129393386999998</v>
      </c>
    </row>
    <row r="326" spans="1:8" ht="16.5" customHeight="1" x14ac:dyDescent="0.2">
      <c r="A326" s="18" t="s">
        <v>291</v>
      </c>
      <c r="B326" s="6" t="s">
        <v>41</v>
      </c>
      <c r="C326" s="1"/>
      <c r="D326" s="13"/>
      <c r="E326" s="13"/>
      <c r="F326" s="7">
        <v>18.38</v>
      </c>
      <c r="G326" s="8">
        <v>4</v>
      </c>
      <c r="H326" s="9">
        <v>0.42245647443000001</v>
      </c>
    </row>
    <row r="327" spans="1:8" ht="16.5" customHeight="1" x14ac:dyDescent="0.2">
      <c r="A327" s="14" t="s">
        <v>291</v>
      </c>
      <c r="B327" s="6" t="s">
        <v>42</v>
      </c>
      <c r="C327" s="1"/>
      <c r="D327" s="13"/>
      <c r="E327" s="13"/>
      <c r="F327" s="7">
        <v>19.437142900000001</v>
      </c>
      <c r="G327" s="8">
        <v>6</v>
      </c>
      <c r="H327" s="9">
        <v>0.76991033367999995</v>
      </c>
    </row>
    <row r="328" spans="1:8" ht="16.5" customHeight="1" x14ac:dyDescent="0.2">
      <c r="A328" s="18" t="s">
        <v>291</v>
      </c>
      <c r="B328" s="6" t="s">
        <v>131</v>
      </c>
      <c r="C328" s="1"/>
      <c r="D328" s="13"/>
      <c r="E328" s="13"/>
      <c r="F328" s="7">
        <v>18.2075</v>
      </c>
      <c r="G328" s="8">
        <v>4</v>
      </c>
      <c r="H328" s="9">
        <v>0.42387752299999998</v>
      </c>
    </row>
    <row r="329" spans="1:8" ht="16.5" customHeight="1" x14ac:dyDescent="0.2">
      <c r="A329" s="14" t="s">
        <v>291</v>
      </c>
      <c r="B329" s="6" t="s">
        <v>49</v>
      </c>
      <c r="C329" s="1"/>
      <c r="D329" s="13"/>
      <c r="E329" s="13"/>
      <c r="F329" s="7">
        <v>16.725000000000001</v>
      </c>
      <c r="G329" s="8">
        <v>2</v>
      </c>
      <c r="H329" s="9">
        <v>0.43931240657999998</v>
      </c>
    </row>
    <row r="330" spans="1:8" ht="16.5" customHeight="1" x14ac:dyDescent="0.2">
      <c r="A330" s="18" t="s">
        <v>291</v>
      </c>
      <c r="B330" s="6" t="s">
        <v>50</v>
      </c>
      <c r="C330" s="1"/>
      <c r="D330" s="13"/>
      <c r="E330" s="13"/>
      <c r="F330" s="7">
        <v>30.01</v>
      </c>
      <c r="G330" s="8">
        <v>5</v>
      </c>
      <c r="H330" s="9">
        <v>0.64791736087999996</v>
      </c>
    </row>
    <row r="331" spans="1:8" ht="16.5" customHeight="1" x14ac:dyDescent="0.2">
      <c r="A331" s="14" t="s">
        <v>291</v>
      </c>
      <c r="B331" s="6" t="s">
        <v>295</v>
      </c>
      <c r="C331" s="7">
        <v>106.23520000000001</v>
      </c>
      <c r="D331" s="15">
        <v>17</v>
      </c>
      <c r="E331" s="19">
        <v>0.38410357396</v>
      </c>
      <c r="F331" s="7">
        <v>112.8642105</v>
      </c>
      <c r="G331" s="8">
        <v>41</v>
      </c>
      <c r="H331" s="9">
        <v>0.36294786779999999</v>
      </c>
    </row>
    <row r="332" spans="1:8" ht="16.5" customHeight="1" x14ac:dyDescent="0.2">
      <c r="A332" s="18" t="s">
        <v>291</v>
      </c>
      <c r="B332" s="6" t="s">
        <v>133</v>
      </c>
      <c r="C332" s="7">
        <v>316.72000000000003</v>
      </c>
      <c r="D332" s="15">
        <v>1</v>
      </c>
      <c r="E332" s="19">
        <v>0.24033373326999999</v>
      </c>
      <c r="F332" s="7">
        <v>453.17399999999998</v>
      </c>
      <c r="G332" s="8">
        <v>3</v>
      </c>
      <c r="H332" s="9">
        <v>0.23994977646999999</v>
      </c>
    </row>
    <row r="333" spans="1:8" ht="16.5" customHeight="1" x14ac:dyDescent="0.2">
      <c r="A333" s="14" t="s">
        <v>291</v>
      </c>
      <c r="B333" s="6" t="s">
        <v>181</v>
      </c>
      <c r="C333" s="7">
        <v>136.96250000000001</v>
      </c>
      <c r="D333" s="15">
        <v>3</v>
      </c>
      <c r="E333" s="19">
        <v>0.37653919869000002</v>
      </c>
      <c r="F333" s="7">
        <v>144.4975</v>
      </c>
      <c r="G333" s="8">
        <v>9</v>
      </c>
      <c r="H333" s="9">
        <v>0.39220805435</v>
      </c>
    </row>
    <row r="334" spans="1:8" ht="16.5" customHeight="1" x14ac:dyDescent="0.2">
      <c r="A334" s="18" t="s">
        <v>291</v>
      </c>
      <c r="B334" s="6" t="s">
        <v>91</v>
      </c>
      <c r="C334" s="1"/>
      <c r="D334" s="13"/>
      <c r="E334" s="13"/>
      <c r="F334" s="7">
        <v>19.66</v>
      </c>
      <c r="G334" s="8">
        <v>2</v>
      </c>
      <c r="H334" s="9">
        <v>1.1935401831100001</v>
      </c>
    </row>
    <row r="335" spans="1:8" ht="16.5" customHeight="1" x14ac:dyDescent="0.2">
      <c r="A335" s="14" t="s">
        <v>291</v>
      </c>
      <c r="B335" s="6" t="s">
        <v>97</v>
      </c>
      <c r="C335" s="1"/>
      <c r="D335" s="13"/>
      <c r="E335" s="13"/>
      <c r="F335" s="7">
        <v>400.09</v>
      </c>
      <c r="G335" s="8">
        <v>1</v>
      </c>
      <c r="H335" s="9">
        <v>0.20931790347000001</v>
      </c>
    </row>
    <row r="336" spans="1:8" ht="16.5" customHeight="1" x14ac:dyDescent="0.2">
      <c r="A336" s="18" t="s">
        <v>291</v>
      </c>
      <c r="B336" s="6" t="s">
        <v>296</v>
      </c>
      <c r="C336" s="7">
        <v>99.221818200000001</v>
      </c>
      <c r="D336" s="15">
        <v>14</v>
      </c>
      <c r="E336" s="19">
        <v>0.42840650882999998</v>
      </c>
      <c r="F336" s="7">
        <v>108.8843636</v>
      </c>
      <c r="G336" s="8">
        <v>39</v>
      </c>
      <c r="H336" s="9">
        <v>0.37080939912999999</v>
      </c>
    </row>
    <row r="337" spans="1:8" ht="16.5" customHeight="1" x14ac:dyDescent="0.2">
      <c r="A337" s="14" t="s">
        <v>297</v>
      </c>
      <c r="B337" s="6" t="s">
        <v>293</v>
      </c>
      <c r="C337" s="7">
        <v>75.47</v>
      </c>
      <c r="D337" s="15">
        <v>1</v>
      </c>
      <c r="E337" s="19">
        <v>0</v>
      </c>
      <c r="F337" s="7">
        <v>75.47</v>
      </c>
      <c r="G337" s="8">
        <v>1</v>
      </c>
      <c r="H337" s="9">
        <v>0</v>
      </c>
    </row>
    <row r="338" spans="1:8" ht="16.5" customHeight="1" x14ac:dyDescent="0.2">
      <c r="A338" s="18" t="s">
        <v>297</v>
      </c>
      <c r="B338" s="6" t="s">
        <v>267</v>
      </c>
      <c r="C338" s="7">
        <v>412.16142860000002</v>
      </c>
      <c r="D338" s="15">
        <v>9</v>
      </c>
      <c r="E338" s="19">
        <v>0.32462644664000001</v>
      </c>
      <c r="F338" s="7">
        <v>404.19407410000002</v>
      </c>
      <c r="G338" s="8">
        <v>19</v>
      </c>
      <c r="H338" s="9">
        <v>0.33515784497000001</v>
      </c>
    </row>
    <row r="339" spans="1:8" ht="16.5" customHeight="1" x14ac:dyDescent="0.2">
      <c r="A339" s="17" t="s">
        <v>297</v>
      </c>
      <c r="B339" s="6" t="s">
        <v>279</v>
      </c>
      <c r="C339" s="1"/>
      <c r="D339" s="13"/>
      <c r="E339" s="13"/>
      <c r="F339" s="7">
        <v>35.799999999999997</v>
      </c>
      <c r="G339" s="8">
        <v>1</v>
      </c>
      <c r="H339" s="9">
        <v>0.47326815641999997</v>
      </c>
    </row>
    <row r="340" spans="1:8" ht="16.5" customHeight="1" x14ac:dyDescent="0.2">
      <c r="A340" s="14" t="s">
        <v>298</v>
      </c>
      <c r="B340" s="6" t="s">
        <v>299</v>
      </c>
      <c r="C340" s="1"/>
      <c r="D340" s="13"/>
      <c r="E340" s="13"/>
      <c r="F340" s="7">
        <v>356.21</v>
      </c>
      <c r="G340" s="8">
        <v>1</v>
      </c>
      <c r="H340" s="9">
        <v>0.17412668556999999</v>
      </c>
    </row>
    <row r="341" spans="1:8" ht="16.5" customHeight="1" x14ac:dyDescent="0.2">
      <c r="A341" s="18" t="s">
        <v>298</v>
      </c>
      <c r="B341" s="6" t="s">
        <v>300</v>
      </c>
      <c r="C341" s="7">
        <v>35.062727299999999</v>
      </c>
      <c r="D341" s="15">
        <v>4</v>
      </c>
      <c r="E341" s="19">
        <v>1.80743602375</v>
      </c>
      <c r="F341" s="7">
        <v>33.624000000000002</v>
      </c>
      <c r="G341" s="8">
        <v>9</v>
      </c>
      <c r="H341" s="9">
        <v>1.8151796335999999</v>
      </c>
    </row>
    <row r="342" spans="1:8" ht="16.5" customHeight="1" x14ac:dyDescent="0.2">
      <c r="A342" s="18" t="s">
        <v>298</v>
      </c>
      <c r="B342" s="6" t="s">
        <v>168</v>
      </c>
      <c r="C342" s="7">
        <v>123.9141379</v>
      </c>
      <c r="D342" s="15">
        <v>10</v>
      </c>
      <c r="E342" s="19">
        <v>0.63167404570999997</v>
      </c>
      <c r="F342" s="7">
        <v>94.103442599999994</v>
      </c>
      <c r="G342" s="8">
        <v>22</v>
      </c>
      <c r="H342" s="9">
        <v>0.71134381244</v>
      </c>
    </row>
    <row r="343" spans="1:8" ht="16.5" customHeight="1" x14ac:dyDescent="0.2">
      <c r="A343" s="14" t="s">
        <v>298</v>
      </c>
      <c r="B343" s="6" t="s">
        <v>301</v>
      </c>
      <c r="C343" s="7">
        <v>193.93962959999999</v>
      </c>
      <c r="D343" s="15">
        <v>10</v>
      </c>
      <c r="E343" s="19">
        <v>0.28954733909000002</v>
      </c>
      <c r="F343" s="7">
        <v>185.08226669999999</v>
      </c>
      <c r="G343" s="8">
        <v>28</v>
      </c>
      <c r="H343" s="9">
        <v>0.28075111823999999</v>
      </c>
    </row>
    <row r="344" spans="1:8" ht="16.5" customHeight="1" x14ac:dyDescent="0.2">
      <c r="A344" s="18" t="s">
        <v>298</v>
      </c>
      <c r="B344" s="6" t="s">
        <v>302</v>
      </c>
      <c r="C344" s="1"/>
      <c r="D344" s="13"/>
      <c r="E344" s="13"/>
      <c r="F344" s="7">
        <v>57.05</v>
      </c>
      <c r="G344" s="8">
        <v>1</v>
      </c>
      <c r="H344" s="9">
        <v>0.40411919368999999</v>
      </c>
    </row>
    <row r="345" spans="1:8" ht="16.5" customHeight="1" x14ac:dyDescent="0.2">
      <c r="A345" s="18" t="s">
        <v>298</v>
      </c>
      <c r="B345" s="6" t="s">
        <v>174</v>
      </c>
      <c r="C345" s="7">
        <v>290.75920000000002</v>
      </c>
      <c r="D345" s="15">
        <v>9</v>
      </c>
      <c r="E345" s="19">
        <v>0.28349795981999998</v>
      </c>
      <c r="F345" s="7">
        <v>305.24036360000002</v>
      </c>
      <c r="G345" s="8">
        <v>20</v>
      </c>
      <c r="H345" s="9">
        <v>0.30059577489</v>
      </c>
    </row>
    <row r="346" spans="1:8" ht="16.5" customHeight="1" x14ac:dyDescent="0.2">
      <c r="A346" s="14" t="s">
        <v>298</v>
      </c>
      <c r="B346" s="6" t="s">
        <v>177</v>
      </c>
      <c r="C346" s="1"/>
      <c r="D346" s="13"/>
      <c r="E346" s="13"/>
      <c r="F346" s="7">
        <v>169.2</v>
      </c>
      <c r="G346" s="8">
        <v>1</v>
      </c>
      <c r="H346" s="9">
        <v>0.32981481481000002</v>
      </c>
    </row>
    <row r="347" spans="1:8" ht="16.5" customHeight="1" x14ac:dyDescent="0.2">
      <c r="A347" s="18" t="s">
        <v>298</v>
      </c>
      <c r="B347" s="6" t="s">
        <v>303</v>
      </c>
      <c r="C347" s="7">
        <v>253.62700000000001</v>
      </c>
      <c r="D347" s="15">
        <v>11</v>
      </c>
      <c r="E347" s="19">
        <v>0.31142951395000001</v>
      </c>
      <c r="F347" s="7">
        <v>237.3004225</v>
      </c>
      <c r="G347" s="8">
        <v>27</v>
      </c>
      <c r="H347" s="9">
        <v>0.30988002965</v>
      </c>
    </row>
    <row r="348" spans="1:8" ht="16.5" customHeight="1" x14ac:dyDescent="0.2">
      <c r="A348" s="18" t="s">
        <v>298</v>
      </c>
      <c r="B348" s="6" t="s">
        <v>304</v>
      </c>
      <c r="C348" s="7">
        <v>171.7743333</v>
      </c>
      <c r="D348" s="15">
        <v>11</v>
      </c>
      <c r="E348" s="19">
        <v>0.26887777181</v>
      </c>
      <c r="F348" s="7">
        <v>195.4908824</v>
      </c>
      <c r="G348" s="8">
        <v>25</v>
      </c>
      <c r="H348" s="9">
        <v>0.28022218578000002</v>
      </c>
    </row>
    <row r="349" spans="1:8" ht="16.5" customHeight="1" x14ac:dyDescent="0.2">
      <c r="A349" s="14" t="s">
        <v>298</v>
      </c>
      <c r="B349" s="6" t="s">
        <v>305</v>
      </c>
      <c r="C349" s="7">
        <v>254.40888889999999</v>
      </c>
      <c r="D349" s="15">
        <v>13</v>
      </c>
      <c r="E349" s="19">
        <v>0.30350420146000001</v>
      </c>
      <c r="F349" s="7">
        <v>207.63797869999999</v>
      </c>
      <c r="G349" s="8">
        <v>35</v>
      </c>
      <c r="H349" s="9">
        <v>0.28977670320999999</v>
      </c>
    </row>
    <row r="350" spans="1:8" ht="16.5" customHeight="1" x14ac:dyDescent="0.2">
      <c r="A350" s="5" t="s">
        <v>306</v>
      </c>
      <c r="B350" s="6" t="s">
        <v>307</v>
      </c>
      <c r="C350" s="7">
        <v>9702.34</v>
      </c>
      <c r="D350" s="15">
        <v>1</v>
      </c>
      <c r="E350" s="19">
        <v>7.2147543790000004E-2</v>
      </c>
      <c r="F350" s="7">
        <v>9424.27</v>
      </c>
      <c r="G350" s="8">
        <v>2</v>
      </c>
      <c r="H350" s="9">
        <v>7.4276309999999998E-2</v>
      </c>
    </row>
    <row r="351" spans="1:8" ht="16.5" customHeight="1" x14ac:dyDescent="0.2">
      <c r="A351" s="14" t="s">
        <v>308</v>
      </c>
      <c r="B351" s="6" t="s">
        <v>309</v>
      </c>
      <c r="C351" s="1"/>
      <c r="D351" s="13"/>
      <c r="E351" s="13"/>
      <c r="F351" s="7">
        <v>411.23</v>
      </c>
      <c r="G351" s="8">
        <v>2</v>
      </c>
      <c r="H351" s="9">
        <v>0.21776621355</v>
      </c>
    </row>
    <row r="352" spans="1:8" ht="16.5" customHeight="1" x14ac:dyDescent="0.2">
      <c r="A352" s="18" t="s">
        <v>308</v>
      </c>
      <c r="B352" s="6" t="s">
        <v>310</v>
      </c>
      <c r="C352" s="7">
        <v>236.27111110000001</v>
      </c>
      <c r="D352" s="15">
        <v>9</v>
      </c>
      <c r="E352" s="19">
        <v>0.21962764056</v>
      </c>
      <c r="F352" s="7">
        <v>275.28806450000002</v>
      </c>
      <c r="G352" s="8">
        <v>31</v>
      </c>
      <c r="H352" s="9">
        <v>0.2190117566</v>
      </c>
    </row>
    <row r="353" spans="1:8" ht="16.5" customHeight="1" x14ac:dyDescent="0.2">
      <c r="A353" s="18" t="s">
        <v>308</v>
      </c>
      <c r="B353" s="6" t="s">
        <v>311</v>
      </c>
      <c r="C353" s="7">
        <v>234.37625</v>
      </c>
      <c r="D353" s="15">
        <v>16</v>
      </c>
      <c r="E353" s="19">
        <v>0.21966576178</v>
      </c>
      <c r="F353" s="7">
        <v>206.4745455</v>
      </c>
      <c r="G353" s="8">
        <v>44</v>
      </c>
      <c r="H353" s="9">
        <v>0.22684647458000001</v>
      </c>
    </row>
    <row r="354" spans="1:8" ht="16.5" customHeight="1" x14ac:dyDescent="0.2">
      <c r="A354" s="18" t="s">
        <v>308</v>
      </c>
      <c r="B354" s="6" t="s">
        <v>312</v>
      </c>
      <c r="C354" s="7">
        <v>246.6</v>
      </c>
      <c r="D354" s="15">
        <v>6</v>
      </c>
      <c r="E354" s="19">
        <v>0.21944849959000001</v>
      </c>
      <c r="F354" s="7">
        <v>240.75444440000001</v>
      </c>
      <c r="G354" s="8">
        <v>9</v>
      </c>
      <c r="H354" s="9">
        <v>0.21955011792000001</v>
      </c>
    </row>
    <row r="355" spans="1:8" ht="16.5" customHeight="1" x14ac:dyDescent="0.2">
      <c r="A355" s="18" t="s">
        <v>308</v>
      </c>
      <c r="B355" s="6" t="s">
        <v>313</v>
      </c>
      <c r="C355" s="7">
        <v>335.62777779999999</v>
      </c>
      <c r="D355" s="15">
        <v>9</v>
      </c>
      <c r="E355" s="19">
        <v>0.21833876815</v>
      </c>
      <c r="F355" s="7">
        <v>274.77352939999997</v>
      </c>
      <c r="G355" s="8">
        <v>17</v>
      </c>
      <c r="H355" s="9">
        <v>0.21902101196000001</v>
      </c>
    </row>
    <row r="356" spans="1:8" ht="16.5" customHeight="1" x14ac:dyDescent="0.2">
      <c r="A356" s="18" t="s">
        <v>308</v>
      </c>
      <c r="B356" s="6" t="s">
        <v>314</v>
      </c>
      <c r="C356" s="7">
        <v>88.297272699999994</v>
      </c>
      <c r="D356" s="15">
        <v>11</v>
      </c>
      <c r="E356" s="19">
        <v>0.29601552605999998</v>
      </c>
      <c r="F356" s="7">
        <v>82.404285700000003</v>
      </c>
      <c r="G356" s="8">
        <v>14</v>
      </c>
      <c r="H356" s="9">
        <v>0.31659327705000001</v>
      </c>
    </row>
    <row r="357" spans="1:8" ht="16.5" customHeight="1" x14ac:dyDescent="0.2">
      <c r="A357" s="18" t="s">
        <v>308</v>
      </c>
      <c r="B357" s="6" t="s">
        <v>315</v>
      </c>
      <c r="C357" s="1"/>
      <c r="D357" s="13"/>
      <c r="E357" s="13"/>
      <c r="F357" s="7">
        <v>886.02243239999996</v>
      </c>
      <c r="G357" s="8">
        <v>37</v>
      </c>
      <c r="H357" s="9">
        <v>0.21643317553999999</v>
      </c>
    </row>
    <row r="358" spans="1:8" ht="16.5" customHeight="1" x14ac:dyDescent="0.2">
      <c r="A358" s="18" t="s">
        <v>308</v>
      </c>
      <c r="B358" s="6" t="s">
        <v>316</v>
      </c>
      <c r="C358" s="7">
        <v>395.4</v>
      </c>
      <c r="D358" s="15">
        <v>2</v>
      </c>
      <c r="E358" s="19">
        <v>0.21786418816</v>
      </c>
      <c r="F358" s="7">
        <v>299.1333333</v>
      </c>
      <c r="G358" s="8">
        <v>6</v>
      </c>
      <c r="H358" s="9">
        <v>0.22292734567</v>
      </c>
    </row>
    <row r="359" spans="1:8" ht="16.5" customHeight="1" x14ac:dyDescent="0.2">
      <c r="A359" s="18" t="s">
        <v>308</v>
      </c>
      <c r="B359" s="6" t="s">
        <v>317</v>
      </c>
      <c r="C359" s="7">
        <v>126.83374999999999</v>
      </c>
      <c r="D359" s="15">
        <v>8</v>
      </c>
      <c r="E359" s="19">
        <v>0.23995486217000001</v>
      </c>
      <c r="F359" s="7">
        <v>102.9256</v>
      </c>
      <c r="G359" s="8">
        <v>25</v>
      </c>
      <c r="H359" s="9">
        <v>0.27090558616999999</v>
      </c>
    </row>
    <row r="360" spans="1:8" ht="16.5" customHeight="1" x14ac:dyDescent="0.2">
      <c r="A360" s="18" t="s">
        <v>308</v>
      </c>
      <c r="B360" s="6" t="s">
        <v>318</v>
      </c>
      <c r="C360" s="7">
        <v>209.7</v>
      </c>
      <c r="D360" s="15">
        <v>1</v>
      </c>
      <c r="E360" s="19">
        <v>0.22015736766999999</v>
      </c>
      <c r="F360" s="7">
        <v>209.7</v>
      </c>
      <c r="G360" s="8">
        <v>1</v>
      </c>
      <c r="H360" s="9">
        <v>0.22015736766999999</v>
      </c>
    </row>
    <row r="361" spans="1:8" ht="16.5" customHeight="1" x14ac:dyDescent="0.2">
      <c r="A361" s="18" t="s">
        <v>308</v>
      </c>
      <c r="B361" s="6" t="s">
        <v>319</v>
      </c>
      <c r="C361" s="7">
        <v>226.56</v>
      </c>
      <c r="D361" s="15">
        <v>23</v>
      </c>
      <c r="E361" s="19">
        <v>0.22342368275999999</v>
      </c>
      <c r="F361" s="7">
        <v>196.19679249999999</v>
      </c>
      <c r="G361" s="8">
        <v>53</v>
      </c>
      <c r="H361" s="9">
        <v>0.22344488542999999</v>
      </c>
    </row>
    <row r="362" spans="1:8" ht="16.5" customHeight="1" x14ac:dyDescent="0.2">
      <c r="A362" s="18" t="s">
        <v>308</v>
      </c>
      <c r="B362" s="6" t="s">
        <v>320</v>
      </c>
      <c r="C362" s="7">
        <v>164.82749999999999</v>
      </c>
      <c r="D362" s="15">
        <v>12</v>
      </c>
      <c r="E362" s="19">
        <v>0.22444575894999999</v>
      </c>
      <c r="F362" s="7">
        <v>144.6670968</v>
      </c>
      <c r="G362" s="8">
        <v>31</v>
      </c>
      <c r="H362" s="9">
        <v>0.22642708064</v>
      </c>
    </row>
    <row r="363" spans="1:8" ht="16.5" customHeight="1" x14ac:dyDescent="0.2">
      <c r="A363" s="18" t="s">
        <v>308</v>
      </c>
      <c r="B363" s="6" t="s">
        <v>321</v>
      </c>
      <c r="C363" s="7">
        <v>53.78</v>
      </c>
      <c r="D363" s="15">
        <v>5</v>
      </c>
      <c r="E363" s="19">
        <v>0.48177761250000001</v>
      </c>
      <c r="F363" s="7">
        <v>51.222857099999999</v>
      </c>
      <c r="G363" s="8">
        <v>7</v>
      </c>
      <c r="H363" s="9">
        <v>0.50582887103999996</v>
      </c>
    </row>
    <row r="364" spans="1:8" ht="16.5" customHeight="1" x14ac:dyDescent="0.2">
      <c r="A364" s="18" t="s">
        <v>308</v>
      </c>
      <c r="B364" s="6" t="s">
        <v>322</v>
      </c>
      <c r="C364" s="7">
        <v>126.5783333</v>
      </c>
      <c r="D364" s="15">
        <v>6</v>
      </c>
      <c r="E364" s="19">
        <v>0.23559324266000001</v>
      </c>
      <c r="F364" s="7">
        <v>161.2223529</v>
      </c>
      <c r="G364" s="8">
        <v>17</v>
      </c>
      <c r="H364" s="9">
        <v>0.23854559651000001</v>
      </c>
    </row>
    <row r="365" spans="1:8" ht="16.5" customHeight="1" x14ac:dyDescent="0.2">
      <c r="A365" s="18" t="s">
        <v>308</v>
      </c>
      <c r="B365" s="6" t="s">
        <v>323</v>
      </c>
      <c r="C365" s="1"/>
      <c r="D365" s="13"/>
      <c r="E365" s="13"/>
      <c r="F365" s="7">
        <v>509.15</v>
      </c>
      <c r="G365" s="8">
        <v>1</v>
      </c>
      <c r="H365" s="9">
        <v>0.21728763626</v>
      </c>
    </row>
    <row r="366" spans="1:8" ht="16.5" customHeight="1" x14ac:dyDescent="0.2">
      <c r="A366" s="18" t="s">
        <v>308</v>
      </c>
      <c r="B366" s="6" t="s">
        <v>324</v>
      </c>
      <c r="C366" s="7">
        <v>730.38</v>
      </c>
      <c r="D366" s="15">
        <v>19</v>
      </c>
      <c r="E366" s="19">
        <v>0.21809569928</v>
      </c>
      <c r="F366" s="7">
        <v>672.42558140000006</v>
      </c>
      <c r="G366" s="8">
        <v>43</v>
      </c>
      <c r="H366" s="9">
        <v>0.21924663575</v>
      </c>
    </row>
    <row r="367" spans="1:8" ht="16.5" customHeight="1" x14ac:dyDescent="0.2">
      <c r="A367" s="18" t="s">
        <v>308</v>
      </c>
      <c r="B367" s="6" t="s">
        <v>325</v>
      </c>
      <c r="C367" s="7">
        <v>204.76818180000001</v>
      </c>
      <c r="D367" s="15">
        <v>11</v>
      </c>
      <c r="E367" s="19">
        <v>0.22029922972999999</v>
      </c>
      <c r="F367" s="7">
        <v>225.70724139999999</v>
      </c>
      <c r="G367" s="8">
        <v>29</v>
      </c>
      <c r="H367" s="9">
        <v>0.21983054031999999</v>
      </c>
    </row>
    <row r="368" spans="1:8" ht="16.5" customHeight="1" x14ac:dyDescent="0.2">
      <c r="A368" s="18" t="s">
        <v>308</v>
      </c>
      <c r="B368" s="6" t="s">
        <v>326</v>
      </c>
      <c r="C368" s="7">
        <v>194.73</v>
      </c>
      <c r="D368" s="15">
        <v>2</v>
      </c>
      <c r="E368" s="19">
        <v>0.22055410054999999</v>
      </c>
      <c r="F368" s="7">
        <v>194.73</v>
      </c>
      <c r="G368" s="8">
        <v>2</v>
      </c>
      <c r="H368" s="9">
        <v>0.22055410054999999</v>
      </c>
    </row>
    <row r="369" spans="1:8" ht="16.5" customHeight="1" x14ac:dyDescent="0.2">
      <c r="A369" s="18" t="s">
        <v>308</v>
      </c>
      <c r="B369" s="6" t="s">
        <v>327</v>
      </c>
      <c r="C369" s="7">
        <v>121.5422222</v>
      </c>
      <c r="D369" s="15">
        <v>9</v>
      </c>
      <c r="E369" s="19">
        <v>0.23254835997000001</v>
      </c>
      <c r="F369" s="7">
        <v>122.1</v>
      </c>
      <c r="G369" s="8">
        <v>23</v>
      </c>
      <c r="H369" s="9">
        <v>0.23154613111</v>
      </c>
    </row>
    <row r="370" spans="1:8" ht="16.5" customHeight="1" x14ac:dyDescent="0.2">
      <c r="A370" s="18" t="s">
        <v>308</v>
      </c>
      <c r="B370" s="6" t="s">
        <v>328</v>
      </c>
      <c r="C370" s="7">
        <v>109.7404545</v>
      </c>
      <c r="D370" s="15">
        <v>22</v>
      </c>
      <c r="E370" s="19">
        <v>0.25384191626000002</v>
      </c>
      <c r="F370" s="7">
        <v>125.71362070000001</v>
      </c>
      <c r="G370" s="8">
        <v>58</v>
      </c>
      <c r="H370" s="9">
        <v>0.25055784974</v>
      </c>
    </row>
    <row r="371" spans="1:8" ht="16.5" customHeight="1" x14ac:dyDescent="0.2">
      <c r="A371" s="18" t="s">
        <v>308</v>
      </c>
      <c r="B371" s="6" t="s">
        <v>329</v>
      </c>
      <c r="C371" s="1"/>
      <c r="D371" s="13"/>
      <c r="E371" s="13"/>
      <c r="F371" s="7">
        <v>260.54000000000002</v>
      </c>
      <c r="G371" s="8">
        <v>5</v>
      </c>
      <c r="H371" s="9">
        <v>0.21922468718999999</v>
      </c>
    </row>
    <row r="372" spans="1:8" ht="16.5" customHeight="1" x14ac:dyDescent="0.2">
      <c r="A372" s="18" t="s">
        <v>308</v>
      </c>
      <c r="B372" s="6" t="s">
        <v>330</v>
      </c>
      <c r="C372" s="7">
        <v>271.36874999999998</v>
      </c>
      <c r="D372" s="15">
        <v>40</v>
      </c>
      <c r="E372" s="19">
        <v>0.21992565467</v>
      </c>
      <c r="F372" s="7">
        <v>283.01478259999999</v>
      </c>
      <c r="G372" s="8">
        <v>92</v>
      </c>
      <c r="H372" s="9">
        <v>0.21926696869000001</v>
      </c>
    </row>
    <row r="373" spans="1:8" ht="16.5" customHeight="1" x14ac:dyDescent="0.2">
      <c r="A373" s="18" t="s">
        <v>308</v>
      </c>
      <c r="B373" s="6" t="s">
        <v>331</v>
      </c>
      <c r="C373" s="1"/>
      <c r="D373" s="13"/>
      <c r="E373" s="13"/>
      <c r="F373" s="7">
        <v>224.3</v>
      </c>
      <c r="G373" s="8">
        <v>1</v>
      </c>
      <c r="H373" s="9">
        <v>0.21987962550000001</v>
      </c>
    </row>
    <row r="374" spans="1:8" ht="16.5" customHeight="1" x14ac:dyDescent="0.2">
      <c r="A374" s="18" t="s">
        <v>308</v>
      </c>
      <c r="B374" s="6" t="s">
        <v>332</v>
      </c>
      <c r="C374" s="7">
        <v>128.75529409999999</v>
      </c>
      <c r="D374" s="15">
        <v>17</v>
      </c>
      <c r="E374" s="19">
        <v>0.25556230697999999</v>
      </c>
      <c r="F374" s="7">
        <v>129.8357895</v>
      </c>
      <c r="G374" s="8">
        <v>19</v>
      </c>
      <c r="H374" s="9">
        <v>0.25364671164000002</v>
      </c>
    </row>
    <row r="375" spans="1:8" ht="16.5" customHeight="1" x14ac:dyDescent="0.2">
      <c r="A375" s="18" t="s">
        <v>308</v>
      </c>
      <c r="B375" s="6" t="s">
        <v>333</v>
      </c>
      <c r="C375" s="7">
        <v>65.901666700000007</v>
      </c>
      <c r="D375" s="15">
        <v>6</v>
      </c>
      <c r="E375" s="19">
        <v>0.39573354240000003</v>
      </c>
      <c r="F375" s="7">
        <v>48.533124999999998</v>
      </c>
      <c r="G375" s="8">
        <v>16</v>
      </c>
      <c r="H375" s="9">
        <v>0.53517185427000002</v>
      </c>
    </row>
    <row r="376" spans="1:8" ht="16.5" customHeight="1" x14ac:dyDescent="0.2">
      <c r="A376" s="18" t="s">
        <v>308</v>
      </c>
      <c r="B376" s="6" t="s">
        <v>334</v>
      </c>
      <c r="C376" s="7">
        <v>194.49625</v>
      </c>
      <c r="D376" s="15">
        <v>8</v>
      </c>
      <c r="E376" s="19">
        <v>0.22056145041</v>
      </c>
      <c r="F376" s="7">
        <v>194.49625</v>
      </c>
      <c r="G376" s="8">
        <v>8</v>
      </c>
      <c r="H376" s="9">
        <v>0.22056145041</v>
      </c>
    </row>
    <row r="377" spans="1:8" ht="16.5" customHeight="1" x14ac:dyDescent="0.2">
      <c r="A377" s="18" t="s">
        <v>308</v>
      </c>
      <c r="B377" s="6" t="s">
        <v>335</v>
      </c>
      <c r="C377" s="1"/>
      <c r="D377" s="13"/>
      <c r="E377" s="13"/>
      <c r="F377" s="7">
        <v>183.2</v>
      </c>
      <c r="G377" s="8">
        <v>4</v>
      </c>
      <c r="H377" s="9">
        <v>0.22088700873</v>
      </c>
    </row>
    <row r="378" spans="1:8" ht="16.5" customHeight="1" x14ac:dyDescent="0.2">
      <c r="A378" s="18" t="s">
        <v>308</v>
      </c>
      <c r="B378" s="6" t="s">
        <v>336</v>
      </c>
      <c r="C378" s="7">
        <v>200.53333330000001</v>
      </c>
      <c r="D378" s="15">
        <v>21</v>
      </c>
      <c r="E378" s="19">
        <v>0.22444576367999999</v>
      </c>
      <c r="F378" s="7">
        <v>188.4033962</v>
      </c>
      <c r="G378" s="8">
        <v>53</v>
      </c>
      <c r="H378" s="9">
        <v>0.22600131392</v>
      </c>
    </row>
    <row r="379" spans="1:8" ht="16.5" customHeight="1" x14ac:dyDescent="0.2">
      <c r="A379" s="18" t="s">
        <v>308</v>
      </c>
      <c r="B379" s="6" t="s">
        <v>337</v>
      </c>
      <c r="C379" s="7">
        <v>0</v>
      </c>
      <c r="D379" s="15">
        <v>1</v>
      </c>
      <c r="E379" s="13"/>
      <c r="F379" s="7">
        <v>19.12</v>
      </c>
      <c r="G379" s="8">
        <v>2</v>
      </c>
      <c r="H379" s="9">
        <v>1.3551255230100001</v>
      </c>
    </row>
    <row r="380" spans="1:8" ht="16.5" customHeight="1" x14ac:dyDescent="0.2">
      <c r="A380" s="18" t="s">
        <v>308</v>
      </c>
      <c r="B380" s="6" t="s">
        <v>338</v>
      </c>
      <c r="C380" s="7">
        <v>355.06222220000001</v>
      </c>
      <c r="D380" s="15">
        <v>9</v>
      </c>
      <c r="E380" s="19">
        <v>0.21817177584</v>
      </c>
      <c r="F380" s="7">
        <v>355.06222220000001</v>
      </c>
      <c r="G380" s="8">
        <v>9</v>
      </c>
      <c r="H380" s="9">
        <v>0.21817177584</v>
      </c>
    </row>
    <row r="381" spans="1:8" ht="16.5" customHeight="1" x14ac:dyDescent="0.2">
      <c r="A381" s="18" t="s">
        <v>308</v>
      </c>
      <c r="B381" s="6" t="s">
        <v>339</v>
      </c>
      <c r="C381" s="7">
        <v>241.50555560000001</v>
      </c>
      <c r="D381" s="15">
        <v>18</v>
      </c>
      <c r="E381" s="19">
        <v>0.22630673322</v>
      </c>
      <c r="F381" s="7">
        <v>244.0465116</v>
      </c>
      <c r="G381" s="8">
        <v>43</v>
      </c>
      <c r="H381" s="9">
        <v>0.22500505051</v>
      </c>
    </row>
    <row r="382" spans="1:8" ht="16.5" customHeight="1" x14ac:dyDescent="0.2">
      <c r="A382" s="18" t="s">
        <v>308</v>
      </c>
      <c r="B382" s="6" t="s">
        <v>340</v>
      </c>
      <c r="C382" s="7">
        <v>121.057</v>
      </c>
      <c r="D382" s="15">
        <v>20</v>
      </c>
      <c r="E382" s="19">
        <v>0.24888730102000001</v>
      </c>
      <c r="F382" s="7">
        <v>118.6422</v>
      </c>
      <c r="G382" s="8">
        <v>50</v>
      </c>
      <c r="H382" s="9">
        <v>0.25424730828999997</v>
      </c>
    </row>
    <row r="383" spans="1:8" ht="16.5" customHeight="1" x14ac:dyDescent="0.2">
      <c r="A383" s="18" t="s">
        <v>308</v>
      </c>
      <c r="B383" s="6" t="s">
        <v>341</v>
      </c>
      <c r="C383" s="7">
        <v>209.62666669999999</v>
      </c>
      <c r="D383" s="15">
        <v>9</v>
      </c>
      <c r="E383" s="19">
        <v>0.23052251622</v>
      </c>
      <c r="F383" s="7">
        <v>183.51227270000001</v>
      </c>
      <c r="G383" s="8">
        <v>22</v>
      </c>
      <c r="H383" s="9">
        <v>0.22675520834999999</v>
      </c>
    </row>
    <row r="384" spans="1:8" ht="16.5" customHeight="1" x14ac:dyDescent="0.2">
      <c r="A384" s="18" t="s">
        <v>308</v>
      </c>
      <c r="B384" s="6" t="s">
        <v>342</v>
      </c>
      <c r="C384" s="7">
        <v>90.244</v>
      </c>
      <c r="D384" s="15">
        <v>20</v>
      </c>
      <c r="E384" s="19">
        <v>0.29685574663999997</v>
      </c>
      <c r="F384" s="7">
        <v>104.60425530000001</v>
      </c>
      <c r="G384" s="8">
        <v>47</v>
      </c>
      <c r="H384" s="9">
        <v>0.27260536164999999</v>
      </c>
    </row>
    <row r="385" spans="1:8" ht="16.5" customHeight="1" x14ac:dyDescent="0.2">
      <c r="A385" s="18" t="s">
        <v>308</v>
      </c>
      <c r="B385" s="6" t="s">
        <v>343</v>
      </c>
      <c r="C385" s="7">
        <v>360.48250000000002</v>
      </c>
      <c r="D385" s="15">
        <v>12</v>
      </c>
      <c r="E385" s="19">
        <v>0.21812686238000001</v>
      </c>
      <c r="F385" s="7">
        <v>302.21708330000001</v>
      </c>
      <c r="G385" s="8">
        <v>24</v>
      </c>
      <c r="H385" s="9">
        <v>0.21934178108999999</v>
      </c>
    </row>
    <row r="386" spans="1:8" ht="16.5" customHeight="1" x14ac:dyDescent="0.2">
      <c r="A386" s="18" t="s">
        <v>308</v>
      </c>
      <c r="B386" s="6" t="s">
        <v>344</v>
      </c>
      <c r="C386" s="1"/>
      <c r="D386" s="13"/>
      <c r="E386" s="13"/>
      <c r="F386" s="7">
        <v>114.4</v>
      </c>
      <c r="G386" s="8">
        <v>1</v>
      </c>
      <c r="H386" s="9">
        <v>0.22430069929999999</v>
      </c>
    </row>
    <row r="387" spans="1:8" ht="16.5" customHeight="1" x14ac:dyDescent="0.2">
      <c r="A387" s="18" t="s">
        <v>308</v>
      </c>
      <c r="B387" s="6" t="s">
        <v>345</v>
      </c>
      <c r="C387" s="7">
        <v>186.95571430000001</v>
      </c>
      <c r="D387" s="15">
        <v>7</v>
      </c>
      <c r="E387" s="19">
        <v>0.22078337880000001</v>
      </c>
      <c r="F387" s="7">
        <v>184.8943333</v>
      </c>
      <c r="G387" s="8">
        <v>30</v>
      </c>
      <c r="H387" s="9">
        <v>0.22933224923000001</v>
      </c>
    </row>
    <row r="388" spans="1:8" ht="16.5" customHeight="1" x14ac:dyDescent="0.2">
      <c r="A388" s="18" t="s">
        <v>308</v>
      </c>
      <c r="B388" s="6" t="s">
        <v>346</v>
      </c>
      <c r="C388" s="7">
        <v>263.41149999999999</v>
      </c>
      <c r="D388" s="15">
        <v>20</v>
      </c>
      <c r="E388" s="19">
        <v>0.22085311385</v>
      </c>
      <c r="F388" s="7">
        <v>249.1518519</v>
      </c>
      <c r="G388" s="8">
        <v>54</v>
      </c>
      <c r="H388" s="9">
        <v>0.22481856967</v>
      </c>
    </row>
    <row r="389" spans="1:8" ht="16.5" customHeight="1" x14ac:dyDescent="0.2">
      <c r="A389" s="18" t="s">
        <v>308</v>
      </c>
      <c r="B389" s="6" t="s">
        <v>347</v>
      </c>
      <c r="C389" s="7">
        <v>148.35733329999999</v>
      </c>
      <c r="D389" s="15">
        <v>15</v>
      </c>
      <c r="E389" s="19">
        <v>0.23785454938</v>
      </c>
      <c r="F389" s="7">
        <v>164.90447370000001</v>
      </c>
      <c r="G389" s="8">
        <v>38</v>
      </c>
      <c r="H389" s="9">
        <v>0.23417640515999999</v>
      </c>
    </row>
    <row r="390" spans="1:8" ht="16.5" customHeight="1" x14ac:dyDescent="0.2">
      <c r="A390" s="18" t="s">
        <v>308</v>
      </c>
      <c r="B390" s="6" t="s">
        <v>348</v>
      </c>
      <c r="C390" s="7">
        <v>781.45</v>
      </c>
      <c r="D390" s="15">
        <v>2</v>
      </c>
      <c r="E390" s="19">
        <v>0.21658839336999999</v>
      </c>
      <c r="F390" s="7">
        <v>364.56041670000002</v>
      </c>
      <c r="G390" s="8">
        <v>24</v>
      </c>
      <c r="H390" s="9">
        <v>0.22110224071000001</v>
      </c>
    </row>
    <row r="391" spans="1:8" ht="16.5" customHeight="1" x14ac:dyDescent="0.2">
      <c r="A391" s="18" t="s">
        <v>308</v>
      </c>
      <c r="B391" s="6" t="s">
        <v>349</v>
      </c>
      <c r="C391" s="7">
        <v>90.701875000000001</v>
      </c>
      <c r="D391" s="15">
        <v>16</v>
      </c>
      <c r="E391" s="19">
        <v>0.30322485063999999</v>
      </c>
      <c r="F391" s="7">
        <v>85.821428600000004</v>
      </c>
      <c r="G391" s="8">
        <v>49</v>
      </c>
      <c r="H391" s="9">
        <v>0.31567088758</v>
      </c>
    </row>
    <row r="392" spans="1:8" ht="16.5" customHeight="1" x14ac:dyDescent="0.2">
      <c r="A392" s="18" t="s">
        <v>308</v>
      </c>
      <c r="B392" s="6" t="s">
        <v>350</v>
      </c>
      <c r="C392" s="7">
        <v>140.06</v>
      </c>
      <c r="D392" s="15">
        <v>17</v>
      </c>
      <c r="E392" s="19">
        <v>0.23737599851999999</v>
      </c>
      <c r="F392" s="7">
        <v>143.51256409999999</v>
      </c>
      <c r="G392" s="8">
        <v>39</v>
      </c>
      <c r="H392" s="9">
        <v>0.23217926064</v>
      </c>
    </row>
    <row r="393" spans="1:8" ht="16.5" customHeight="1" x14ac:dyDescent="0.2">
      <c r="A393" s="18" t="s">
        <v>308</v>
      </c>
      <c r="B393" s="6" t="s">
        <v>351</v>
      </c>
      <c r="C393" s="7">
        <v>41.483846200000002</v>
      </c>
      <c r="D393" s="15">
        <v>12</v>
      </c>
      <c r="E393" s="19">
        <v>0.62458046691000002</v>
      </c>
      <c r="F393" s="7">
        <v>42.0403333</v>
      </c>
      <c r="G393" s="8">
        <v>29</v>
      </c>
      <c r="H393" s="9">
        <v>0.61631290585999998</v>
      </c>
    </row>
    <row r="394" spans="1:8" ht="16.5" customHeight="1" x14ac:dyDescent="0.2">
      <c r="A394" s="18" t="s">
        <v>308</v>
      </c>
      <c r="B394" s="6" t="s">
        <v>352</v>
      </c>
      <c r="C394" s="7">
        <v>215.31</v>
      </c>
      <c r="D394" s="15">
        <v>22</v>
      </c>
      <c r="E394" s="19">
        <v>0.22441849173</v>
      </c>
      <c r="F394" s="7">
        <v>217.9593548</v>
      </c>
      <c r="G394" s="8">
        <v>61</v>
      </c>
      <c r="H394" s="9">
        <v>0.22808114564000001</v>
      </c>
    </row>
    <row r="395" spans="1:8" ht="16.5" customHeight="1" x14ac:dyDescent="0.2">
      <c r="A395" s="18" t="s">
        <v>308</v>
      </c>
      <c r="B395" s="6" t="s">
        <v>353</v>
      </c>
      <c r="C395" s="7">
        <v>22.25</v>
      </c>
      <c r="D395" s="15">
        <v>16</v>
      </c>
      <c r="E395" s="19">
        <v>1.16449438202</v>
      </c>
      <c r="F395" s="7">
        <v>23.914285700000001</v>
      </c>
      <c r="G395" s="8">
        <v>41</v>
      </c>
      <c r="H395" s="9">
        <v>1.0834528076500001</v>
      </c>
    </row>
    <row r="396" spans="1:8" ht="16.5" customHeight="1" x14ac:dyDescent="0.2">
      <c r="A396" s="18" t="s">
        <v>308</v>
      </c>
      <c r="B396" s="6" t="s">
        <v>354</v>
      </c>
      <c r="C396" s="7">
        <v>618.37588240000002</v>
      </c>
      <c r="D396" s="15">
        <v>17</v>
      </c>
      <c r="E396" s="19">
        <v>0.21693639601</v>
      </c>
      <c r="F396" s="7">
        <v>578.77125000000001</v>
      </c>
      <c r="G396" s="8">
        <v>24</v>
      </c>
      <c r="H396" s="9">
        <v>0.21704940999</v>
      </c>
    </row>
    <row r="397" spans="1:8" ht="16.5" customHeight="1" x14ac:dyDescent="0.2">
      <c r="A397" s="18" t="s">
        <v>308</v>
      </c>
      <c r="B397" s="6" t="s">
        <v>355</v>
      </c>
      <c r="C397" s="1"/>
      <c r="D397" s="13"/>
      <c r="E397" s="13"/>
      <c r="F397" s="7">
        <v>113.0366667</v>
      </c>
      <c r="G397" s="8">
        <v>3</v>
      </c>
      <c r="H397" s="9">
        <v>0.23800831588999999</v>
      </c>
    </row>
    <row r="398" spans="1:8" ht="16.5" customHeight="1" x14ac:dyDescent="0.2">
      <c r="A398" s="18" t="s">
        <v>308</v>
      </c>
      <c r="B398" s="6" t="s">
        <v>356</v>
      </c>
      <c r="C398" s="7">
        <v>241.5316</v>
      </c>
      <c r="D398" s="15">
        <v>25</v>
      </c>
      <c r="E398" s="19">
        <v>0.21953417275000001</v>
      </c>
      <c r="F398" s="7">
        <v>214.04338240000001</v>
      </c>
      <c r="G398" s="8">
        <v>68</v>
      </c>
      <c r="H398" s="9">
        <v>0.22291722059999999</v>
      </c>
    </row>
    <row r="399" spans="1:8" ht="16.5" customHeight="1" x14ac:dyDescent="0.2">
      <c r="A399" s="18" t="s">
        <v>308</v>
      </c>
      <c r="B399" s="6" t="s">
        <v>357</v>
      </c>
      <c r="C399" s="7">
        <v>152.66666670000001</v>
      </c>
      <c r="D399" s="15">
        <v>6</v>
      </c>
      <c r="E399" s="19">
        <v>0.2281419214</v>
      </c>
      <c r="F399" s="7">
        <v>159.7363636</v>
      </c>
      <c r="G399" s="8">
        <v>11</v>
      </c>
      <c r="H399" s="9">
        <v>0.22491491661999999</v>
      </c>
    </row>
    <row r="400" spans="1:8" ht="16.5" customHeight="1" x14ac:dyDescent="0.2">
      <c r="A400" s="18" t="s">
        <v>308</v>
      </c>
      <c r="B400" s="6" t="s">
        <v>358</v>
      </c>
      <c r="C400" s="7">
        <v>108.59714289999999</v>
      </c>
      <c r="D400" s="15">
        <v>7</v>
      </c>
      <c r="E400" s="19">
        <v>0.25073009023999998</v>
      </c>
      <c r="F400" s="7">
        <v>108.59714289999999</v>
      </c>
      <c r="G400" s="8">
        <v>7</v>
      </c>
      <c r="H400" s="9">
        <v>0.25073009023999998</v>
      </c>
    </row>
    <row r="401" spans="1:8" ht="16.5" customHeight="1" x14ac:dyDescent="0.2">
      <c r="A401" s="18" t="s">
        <v>308</v>
      </c>
      <c r="B401" s="6" t="s">
        <v>359</v>
      </c>
      <c r="C401" s="7">
        <v>373.47333329999998</v>
      </c>
      <c r="D401" s="15">
        <v>3</v>
      </c>
      <c r="E401" s="19">
        <v>0.21803252351999999</v>
      </c>
      <c r="F401" s="7">
        <v>377.51</v>
      </c>
      <c r="G401" s="8">
        <v>9</v>
      </c>
      <c r="H401" s="9">
        <v>0.21800070050000001</v>
      </c>
    </row>
    <row r="402" spans="1:8" ht="16.5" customHeight="1" x14ac:dyDescent="0.2">
      <c r="A402" s="18" t="s">
        <v>308</v>
      </c>
      <c r="B402" s="6" t="s">
        <v>360</v>
      </c>
      <c r="C402" s="7">
        <v>251.86153849999999</v>
      </c>
      <c r="D402" s="15">
        <v>13</v>
      </c>
      <c r="E402" s="19">
        <v>0.21936014904000001</v>
      </c>
      <c r="F402" s="7">
        <v>240.41153850000001</v>
      </c>
      <c r="G402" s="8">
        <v>26</v>
      </c>
      <c r="H402" s="9">
        <v>0.22164813541</v>
      </c>
    </row>
    <row r="403" spans="1:8" ht="16.5" customHeight="1" x14ac:dyDescent="0.2">
      <c r="A403" s="18" t="s">
        <v>308</v>
      </c>
      <c r="B403" s="6" t="s">
        <v>361</v>
      </c>
      <c r="C403" s="7">
        <v>125.6925</v>
      </c>
      <c r="D403" s="15">
        <v>8</v>
      </c>
      <c r="E403" s="19">
        <v>0.24810847903</v>
      </c>
      <c r="F403" s="7">
        <v>125.6925</v>
      </c>
      <c r="G403" s="8">
        <v>8</v>
      </c>
      <c r="H403" s="9">
        <v>0.24810847903</v>
      </c>
    </row>
    <row r="404" spans="1:8" ht="16.5" customHeight="1" x14ac:dyDescent="0.2">
      <c r="A404" s="18" t="s">
        <v>308</v>
      </c>
      <c r="B404" s="6" t="s">
        <v>362</v>
      </c>
      <c r="C404" s="7">
        <v>64.963999999999999</v>
      </c>
      <c r="D404" s="15">
        <v>10</v>
      </c>
      <c r="E404" s="19">
        <v>0.39192937627000002</v>
      </c>
      <c r="F404" s="7">
        <v>58.310400000000001</v>
      </c>
      <c r="G404" s="8">
        <v>25</v>
      </c>
      <c r="H404" s="9">
        <v>0.44126810997999999</v>
      </c>
    </row>
    <row r="405" spans="1:8" ht="16.5" customHeight="1" x14ac:dyDescent="0.2">
      <c r="A405" s="18" t="s">
        <v>308</v>
      </c>
      <c r="B405" s="6" t="s">
        <v>363</v>
      </c>
      <c r="C405" s="7">
        <v>105.33333330000001</v>
      </c>
      <c r="D405" s="15">
        <v>4</v>
      </c>
      <c r="E405" s="19">
        <v>0.25009493670999999</v>
      </c>
      <c r="F405" s="7">
        <v>91.357142899999999</v>
      </c>
      <c r="G405" s="8">
        <v>10</v>
      </c>
      <c r="H405" s="9">
        <v>0.28353166536000002</v>
      </c>
    </row>
    <row r="406" spans="1:8" ht="16.5" customHeight="1" x14ac:dyDescent="0.2">
      <c r="A406" s="18" t="s">
        <v>308</v>
      </c>
      <c r="B406" s="6" t="s">
        <v>364</v>
      </c>
      <c r="C406" s="7">
        <v>234.16</v>
      </c>
      <c r="D406" s="15">
        <v>10</v>
      </c>
      <c r="E406" s="19">
        <v>0.21967671677</v>
      </c>
      <c r="F406" s="7">
        <v>220.55103449999999</v>
      </c>
      <c r="G406" s="8">
        <v>28</v>
      </c>
      <c r="H406" s="9">
        <v>0.22154540820999999</v>
      </c>
    </row>
    <row r="407" spans="1:8" ht="16.5" customHeight="1" x14ac:dyDescent="0.2">
      <c r="A407" s="18" t="s">
        <v>308</v>
      </c>
      <c r="B407" s="6" t="s">
        <v>365</v>
      </c>
      <c r="C407" s="7">
        <v>87.86</v>
      </c>
      <c r="D407" s="15">
        <v>1</v>
      </c>
      <c r="E407" s="19">
        <v>0.29490097882999999</v>
      </c>
      <c r="F407" s="7">
        <v>87.86</v>
      </c>
      <c r="G407" s="8">
        <v>1</v>
      </c>
      <c r="H407" s="9">
        <v>0.29490097882999999</v>
      </c>
    </row>
    <row r="408" spans="1:8" ht="16.5" customHeight="1" x14ac:dyDescent="0.2">
      <c r="A408" s="18" t="s">
        <v>308</v>
      </c>
      <c r="B408" s="6" t="s">
        <v>366</v>
      </c>
      <c r="C408" s="7">
        <v>135.87375</v>
      </c>
      <c r="D408" s="15">
        <v>16</v>
      </c>
      <c r="E408" s="19">
        <v>0.22653014287000001</v>
      </c>
      <c r="F408" s="7">
        <v>144.46789469999999</v>
      </c>
      <c r="G408" s="8">
        <v>37</v>
      </c>
      <c r="H408" s="9">
        <v>0.22385705802</v>
      </c>
    </row>
    <row r="409" spans="1:8" ht="16.5" customHeight="1" x14ac:dyDescent="0.2">
      <c r="A409" s="18" t="s">
        <v>308</v>
      </c>
      <c r="B409" s="6" t="s">
        <v>367</v>
      </c>
      <c r="C409" s="7">
        <v>21.3371429</v>
      </c>
      <c r="D409" s="15">
        <v>7</v>
      </c>
      <c r="E409" s="19">
        <v>1.2143144081399999</v>
      </c>
      <c r="F409" s="7">
        <v>18.279375000000002</v>
      </c>
      <c r="G409" s="8">
        <v>16</v>
      </c>
      <c r="H409" s="9">
        <v>1.41744452422</v>
      </c>
    </row>
    <row r="410" spans="1:8" ht="16.5" customHeight="1" x14ac:dyDescent="0.2">
      <c r="A410" s="18" t="s">
        <v>308</v>
      </c>
      <c r="B410" s="6" t="s">
        <v>368</v>
      </c>
      <c r="C410" s="7">
        <v>283.79928569999998</v>
      </c>
      <c r="D410" s="15">
        <v>14</v>
      </c>
      <c r="E410" s="19">
        <v>0.22061643163</v>
      </c>
      <c r="F410" s="7">
        <v>265.36488370000001</v>
      </c>
      <c r="G410" s="8">
        <v>43</v>
      </c>
      <c r="H410" s="9">
        <v>0.22495870101000001</v>
      </c>
    </row>
    <row r="411" spans="1:8" ht="16.5" customHeight="1" x14ac:dyDescent="0.2">
      <c r="A411" s="18" t="s">
        <v>308</v>
      </c>
      <c r="B411" s="6" t="s">
        <v>369</v>
      </c>
      <c r="C411" s="7">
        <v>225.4375</v>
      </c>
      <c r="D411" s="15">
        <v>8</v>
      </c>
      <c r="E411" s="19">
        <v>0.22592237316</v>
      </c>
      <c r="F411" s="7">
        <v>237.68333329999999</v>
      </c>
      <c r="G411" s="8">
        <v>33</v>
      </c>
      <c r="H411" s="9">
        <v>0.22261348497</v>
      </c>
    </row>
    <row r="412" spans="1:8" ht="16.5" customHeight="1" x14ac:dyDescent="0.2">
      <c r="A412" s="18" t="s">
        <v>308</v>
      </c>
      <c r="B412" s="6" t="s">
        <v>370</v>
      </c>
      <c r="C412" s="7">
        <v>409.0025</v>
      </c>
      <c r="D412" s="15">
        <v>8</v>
      </c>
      <c r="E412" s="19">
        <v>0.2177865661</v>
      </c>
      <c r="F412" s="7">
        <v>260.948125</v>
      </c>
      <c r="G412" s="8">
        <v>16</v>
      </c>
      <c r="H412" s="9">
        <v>0.22879762980000001</v>
      </c>
    </row>
    <row r="413" spans="1:8" ht="16.5" customHeight="1" x14ac:dyDescent="0.2">
      <c r="A413" s="18" t="s">
        <v>308</v>
      </c>
      <c r="B413" s="6" t="s">
        <v>371</v>
      </c>
      <c r="C413" s="7">
        <v>73.703846200000001</v>
      </c>
      <c r="D413" s="15">
        <v>13</v>
      </c>
      <c r="E413" s="19">
        <v>0.35548296196000001</v>
      </c>
      <c r="F413" s="7">
        <v>97.706060600000001</v>
      </c>
      <c r="G413" s="8">
        <v>33</v>
      </c>
      <c r="H413" s="9">
        <v>0.29587879540000001</v>
      </c>
    </row>
    <row r="414" spans="1:8" ht="16.5" customHeight="1" x14ac:dyDescent="0.2">
      <c r="A414" s="18" t="s">
        <v>308</v>
      </c>
      <c r="B414" s="6" t="s">
        <v>372</v>
      </c>
      <c r="C414" s="7">
        <v>121.065</v>
      </c>
      <c r="D414" s="15">
        <v>8</v>
      </c>
      <c r="E414" s="19">
        <v>0.22756990047</v>
      </c>
      <c r="F414" s="7">
        <v>99.060434799999996</v>
      </c>
      <c r="G414" s="8">
        <v>23</v>
      </c>
      <c r="H414" s="9">
        <v>0.26521096037000003</v>
      </c>
    </row>
    <row r="415" spans="1:8" ht="16.5" customHeight="1" x14ac:dyDescent="0.2">
      <c r="A415" s="18" t="s">
        <v>308</v>
      </c>
      <c r="B415" s="6" t="s">
        <v>373</v>
      </c>
      <c r="C415" s="7">
        <v>488.05399999999997</v>
      </c>
      <c r="D415" s="15">
        <v>5</v>
      </c>
      <c r="E415" s="19">
        <v>0.21738045380000001</v>
      </c>
      <c r="F415" s="7">
        <v>488.05399999999997</v>
      </c>
      <c r="G415" s="8">
        <v>5</v>
      </c>
      <c r="H415" s="9">
        <v>0.21738045380000001</v>
      </c>
    </row>
    <row r="416" spans="1:8" ht="16.5" customHeight="1" x14ac:dyDescent="0.2">
      <c r="A416" s="18" t="s">
        <v>308</v>
      </c>
      <c r="B416" s="6" t="s">
        <v>374</v>
      </c>
      <c r="C416" s="7">
        <v>138.8233333</v>
      </c>
      <c r="D416" s="15">
        <v>3</v>
      </c>
      <c r="E416" s="19">
        <v>0.23645880856000001</v>
      </c>
      <c r="F416" s="7">
        <v>138.8233333</v>
      </c>
      <c r="G416" s="8">
        <v>3</v>
      </c>
      <c r="H416" s="9">
        <v>0.23645880856000001</v>
      </c>
    </row>
    <row r="417" spans="1:8" ht="16.5" customHeight="1" x14ac:dyDescent="0.2">
      <c r="A417" s="18" t="s">
        <v>308</v>
      </c>
      <c r="B417" s="6" t="s">
        <v>375</v>
      </c>
      <c r="C417" s="7">
        <v>81.538749999999993</v>
      </c>
      <c r="D417" s="15">
        <v>24</v>
      </c>
      <c r="E417" s="19">
        <v>0.34666441824999999</v>
      </c>
      <c r="F417" s="7">
        <v>90.053214299999993</v>
      </c>
      <c r="G417" s="8">
        <v>56</v>
      </c>
      <c r="H417" s="9">
        <v>0.32217994122999999</v>
      </c>
    </row>
    <row r="418" spans="1:8" ht="16.5" customHeight="1" x14ac:dyDescent="0.2">
      <c r="A418" s="18" t="s">
        <v>308</v>
      </c>
      <c r="B418" s="6" t="s">
        <v>376</v>
      </c>
      <c r="C418" s="1"/>
      <c r="D418" s="13"/>
      <c r="E418" s="13"/>
      <c r="F418" s="7">
        <v>13.59</v>
      </c>
      <c r="G418" s="8">
        <v>1</v>
      </c>
      <c r="H418" s="9">
        <v>1.9065489330400001</v>
      </c>
    </row>
    <row r="419" spans="1:8" ht="16.5" customHeight="1" x14ac:dyDescent="0.2">
      <c r="A419" s="18" t="s">
        <v>308</v>
      </c>
      <c r="B419" s="6" t="s">
        <v>377</v>
      </c>
      <c r="C419" s="1"/>
      <c r="D419" s="13"/>
      <c r="E419" s="13"/>
      <c r="F419" s="7">
        <v>24.551428600000001</v>
      </c>
      <c r="G419" s="8">
        <v>7</v>
      </c>
      <c r="H419" s="9">
        <v>1.0553357383899999</v>
      </c>
    </row>
    <row r="420" spans="1:8" ht="16.5" customHeight="1" x14ac:dyDescent="0.2">
      <c r="A420" s="18" t="s">
        <v>308</v>
      </c>
      <c r="B420" s="6" t="s">
        <v>378</v>
      </c>
      <c r="C420" s="7">
        <v>26.152916699999999</v>
      </c>
      <c r="D420" s="15">
        <v>23</v>
      </c>
      <c r="E420" s="19">
        <v>0.99071167969999996</v>
      </c>
      <c r="F420" s="7">
        <v>30.054285700000001</v>
      </c>
      <c r="G420" s="8">
        <v>55</v>
      </c>
      <c r="H420" s="9">
        <v>0.86210666413000003</v>
      </c>
    </row>
    <row r="421" spans="1:8" ht="16.5" customHeight="1" x14ac:dyDescent="0.2">
      <c r="A421" s="18" t="s">
        <v>308</v>
      </c>
      <c r="B421" s="6" t="s">
        <v>379</v>
      </c>
      <c r="C421" s="1"/>
      <c r="D421" s="13"/>
      <c r="E421" s="13"/>
      <c r="F421" s="7">
        <v>176.9</v>
      </c>
      <c r="G421" s="8">
        <v>1</v>
      </c>
      <c r="H421" s="9">
        <v>0.22109666478000001</v>
      </c>
    </row>
    <row r="422" spans="1:8" ht="16.5" customHeight="1" x14ac:dyDescent="0.2">
      <c r="A422" s="18" t="s">
        <v>308</v>
      </c>
      <c r="B422" s="6" t="s">
        <v>380</v>
      </c>
      <c r="C422" s="1"/>
      <c r="D422" s="13"/>
      <c r="E422" s="13"/>
      <c r="F422" s="7">
        <v>176.25</v>
      </c>
      <c r="G422" s="8">
        <v>1</v>
      </c>
      <c r="H422" s="9">
        <v>0.22114042552999999</v>
      </c>
    </row>
    <row r="423" spans="1:8" ht="16.5" customHeight="1" x14ac:dyDescent="0.2">
      <c r="A423" s="18" t="s">
        <v>308</v>
      </c>
      <c r="B423" s="6" t="s">
        <v>381</v>
      </c>
      <c r="C423" s="7">
        <v>14.576666700000001</v>
      </c>
      <c r="D423" s="15">
        <v>3</v>
      </c>
      <c r="E423" s="19">
        <v>1.7774982849300001</v>
      </c>
      <c r="F423" s="7">
        <v>18.456190500000002</v>
      </c>
      <c r="G423" s="8">
        <v>21</v>
      </c>
      <c r="H423" s="9">
        <v>1.40386500851</v>
      </c>
    </row>
    <row r="424" spans="1:8" ht="16.5" customHeight="1" x14ac:dyDescent="0.2">
      <c r="A424" s="18" t="s">
        <v>308</v>
      </c>
      <c r="B424" s="6" t="s">
        <v>382</v>
      </c>
      <c r="C424" s="1"/>
      <c r="D424" s="13"/>
      <c r="E424" s="13"/>
      <c r="F424" s="7">
        <v>182.04</v>
      </c>
      <c r="G424" s="8">
        <v>1</v>
      </c>
      <c r="H424" s="9">
        <v>0.22091847946000001</v>
      </c>
    </row>
    <row r="425" spans="1:8" ht="16.5" customHeight="1" x14ac:dyDescent="0.2">
      <c r="A425" s="18" t="s">
        <v>308</v>
      </c>
      <c r="B425" s="6" t="s">
        <v>383</v>
      </c>
      <c r="C425" s="1"/>
      <c r="D425" s="13"/>
      <c r="E425" s="13"/>
      <c r="F425" s="7">
        <v>31.692499999999999</v>
      </c>
      <c r="G425" s="8">
        <v>4</v>
      </c>
      <c r="H425" s="9">
        <v>0.81754358286999995</v>
      </c>
    </row>
    <row r="426" spans="1:8" ht="16.5" customHeight="1" x14ac:dyDescent="0.2">
      <c r="A426" s="18" t="s">
        <v>308</v>
      </c>
      <c r="B426" s="6" t="s">
        <v>384</v>
      </c>
      <c r="C426" s="7">
        <v>30.38</v>
      </c>
      <c r="D426" s="15">
        <v>1</v>
      </c>
      <c r="E426" s="19">
        <v>0.85286372613999994</v>
      </c>
      <c r="F426" s="7">
        <v>35.533888900000001</v>
      </c>
      <c r="G426" s="8">
        <v>18</v>
      </c>
      <c r="H426" s="9">
        <v>0.72916308375000005</v>
      </c>
    </row>
    <row r="427" spans="1:8" ht="16.5" customHeight="1" x14ac:dyDescent="0.2">
      <c r="A427" s="18" t="s">
        <v>308</v>
      </c>
      <c r="B427" s="6" t="s">
        <v>385</v>
      </c>
      <c r="C427" s="7">
        <v>6.6666667000000004</v>
      </c>
      <c r="D427" s="15">
        <v>3</v>
      </c>
      <c r="E427" s="19">
        <v>3.8864999999999998</v>
      </c>
      <c r="F427" s="7">
        <v>6.6666667000000004</v>
      </c>
      <c r="G427" s="8">
        <v>3</v>
      </c>
      <c r="H427" s="9">
        <v>3.8864999999999998</v>
      </c>
    </row>
    <row r="428" spans="1:8" ht="16.5" customHeight="1" x14ac:dyDescent="0.2">
      <c r="A428" s="18" t="s">
        <v>308</v>
      </c>
      <c r="B428" s="6" t="s">
        <v>386</v>
      </c>
      <c r="C428" s="7">
        <v>96.9808333</v>
      </c>
      <c r="D428" s="15">
        <v>11</v>
      </c>
      <c r="E428" s="19">
        <v>0.26540381690999998</v>
      </c>
      <c r="F428" s="7">
        <v>103.04875</v>
      </c>
      <c r="G428" s="8">
        <v>22</v>
      </c>
      <c r="H428" s="9">
        <v>0.25689782748000001</v>
      </c>
    </row>
    <row r="429" spans="1:8" ht="16.5" customHeight="1" x14ac:dyDescent="0.2">
      <c r="A429" s="18" t="s">
        <v>308</v>
      </c>
      <c r="B429" s="6" t="s">
        <v>387</v>
      </c>
      <c r="C429" s="7">
        <v>140.43199999999999</v>
      </c>
      <c r="D429" s="15">
        <v>5</v>
      </c>
      <c r="E429" s="19">
        <v>0.22260168623000001</v>
      </c>
      <c r="F429" s="7">
        <v>138.57900000000001</v>
      </c>
      <c r="G429" s="8">
        <v>10</v>
      </c>
      <c r="H429" s="9">
        <v>0.22269607949</v>
      </c>
    </row>
    <row r="430" spans="1:8" ht="16.5" customHeight="1" x14ac:dyDescent="0.2">
      <c r="A430" s="18" t="s">
        <v>308</v>
      </c>
      <c r="B430" s="6" t="s">
        <v>388</v>
      </c>
      <c r="C430" s="7">
        <v>174.38631580000001</v>
      </c>
      <c r="D430" s="15">
        <v>19</v>
      </c>
      <c r="E430" s="19">
        <v>0.22737087047999999</v>
      </c>
      <c r="F430" s="7">
        <v>148.84916670000001</v>
      </c>
      <c r="G430" s="8">
        <v>48</v>
      </c>
      <c r="H430" s="9">
        <v>0.24185305034999999</v>
      </c>
    </row>
    <row r="431" spans="1:8" ht="16.5" customHeight="1" x14ac:dyDescent="0.2">
      <c r="A431" s="18" t="s">
        <v>308</v>
      </c>
      <c r="B431" s="6" t="s">
        <v>389</v>
      </c>
      <c r="C431" s="7">
        <v>56.04</v>
      </c>
      <c r="D431" s="15">
        <v>11</v>
      </c>
      <c r="E431" s="19">
        <v>0.46234832262999997</v>
      </c>
      <c r="F431" s="7">
        <v>67.068620699999997</v>
      </c>
      <c r="G431" s="8">
        <v>28</v>
      </c>
      <c r="H431" s="9">
        <v>0.38529504007999998</v>
      </c>
    </row>
    <row r="432" spans="1:8" ht="16.5" customHeight="1" x14ac:dyDescent="0.2">
      <c r="A432" s="18" t="s">
        <v>308</v>
      </c>
      <c r="B432" s="6" t="s">
        <v>390</v>
      </c>
      <c r="C432" s="7">
        <v>446.32600000000002</v>
      </c>
      <c r="D432" s="15">
        <v>25</v>
      </c>
      <c r="E432" s="19">
        <v>0.21758051289999999</v>
      </c>
      <c r="F432" s="7">
        <v>452.48730769999997</v>
      </c>
      <c r="G432" s="8">
        <v>26</v>
      </c>
      <c r="H432" s="9">
        <v>0.21754872852000001</v>
      </c>
    </row>
    <row r="433" spans="1:8" ht="16.5" customHeight="1" x14ac:dyDescent="0.2">
      <c r="A433" s="18" t="s">
        <v>308</v>
      </c>
      <c r="B433" s="6" t="s">
        <v>391</v>
      </c>
      <c r="C433" s="7">
        <v>245.4</v>
      </c>
      <c r="D433" s="15">
        <v>1</v>
      </c>
      <c r="E433" s="19">
        <v>0.21947432762999999</v>
      </c>
      <c r="F433" s="7">
        <v>245.4</v>
      </c>
      <c r="G433" s="8">
        <v>1</v>
      </c>
      <c r="H433" s="9">
        <v>0.21947432762999999</v>
      </c>
    </row>
    <row r="434" spans="1:8" ht="16.5" customHeight="1" x14ac:dyDescent="0.2">
      <c r="A434" s="18" t="s">
        <v>308</v>
      </c>
      <c r="B434" s="6" t="s">
        <v>392</v>
      </c>
      <c r="C434" s="1"/>
      <c r="D434" s="13"/>
      <c r="E434" s="13"/>
      <c r="F434" s="7">
        <v>77.47</v>
      </c>
      <c r="G434" s="8">
        <v>1</v>
      </c>
      <c r="H434" s="9">
        <v>0.33445204595</v>
      </c>
    </row>
    <row r="435" spans="1:8" ht="16.5" customHeight="1" x14ac:dyDescent="0.2">
      <c r="A435" s="18" t="s">
        <v>308</v>
      </c>
      <c r="B435" s="6" t="s">
        <v>393</v>
      </c>
      <c r="C435" s="1"/>
      <c r="D435" s="13"/>
      <c r="E435" s="13"/>
      <c r="F435" s="7">
        <v>317.73</v>
      </c>
      <c r="G435" s="8">
        <v>1</v>
      </c>
      <c r="H435" s="9">
        <v>0.21850627891999999</v>
      </c>
    </row>
    <row r="436" spans="1:8" ht="16.5" customHeight="1" x14ac:dyDescent="0.2">
      <c r="A436" s="18" t="s">
        <v>308</v>
      </c>
      <c r="B436" s="6" t="s">
        <v>394</v>
      </c>
      <c r="C436" s="1"/>
      <c r="D436" s="13"/>
      <c r="E436" s="13"/>
      <c r="F436" s="7">
        <v>18.600000000000001</v>
      </c>
      <c r="G436" s="8">
        <v>2</v>
      </c>
      <c r="H436" s="9">
        <v>1.39301075269</v>
      </c>
    </row>
    <row r="437" spans="1:8" ht="16.5" customHeight="1" x14ac:dyDescent="0.2">
      <c r="A437" s="18" t="s">
        <v>308</v>
      </c>
      <c r="B437" s="6" t="s">
        <v>395</v>
      </c>
      <c r="C437" s="1"/>
      <c r="D437" s="13"/>
      <c r="E437" s="13"/>
      <c r="F437" s="7">
        <v>175.12</v>
      </c>
      <c r="G437" s="8">
        <v>1</v>
      </c>
      <c r="H437" s="9">
        <v>0.22116263134</v>
      </c>
    </row>
    <row r="438" spans="1:8" ht="16.5" customHeight="1" x14ac:dyDescent="0.2">
      <c r="A438" s="18" t="s">
        <v>308</v>
      </c>
      <c r="B438" s="6" t="s">
        <v>396</v>
      </c>
      <c r="C438" s="7">
        <v>127.2445455</v>
      </c>
      <c r="D438" s="15">
        <v>22</v>
      </c>
      <c r="E438" s="19">
        <v>0.24085511792</v>
      </c>
      <c r="F438" s="7">
        <v>136.28461540000001</v>
      </c>
      <c r="G438" s="8">
        <v>52</v>
      </c>
      <c r="H438" s="9">
        <v>0.23963424958999999</v>
      </c>
    </row>
    <row r="439" spans="1:8" ht="16.5" customHeight="1" x14ac:dyDescent="0.2">
      <c r="A439" s="18" t="s">
        <v>308</v>
      </c>
      <c r="B439" s="6" t="s">
        <v>397</v>
      </c>
      <c r="C439" s="1"/>
      <c r="D439" s="13"/>
      <c r="E439" s="13"/>
      <c r="F439" s="7">
        <v>612.476</v>
      </c>
      <c r="G439" s="8">
        <v>5</v>
      </c>
      <c r="H439" s="9">
        <v>0.22082530581000001</v>
      </c>
    </row>
    <row r="440" spans="1:8" ht="16.5" customHeight="1" x14ac:dyDescent="0.2">
      <c r="A440" s="18" t="s">
        <v>308</v>
      </c>
      <c r="B440" s="6" t="s">
        <v>398</v>
      </c>
      <c r="C440" s="7">
        <v>328.30647060000001</v>
      </c>
      <c r="D440" s="15">
        <v>17</v>
      </c>
      <c r="E440" s="19">
        <v>0.21967100324</v>
      </c>
      <c r="F440" s="7">
        <v>338.69749999999999</v>
      </c>
      <c r="G440" s="8">
        <v>40</v>
      </c>
      <c r="H440" s="9">
        <v>0.21883221754000001</v>
      </c>
    </row>
    <row r="441" spans="1:8" ht="16.5" customHeight="1" x14ac:dyDescent="0.2">
      <c r="A441" s="18" t="s">
        <v>308</v>
      </c>
      <c r="B441" s="6" t="s">
        <v>399</v>
      </c>
      <c r="C441" s="7">
        <v>250.2021622</v>
      </c>
      <c r="D441" s="15">
        <v>37</v>
      </c>
      <c r="E441" s="19">
        <v>0.22222483873000001</v>
      </c>
      <c r="F441" s="7">
        <v>223.70750000000001</v>
      </c>
      <c r="G441" s="8">
        <v>92</v>
      </c>
      <c r="H441" s="9">
        <v>0.22388328315</v>
      </c>
    </row>
    <row r="442" spans="1:8" ht="16.5" customHeight="1" x14ac:dyDescent="0.2">
      <c r="A442" s="18" t="s">
        <v>308</v>
      </c>
      <c r="B442" s="6" t="s">
        <v>400</v>
      </c>
      <c r="C442" s="7">
        <v>214.6</v>
      </c>
      <c r="D442" s="15">
        <v>2</v>
      </c>
      <c r="E442" s="19">
        <v>0.22006756757000001</v>
      </c>
      <c r="F442" s="7">
        <v>174.0166667</v>
      </c>
      <c r="G442" s="8">
        <v>18</v>
      </c>
      <c r="H442" s="9">
        <v>0.22387861953999999</v>
      </c>
    </row>
    <row r="443" spans="1:8" ht="16.5" customHeight="1" x14ac:dyDescent="0.2">
      <c r="A443" s="18" t="s">
        <v>308</v>
      </c>
      <c r="B443" s="6" t="s">
        <v>401</v>
      </c>
      <c r="C443" s="7">
        <v>285.98250000000002</v>
      </c>
      <c r="D443" s="15">
        <v>8</v>
      </c>
      <c r="E443" s="19">
        <v>0.21887877754999999</v>
      </c>
      <c r="F443" s="7">
        <v>227.25294120000001</v>
      </c>
      <c r="G443" s="8">
        <v>17</v>
      </c>
      <c r="H443" s="9">
        <v>0.21980457121999999</v>
      </c>
    </row>
    <row r="444" spans="1:8" ht="16.5" customHeight="1" x14ac:dyDescent="0.2">
      <c r="A444" s="18" t="s">
        <v>308</v>
      </c>
      <c r="B444" s="6" t="s">
        <v>402</v>
      </c>
      <c r="C444" s="7">
        <v>150.52555559999999</v>
      </c>
      <c r="D444" s="15">
        <v>9</v>
      </c>
      <c r="E444" s="19">
        <v>0.22541392012</v>
      </c>
      <c r="F444" s="7">
        <v>184.36805559999999</v>
      </c>
      <c r="G444" s="8">
        <v>36</v>
      </c>
      <c r="H444" s="9">
        <v>0.2262408377</v>
      </c>
    </row>
    <row r="445" spans="1:8" ht="16.5" customHeight="1" x14ac:dyDescent="0.2">
      <c r="A445" s="18" t="s">
        <v>308</v>
      </c>
      <c r="B445" s="6" t="s">
        <v>403</v>
      </c>
      <c r="C445" s="7">
        <v>258.72857140000002</v>
      </c>
      <c r="D445" s="15">
        <v>14</v>
      </c>
      <c r="E445" s="19">
        <v>0.22503036828</v>
      </c>
      <c r="F445" s="7">
        <v>242.2435897</v>
      </c>
      <c r="G445" s="8">
        <v>39</v>
      </c>
      <c r="H445" s="9">
        <v>0.22173802593</v>
      </c>
    </row>
    <row r="446" spans="1:8" ht="16.5" customHeight="1" x14ac:dyDescent="0.2">
      <c r="A446" s="18" t="s">
        <v>308</v>
      </c>
      <c r="B446" s="6" t="s">
        <v>404</v>
      </c>
      <c r="C446" s="7">
        <v>234.71285710000001</v>
      </c>
      <c r="D446" s="15">
        <v>7</v>
      </c>
      <c r="E446" s="19">
        <v>0.22379320628999999</v>
      </c>
      <c r="F446" s="7">
        <v>387.07888889999998</v>
      </c>
      <c r="G446" s="8">
        <v>18</v>
      </c>
      <c r="H446" s="9">
        <v>0.21890685504999999</v>
      </c>
    </row>
    <row r="447" spans="1:8" ht="16.5" customHeight="1" x14ac:dyDescent="0.2">
      <c r="A447" s="18" t="s">
        <v>308</v>
      </c>
      <c r="B447" s="6" t="s">
        <v>405</v>
      </c>
      <c r="C447" s="7">
        <v>436.35</v>
      </c>
      <c r="D447" s="15">
        <v>18</v>
      </c>
      <c r="E447" s="19">
        <v>0.21763250703000001</v>
      </c>
      <c r="F447" s="7">
        <v>395.84326090000002</v>
      </c>
      <c r="G447" s="8">
        <v>46</v>
      </c>
      <c r="H447" s="9">
        <v>0.21787345561999999</v>
      </c>
    </row>
    <row r="448" spans="1:8" ht="16.5" customHeight="1" x14ac:dyDescent="0.2">
      <c r="A448" s="18" t="s">
        <v>308</v>
      </c>
      <c r="B448" s="6" t="s">
        <v>47</v>
      </c>
      <c r="C448" s="7">
        <v>191.32</v>
      </c>
      <c r="D448" s="15">
        <v>1</v>
      </c>
      <c r="E448" s="19">
        <v>0.22065649173999999</v>
      </c>
      <c r="F448" s="7">
        <v>143.93199999999999</v>
      </c>
      <c r="G448" s="8">
        <v>5</v>
      </c>
      <c r="H448" s="9">
        <v>0.23626017841999999</v>
      </c>
    </row>
    <row r="449" spans="1:8" ht="16.5" customHeight="1" x14ac:dyDescent="0.2">
      <c r="A449" s="18" t="s">
        <v>308</v>
      </c>
      <c r="B449" s="6" t="s">
        <v>406</v>
      </c>
      <c r="C449" s="7">
        <v>58.15</v>
      </c>
      <c r="D449" s="15">
        <v>2</v>
      </c>
      <c r="E449" s="19">
        <v>0.44557179708</v>
      </c>
      <c r="F449" s="7">
        <v>58.15</v>
      </c>
      <c r="G449" s="8">
        <v>2</v>
      </c>
      <c r="H449" s="9">
        <v>0.44557179708</v>
      </c>
    </row>
    <row r="450" spans="1:8" ht="16.5" customHeight="1" x14ac:dyDescent="0.2">
      <c r="A450" s="18" t="s">
        <v>308</v>
      </c>
      <c r="B450" s="6" t="s">
        <v>407</v>
      </c>
      <c r="C450" s="7">
        <v>47.951818199999998</v>
      </c>
      <c r="D450" s="15">
        <v>11</v>
      </c>
      <c r="E450" s="19">
        <v>0.54033404743000002</v>
      </c>
      <c r="F450" s="7">
        <v>57.897804899999997</v>
      </c>
      <c r="G450" s="8">
        <v>41</v>
      </c>
      <c r="H450" s="9">
        <v>0.45518638813000001</v>
      </c>
    </row>
    <row r="451" spans="1:8" ht="16.5" customHeight="1" x14ac:dyDescent="0.2">
      <c r="A451" s="18" t="s">
        <v>308</v>
      </c>
      <c r="B451" s="6" t="s">
        <v>408</v>
      </c>
      <c r="C451" s="1"/>
      <c r="D451" s="13"/>
      <c r="E451" s="13"/>
      <c r="F451" s="7">
        <v>176.78666670000001</v>
      </c>
      <c r="G451" s="8">
        <v>12</v>
      </c>
      <c r="H451" s="9">
        <v>0.22837176635000001</v>
      </c>
    </row>
    <row r="452" spans="1:8" ht="16.5" customHeight="1" x14ac:dyDescent="0.2">
      <c r="A452" s="18" t="s">
        <v>308</v>
      </c>
      <c r="B452" s="6" t="s">
        <v>409</v>
      </c>
      <c r="C452" s="7">
        <v>77.534285699999998</v>
      </c>
      <c r="D452" s="15">
        <v>21</v>
      </c>
      <c r="E452" s="19">
        <v>0.33421343552999999</v>
      </c>
      <c r="F452" s="7">
        <v>77.580689699999994</v>
      </c>
      <c r="G452" s="8">
        <v>58</v>
      </c>
      <c r="H452" s="9">
        <v>0.33367172776999998</v>
      </c>
    </row>
    <row r="453" spans="1:8" ht="16.5" customHeight="1" x14ac:dyDescent="0.2">
      <c r="A453" s="18" t="s">
        <v>308</v>
      </c>
      <c r="B453" s="6" t="s">
        <v>410</v>
      </c>
      <c r="C453" s="1"/>
      <c r="D453" s="13"/>
      <c r="E453" s="13"/>
      <c r="F453" s="7">
        <v>154.37200000000001</v>
      </c>
      <c r="G453" s="8">
        <v>5</v>
      </c>
      <c r="H453" s="9">
        <v>0.24642033528999999</v>
      </c>
    </row>
    <row r="454" spans="1:8" ht="16.5" customHeight="1" x14ac:dyDescent="0.2">
      <c r="A454" s="18" t="s">
        <v>308</v>
      </c>
      <c r="B454" s="6" t="s">
        <v>411</v>
      </c>
      <c r="C454" s="7">
        <v>180.94571429999999</v>
      </c>
      <c r="D454" s="15">
        <v>14</v>
      </c>
      <c r="E454" s="19">
        <v>0.22096485133999999</v>
      </c>
      <c r="F454" s="7">
        <v>171.1394737</v>
      </c>
      <c r="G454" s="8">
        <v>38</v>
      </c>
      <c r="H454" s="9">
        <v>0.22272323282000001</v>
      </c>
    </row>
    <row r="455" spans="1:8" ht="16.5" customHeight="1" x14ac:dyDescent="0.2">
      <c r="A455" s="18" t="s">
        <v>308</v>
      </c>
      <c r="B455" s="6" t="s">
        <v>412</v>
      </c>
      <c r="C455" s="7">
        <v>192.00375</v>
      </c>
      <c r="D455" s="15">
        <v>8</v>
      </c>
      <c r="E455" s="19">
        <v>0.22063436261</v>
      </c>
      <c r="F455" s="7">
        <v>197.4109091</v>
      </c>
      <c r="G455" s="8">
        <v>11</v>
      </c>
      <c r="H455" s="9">
        <v>0.22048979517</v>
      </c>
    </row>
    <row r="456" spans="1:8" ht="16.5" customHeight="1" x14ac:dyDescent="0.2">
      <c r="A456" s="18" t="s">
        <v>308</v>
      </c>
      <c r="B456" s="6" t="s">
        <v>413</v>
      </c>
      <c r="C456" s="7">
        <v>115.0077778</v>
      </c>
      <c r="D456" s="15">
        <v>18</v>
      </c>
      <c r="E456" s="19">
        <v>0.24358207657</v>
      </c>
      <c r="F456" s="7">
        <v>114.25404760000001</v>
      </c>
      <c r="G456" s="8">
        <v>42</v>
      </c>
      <c r="H456" s="9">
        <v>0.24492515635000001</v>
      </c>
    </row>
    <row r="457" spans="1:8" ht="16.5" customHeight="1" x14ac:dyDescent="0.2">
      <c r="A457" s="18" t="s">
        <v>308</v>
      </c>
      <c r="B457" s="6" t="s">
        <v>414</v>
      </c>
      <c r="C457" s="7">
        <v>161.47999999999999</v>
      </c>
      <c r="D457" s="15">
        <v>2</v>
      </c>
      <c r="E457" s="19">
        <v>0.2216652217</v>
      </c>
      <c r="F457" s="7">
        <v>172.00333330000001</v>
      </c>
      <c r="G457" s="8">
        <v>3</v>
      </c>
      <c r="H457" s="9">
        <v>0.22126702971000001</v>
      </c>
    </row>
    <row r="458" spans="1:8" ht="16.5" customHeight="1" x14ac:dyDescent="0.2">
      <c r="A458" s="18" t="s">
        <v>308</v>
      </c>
      <c r="B458" s="6" t="s">
        <v>415</v>
      </c>
      <c r="C458" s="7">
        <v>135.27925930000001</v>
      </c>
      <c r="D458" s="15">
        <v>27</v>
      </c>
      <c r="E458" s="19">
        <v>0.23140609001000001</v>
      </c>
      <c r="F458" s="7">
        <v>134.848806</v>
      </c>
      <c r="G458" s="8">
        <v>67</v>
      </c>
      <c r="H458" s="9">
        <v>0.23715449143</v>
      </c>
    </row>
    <row r="459" spans="1:8" ht="16.5" customHeight="1" x14ac:dyDescent="0.2">
      <c r="A459" s="18" t="s">
        <v>308</v>
      </c>
      <c r="B459" s="6" t="s">
        <v>416</v>
      </c>
      <c r="C459" s="7">
        <v>81.713333300000002</v>
      </c>
      <c r="D459" s="15">
        <v>9</v>
      </c>
      <c r="E459" s="19">
        <v>0.31754099697999999</v>
      </c>
      <c r="F459" s="7">
        <v>98.121333300000003</v>
      </c>
      <c r="G459" s="8">
        <v>15</v>
      </c>
      <c r="H459" s="9">
        <v>0.28062466877999998</v>
      </c>
    </row>
    <row r="460" spans="1:8" ht="16.5" customHeight="1" x14ac:dyDescent="0.2">
      <c r="A460" s="18" t="s">
        <v>308</v>
      </c>
      <c r="B460" s="6" t="s">
        <v>417</v>
      </c>
      <c r="C460" s="7">
        <v>45.32</v>
      </c>
      <c r="D460" s="15">
        <v>1</v>
      </c>
      <c r="E460" s="19">
        <v>0.57171226830999999</v>
      </c>
      <c r="F460" s="7">
        <v>45.32</v>
      </c>
      <c r="G460" s="8">
        <v>1</v>
      </c>
      <c r="H460" s="9">
        <v>0.57171226830999999</v>
      </c>
    </row>
    <row r="461" spans="1:8" ht="16.5" customHeight="1" x14ac:dyDescent="0.2">
      <c r="A461" s="18" t="s">
        <v>308</v>
      </c>
      <c r="B461" s="6" t="s">
        <v>284</v>
      </c>
      <c r="C461" s="7">
        <v>40.6</v>
      </c>
      <c r="D461" s="15">
        <v>1</v>
      </c>
      <c r="E461" s="19">
        <v>0.63817733990000003</v>
      </c>
      <c r="F461" s="7">
        <v>40.6</v>
      </c>
      <c r="G461" s="8">
        <v>1</v>
      </c>
      <c r="H461" s="9">
        <v>0.63817733990000003</v>
      </c>
    </row>
    <row r="462" spans="1:8" ht="16.5" customHeight="1" x14ac:dyDescent="0.2">
      <c r="A462" s="18" t="s">
        <v>308</v>
      </c>
      <c r="B462" s="6" t="s">
        <v>418</v>
      </c>
      <c r="C462" s="7">
        <v>152.1777778</v>
      </c>
      <c r="D462" s="15">
        <v>9</v>
      </c>
      <c r="E462" s="19">
        <v>0.23226197430000001</v>
      </c>
      <c r="F462" s="7">
        <v>143.96777779999999</v>
      </c>
      <c r="G462" s="8">
        <v>18</v>
      </c>
      <c r="H462" s="9">
        <v>0.23819064450999999</v>
      </c>
    </row>
    <row r="463" spans="1:8" ht="16.5" customHeight="1" x14ac:dyDescent="0.2">
      <c r="A463" s="18" t="s">
        <v>308</v>
      </c>
      <c r="B463" s="6" t="s">
        <v>419</v>
      </c>
      <c r="C463" s="7">
        <v>493.95</v>
      </c>
      <c r="D463" s="15">
        <v>4</v>
      </c>
      <c r="E463" s="19">
        <v>0.21735145257999999</v>
      </c>
      <c r="F463" s="7">
        <v>376.85714289999999</v>
      </c>
      <c r="G463" s="8">
        <v>7</v>
      </c>
      <c r="H463" s="9">
        <v>0.2211884003</v>
      </c>
    </row>
    <row r="464" spans="1:8" ht="16.5" customHeight="1" x14ac:dyDescent="0.2">
      <c r="A464" s="18" t="s">
        <v>308</v>
      </c>
      <c r="B464" s="6" t="s">
        <v>420</v>
      </c>
      <c r="C464" s="7">
        <v>142.52090910000001</v>
      </c>
      <c r="D464" s="15">
        <v>11</v>
      </c>
      <c r="E464" s="19">
        <v>0.22573848813</v>
      </c>
      <c r="F464" s="7">
        <v>139.16166670000001</v>
      </c>
      <c r="G464" s="8">
        <v>24</v>
      </c>
      <c r="H464" s="9">
        <v>0.22858396110000001</v>
      </c>
    </row>
    <row r="465" spans="1:8" ht="16.5" customHeight="1" x14ac:dyDescent="0.2">
      <c r="A465" s="18" t="s">
        <v>308</v>
      </c>
      <c r="B465" s="6" t="s">
        <v>421</v>
      </c>
      <c r="C465" s="7">
        <v>114.539</v>
      </c>
      <c r="D465" s="15">
        <v>10</v>
      </c>
      <c r="E465" s="19">
        <v>0.25988527924999999</v>
      </c>
      <c r="F465" s="7">
        <v>118.3623077</v>
      </c>
      <c r="G465" s="8">
        <v>13</v>
      </c>
      <c r="H465" s="9">
        <v>0.25503441193999998</v>
      </c>
    </row>
    <row r="466" spans="1:8" ht="16.5" customHeight="1" x14ac:dyDescent="0.2">
      <c r="A466" s="18" t="s">
        <v>308</v>
      </c>
      <c r="B466" s="6" t="s">
        <v>422</v>
      </c>
      <c r="C466" s="7">
        <v>97.546666700000003</v>
      </c>
      <c r="D466" s="15">
        <v>3</v>
      </c>
      <c r="E466" s="19">
        <v>0.26701066155999997</v>
      </c>
      <c r="F466" s="7">
        <v>127.175</v>
      </c>
      <c r="G466" s="8">
        <v>8</v>
      </c>
      <c r="H466" s="9">
        <v>0.24157558481999999</v>
      </c>
    </row>
    <row r="467" spans="1:8" ht="16.5" customHeight="1" x14ac:dyDescent="0.2">
      <c r="A467" s="18" t="s">
        <v>308</v>
      </c>
      <c r="B467" s="6" t="s">
        <v>423</v>
      </c>
      <c r="C467" s="7">
        <v>254.84039999999999</v>
      </c>
      <c r="D467" s="15">
        <v>25</v>
      </c>
      <c r="E467" s="19">
        <v>0.21996229797</v>
      </c>
      <c r="F467" s="7">
        <v>238.60911759999999</v>
      </c>
      <c r="G467" s="8">
        <v>68</v>
      </c>
      <c r="H467" s="9">
        <v>0.22101591206999999</v>
      </c>
    </row>
    <row r="468" spans="1:8" ht="16.5" customHeight="1" x14ac:dyDescent="0.2">
      <c r="A468" s="18" t="s">
        <v>308</v>
      </c>
      <c r="B468" s="6" t="s">
        <v>424</v>
      </c>
      <c r="C468" s="7">
        <v>106.36499999999999</v>
      </c>
      <c r="D468" s="15">
        <v>16</v>
      </c>
      <c r="E468" s="19">
        <v>0.26296420344999999</v>
      </c>
      <c r="F468" s="7">
        <v>97.321052600000002</v>
      </c>
      <c r="G468" s="8">
        <v>38</v>
      </c>
      <c r="H468" s="9">
        <v>0.27585014331000002</v>
      </c>
    </row>
    <row r="469" spans="1:8" ht="16.5" customHeight="1" x14ac:dyDescent="0.2">
      <c r="A469" s="18" t="s">
        <v>308</v>
      </c>
      <c r="B469" s="6" t="s">
        <v>425</v>
      </c>
      <c r="C469" s="7">
        <v>229.4272727</v>
      </c>
      <c r="D469" s="15">
        <v>22</v>
      </c>
      <c r="E469" s="19">
        <v>0.23248444743999999</v>
      </c>
      <c r="F469" s="7">
        <v>229.00454550000001</v>
      </c>
      <c r="G469" s="8">
        <v>44</v>
      </c>
      <c r="H469" s="9">
        <v>0.22972023183000001</v>
      </c>
    </row>
    <row r="470" spans="1:8" ht="16.5" customHeight="1" x14ac:dyDescent="0.2">
      <c r="A470" s="18" t="s">
        <v>308</v>
      </c>
      <c r="B470" s="6" t="s">
        <v>426</v>
      </c>
      <c r="C470" s="7">
        <v>240.83</v>
      </c>
      <c r="D470" s="15">
        <v>3</v>
      </c>
      <c r="E470" s="19">
        <v>0.2195476754</v>
      </c>
      <c r="F470" s="7">
        <v>278.46166670000002</v>
      </c>
      <c r="G470" s="8">
        <v>6</v>
      </c>
      <c r="H470" s="9">
        <v>0.21897149219000001</v>
      </c>
    </row>
    <row r="471" spans="1:8" ht="16.5" customHeight="1" x14ac:dyDescent="0.2">
      <c r="A471" s="18" t="s">
        <v>308</v>
      </c>
      <c r="B471" s="6" t="s">
        <v>427</v>
      </c>
      <c r="C471" s="7">
        <v>105.89</v>
      </c>
      <c r="D471" s="15">
        <v>4</v>
      </c>
      <c r="E471" s="19">
        <v>0.25191708376999999</v>
      </c>
      <c r="F471" s="7">
        <v>110.4696</v>
      </c>
      <c r="G471" s="8">
        <v>25</v>
      </c>
      <c r="H471" s="9">
        <v>0.26139933520000003</v>
      </c>
    </row>
    <row r="472" spans="1:8" ht="16.5" customHeight="1" x14ac:dyDescent="0.2">
      <c r="A472" s="18" t="s">
        <v>308</v>
      </c>
      <c r="B472" s="6" t="s">
        <v>428</v>
      </c>
      <c r="C472" s="1"/>
      <c r="D472" s="13"/>
      <c r="E472" s="13"/>
      <c r="F472" s="7">
        <v>1156.1053333</v>
      </c>
      <c r="G472" s="8">
        <v>15</v>
      </c>
      <c r="H472" s="9">
        <v>0.21616092650999999</v>
      </c>
    </row>
    <row r="473" spans="1:8" ht="16.5" customHeight="1" x14ac:dyDescent="0.2">
      <c r="A473" s="18" t="s">
        <v>308</v>
      </c>
      <c r="B473" s="6" t="s">
        <v>429</v>
      </c>
      <c r="C473" s="7">
        <v>597.01576920000002</v>
      </c>
      <c r="D473" s="15">
        <v>25</v>
      </c>
      <c r="E473" s="19">
        <v>0.21902700676</v>
      </c>
      <c r="F473" s="7">
        <v>629.00421879999999</v>
      </c>
      <c r="G473" s="8">
        <v>63</v>
      </c>
      <c r="H473" s="9">
        <v>0.21768971641000001</v>
      </c>
    </row>
    <row r="474" spans="1:8" ht="16.5" customHeight="1" x14ac:dyDescent="0.2">
      <c r="A474" s="18" t="s">
        <v>308</v>
      </c>
      <c r="B474" s="6" t="s">
        <v>430</v>
      </c>
      <c r="C474" s="1"/>
      <c r="D474" s="13"/>
      <c r="E474" s="13"/>
      <c r="F474" s="7">
        <v>66.873333299999999</v>
      </c>
      <c r="G474" s="8">
        <v>3</v>
      </c>
      <c r="H474" s="9">
        <v>0.38113348618999998</v>
      </c>
    </row>
    <row r="475" spans="1:8" ht="16.5" customHeight="1" x14ac:dyDescent="0.2">
      <c r="A475" s="18" t="s">
        <v>308</v>
      </c>
      <c r="B475" s="6" t="s">
        <v>431</v>
      </c>
      <c r="C475" s="7">
        <v>319.02193549999998</v>
      </c>
      <c r="D475" s="15">
        <v>31</v>
      </c>
      <c r="E475" s="19">
        <v>0.21908959643000001</v>
      </c>
      <c r="F475" s="7">
        <v>300.15014489999999</v>
      </c>
      <c r="G475" s="8">
        <v>69</v>
      </c>
      <c r="H475" s="9">
        <v>0.21966774117000001</v>
      </c>
    </row>
    <row r="476" spans="1:8" ht="16.5" customHeight="1" x14ac:dyDescent="0.2">
      <c r="A476" s="18" t="s">
        <v>308</v>
      </c>
      <c r="B476" s="6" t="s">
        <v>432</v>
      </c>
      <c r="C476" s="7">
        <v>93.410588200000007</v>
      </c>
      <c r="D476" s="15">
        <v>17</v>
      </c>
      <c r="E476" s="19">
        <v>0.28475421605000001</v>
      </c>
      <c r="F476" s="7">
        <v>92.249555599999994</v>
      </c>
      <c r="G476" s="8">
        <v>45</v>
      </c>
      <c r="H476" s="9">
        <v>0.29113033968000002</v>
      </c>
    </row>
    <row r="477" spans="1:8" ht="16.5" customHeight="1" x14ac:dyDescent="0.2">
      <c r="A477" s="18" t="s">
        <v>308</v>
      </c>
      <c r="B477" s="6" t="s">
        <v>433</v>
      </c>
      <c r="C477" s="7">
        <v>369.4477273</v>
      </c>
      <c r="D477" s="15">
        <v>22</v>
      </c>
      <c r="E477" s="19">
        <v>0.21949925257</v>
      </c>
      <c r="F477" s="7">
        <v>360.95549019999999</v>
      </c>
      <c r="G477" s="8">
        <v>51</v>
      </c>
      <c r="H477" s="9">
        <v>0.22045964062000001</v>
      </c>
    </row>
    <row r="478" spans="1:8" ht="16.5" customHeight="1" x14ac:dyDescent="0.2">
      <c r="A478" s="18" t="s">
        <v>308</v>
      </c>
      <c r="B478" s="6" t="s">
        <v>434</v>
      </c>
      <c r="C478" s="7">
        <v>266.67</v>
      </c>
      <c r="D478" s="15">
        <v>6</v>
      </c>
      <c r="E478" s="19">
        <v>0.21913726078000001</v>
      </c>
      <c r="F478" s="7">
        <v>266.67</v>
      </c>
      <c r="G478" s="8">
        <v>6</v>
      </c>
      <c r="H478" s="9">
        <v>0.21913726078000001</v>
      </c>
    </row>
    <row r="479" spans="1:8" ht="16.5" customHeight="1" x14ac:dyDescent="0.2">
      <c r="A479" s="18" t="s">
        <v>308</v>
      </c>
      <c r="B479" s="6" t="s">
        <v>435</v>
      </c>
      <c r="C479" s="7">
        <v>254.65600000000001</v>
      </c>
      <c r="D479" s="15">
        <v>5</v>
      </c>
      <c r="E479" s="19">
        <v>0.21931939557999999</v>
      </c>
      <c r="F479" s="7">
        <v>250.82526319999999</v>
      </c>
      <c r="G479" s="8">
        <v>19</v>
      </c>
      <c r="H479" s="9">
        <v>0.22203148344000001</v>
      </c>
    </row>
    <row r="480" spans="1:8" ht="16.5" customHeight="1" x14ac:dyDescent="0.2">
      <c r="A480" s="18" t="s">
        <v>308</v>
      </c>
      <c r="B480" s="6" t="s">
        <v>436</v>
      </c>
      <c r="C480" s="7">
        <v>49.61</v>
      </c>
      <c r="D480" s="15">
        <v>1</v>
      </c>
      <c r="E480" s="19">
        <v>0.52227373512999997</v>
      </c>
      <c r="F480" s="7">
        <v>61.211428599999998</v>
      </c>
      <c r="G480" s="8">
        <v>7</v>
      </c>
      <c r="H480" s="9">
        <v>0.42328696788999998</v>
      </c>
    </row>
    <row r="481" spans="1:8" ht="16.5" customHeight="1" x14ac:dyDescent="0.2">
      <c r="A481" s="18" t="s">
        <v>308</v>
      </c>
      <c r="B481" s="6" t="s">
        <v>437</v>
      </c>
      <c r="C481" s="7">
        <v>105.33</v>
      </c>
      <c r="D481" s="15">
        <v>2</v>
      </c>
      <c r="E481" s="19">
        <v>0.24388113548000001</v>
      </c>
      <c r="F481" s="7">
        <v>96.2985714</v>
      </c>
      <c r="G481" s="8">
        <v>7</v>
      </c>
      <c r="H481" s="9">
        <v>0.2747422451</v>
      </c>
    </row>
    <row r="482" spans="1:8" ht="16.5" customHeight="1" x14ac:dyDescent="0.2">
      <c r="A482" s="18" t="s">
        <v>308</v>
      </c>
      <c r="B482" s="6" t="s">
        <v>438</v>
      </c>
      <c r="C482" s="7">
        <v>61.524999999999999</v>
      </c>
      <c r="D482" s="15">
        <v>4</v>
      </c>
      <c r="E482" s="19">
        <v>0.42112962209999999</v>
      </c>
      <c r="F482" s="7">
        <v>63.621000000000002</v>
      </c>
      <c r="G482" s="8">
        <v>10</v>
      </c>
      <c r="H482" s="9">
        <v>0.40725546596000001</v>
      </c>
    </row>
    <row r="483" spans="1:8" ht="16.5" customHeight="1" x14ac:dyDescent="0.2">
      <c r="A483" s="18" t="s">
        <v>308</v>
      </c>
      <c r="B483" s="6" t="s">
        <v>439</v>
      </c>
      <c r="C483" s="7">
        <v>212.69</v>
      </c>
      <c r="D483" s="15">
        <v>5</v>
      </c>
      <c r="E483" s="19">
        <v>0.22010531759999999</v>
      </c>
      <c r="F483" s="7">
        <v>163.9978571</v>
      </c>
      <c r="G483" s="8">
        <v>14</v>
      </c>
      <c r="H483" s="9">
        <v>0.23078393881000001</v>
      </c>
    </row>
    <row r="484" spans="1:8" ht="16.5" customHeight="1" x14ac:dyDescent="0.2">
      <c r="A484" s="18" t="s">
        <v>308</v>
      </c>
      <c r="B484" s="6" t="s">
        <v>440</v>
      </c>
      <c r="C484" s="7">
        <v>965.25</v>
      </c>
      <c r="D484" s="15">
        <v>27</v>
      </c>
      <c r="E484" s="19">
        <v>0.21662382611</v>
      </c>
      <c r="F484" s="7">
        <v>971.20620689999998</v>
      </c>
      <c r="G484" s="8">
        <v>29</v>
      </c>
      <c r="H484" s="9">
        <v>0.21659560916000001</v>
      </c>
    </row>
    <row r="485" spans="1:8" ht="16.5" customHeight="1" x14ac:dyDescent="0.2">
      <c r="A485" s="18" t="s">
        <v>308</v>
      </c>
      <c r="B485" s="6" t="s">
        <v>441</v>
      </c>
      <c r="C485" s="7">
        <v>254.50800000000001</v>
      </c>
      <c r="D485" s="15">
        <v>20</v>
      </c>
      <c r="E485" s="19">
        <v>0.2199838512</v>
      </c>
      <c r="F485" s="7">
        <v>227.57624999999999</v>
      </c>
      <c r="G485" s="8">
        <v>48</v>
      </c>
      <c r="H485" s="9">
        <v>0.22679916804</v>
      </c>
    </row>
    <row r="486" spans="1:8" ht="16.5" customHeight="1" x14ac:dyDescent="0.2">
      <c r="A486" s="18" t="s">
        <v>308</v>
      </c>
      <c r="B486" s="6" t="s">
        <v>442</v>
      </c>
      <c r="C486" s="7">
        <v>176.5335714</v>
      </c>
      <c r="D486" s="15">
        <v>14</v>
      </c>
      <c r="E486" s="19">
        <v>0.23023423306999999</v>
      </c>
      <c r="F486" s="7">
        <v>180.15387100000001</v>
      </c>
      <c r="G486" s="8">
        <v>31</v>
      </c>
      <c r="H486" s="9">
        <v>0.22768654752</v>
      </c>
    </row>
    <row r="487" spans="1:8" ht="16.5" customHeight="1" x14ac:dyDescent="0.2">
      <c r="A487" s="18" t="s">
        <v>308</v>
      </c>
      <c r="B487" s="6" t="s">
        <v>443</v>
      </c>
      <c r="C487" s="1"/>
      <c r="D487" s="13"/>
      <c r="E487" s="13"/>
      <c r="F487" s="7">
        <v>393.30272730000002</v>
      </c>
      <c r="G487" s="8">
        <v>11</v>
      </c>
      <c r="H487" s="9">
        <v>0.21788975876</v>
      </c>
    </row>
    <row r="488" spans="1:8" ht="16.5" customHeight="1" x14ac:dyDescent="0.2">
      <c r="A488" s="18" t="s">
        <v>308</v>
      </c>
      <c r="B488" s="6" t="s">
        <v>444</v>
      </c>
      <c r="C488" s="7">
        <v>217.05199999999999</v>
      </c>
      <c r="D488" s="15">
        <v>5</v>
      </c>
      <c r="E488" s="19">
        <v>0.22001179440999999</v>
      </c>
      <c r="F488" s="7">
        <v>202.22499999999999</v>
      </c>
      <c r="G488" s="8">
        <v>22</v>
      </c>
      <c r="H488" s="9">
        <v>0.22036030974000001</v>
      </c>
    </row>
    <row r="489" spans="1:8" ht="16.5" customHeight="1" x14ac:dyDescent="0.2">
      <c r="A489" s="18" t="s">
        <v>308</v>
      </c>
      <c r="B489" s="6" t="s">
        <v>445</v>
      </c>
      <c r="C489" s="7">
        <v>245.25555560000001</v>
      </c>
      <c r="D489" s="15">
        <v>27</v>
      </c>
      <c r="E489" s="19">
        <v>0.22539135293000001</v>
      </c>
      <c r="F489" s="7">
        <v>255.1101515</v>
      </c>
      <c r="G489" s="8">
        <v>66</v>
      </c>
      <c r="H489" s="9">
        <v>0.22240410708</v>
      </c>
    </row>
    <row r="490" spans="1:8" ht="16.5" customHeight="1" x14ac:dyDescent="0.2">
      <c r="A490" s="18" t="s">
        <v>308</v>
      </c>
      <c r="B490" s="6" t="s">
        <v>446</v>
      </c>
      <c r="C490" s="7">
        <v>399.93</v>
      </c>
      <c r="D490" s="15">
        <v>36</v>
      </c>
      <c r="E490" s="19">
        <v>0.21895540053000001</v>
      </c>
      <c r="F490" s="7">
        <v>420.6625641</v>
      </c>
      <c r="G490" s="8">
        <v>78</v>
      </c>
      <c r="H490" s="9">
        <v>0.21906827080999999</v>
      </c>
    </row>
    <row r="491" spans="1:8" ht="16.5" customHeight="1" x14ac:dyDescent="0.2">
      <c r="A491" s="18" t="s">
        <v>308</v>
      </c>
      <c r="B491" s="6" t="s">
        <v>447</v>
      </c>
      <c r="C491" s="7">
        <v>108.21285709999999</v>
      </c>
      <c r="D491" s="15">
        <v>14</v>
      </c>
      <c r="E491" s="19">
        <v>0.27415411425000002</v>
      </c>
      <c r="F491" s="7">
        <v>107.3609091</v>
      </c>
      <c r="G491" s="8">
        <v>32</v>
      </c>
      <c r="H491" s="9">
        <v>0.27658788962000003</v>
      </c>
    </row>
    <row r="492" spans="1:8" ht="16.5" customHeight="1" x14ac:dyDescent="0.2">
      <c r="A492" s="18" t="s">
        <v>308</v>
      </c>
      <c r="B492" s="6" t="s">
        <v>448</v>
      </c>
      <c r="C492" s="7">
        <v>532.80100000000004</v>
      </c>
      <c r="D492" s="15">
        <v>10</v>
      </c>
      <c r="E492" s="19">
        <v>0.21720379653999999</v>
      </c>
      <c r="F492" s="7">
        <v>452.81964290000002</v>
      </c>
      <c r="G492" s="8">
        <v>28</v>
      </c>
      <c r="H492" s="9">
        <v>0.21754640566</v>
      </c>
    </row>
    <row r="493" spans="1:8" ht="16.5" customHeight="1" x14ac:dyDescent="0.2">
      <c r="A493" s="18" t="s">
        <v>308</v>
      </c>
      <c r="B493" s="6" t="s">
        <v>449</v>
      </c>
      <c r="C493" s="7">
        <v>131.59230769999999</v>
      </c>
      <c r="D493" s="15">
        <v>13</v>
      </c>
      <c r="E493" s="19">
        <v>0.25928099607999999</v>
      </c>
      <c r="F493" s="7">
        <v>151.5436364</v>
      </c>
      <c r="G493" s="8">
        <v>32</v>
      </c>
      <c r="H493" s="9">
        <v>0.24218826861000001</v>
      </c>
    </row>
    <row r="494" spans="1:8" ht="16.5" customHeight="1" x14ac:dyDescent="0.2">
      <c r="A494" s="18" t="s">
        <v>308</v>
      </c>
      <c r="B494" s="6" t="s">
        <v>450</v>
      </c>
      <c r="C494" s="7">
        <v>220.6045</v>
      </c>
      <c r="D494" s="15">
        <v>20</v>
      </c>
      <c r="E494" s="19">
        <v>0.22154239827</v>
      </c>
      <c r="F494" s="7">
        <v>245.832807</v>
      </c>
      <c r="G494" s="8">
        <v>57</v>
      </c>
      <c r="H494" s="9">
        <v>0.22577589817999999</v>
      </c>
    </row>
    <row r="495" spans="1:8" ht="16.5" customHeight="1" x14ac:dyDescent="0.2">
      <c r="A495" s="18" t="s">
        <v>308</v>
      </c>
      <c r="B495" s="6" t="s">
        <v>451</v>
      </c>
      <c r="C495" s="7">
        <v>222.0538095</v>
      </c>
      <c r="D495" s="15">
        <v>21</v>
      </c>
      <c r="E495" s="19">
        <v>0.22442715515</v>
      </c>
      <c r="F495" s="7">
        <v>198.07065220000001</v>
      </c>
      <c r="G495" s="8">
        <v>46</v>
      </c>
      <c r="H495" s="9">
        <v>0.22482315818000001</v>
      </c>
    </row>
    <row r="496" spans="1:8" ht="16.5" customHeight="1" x14ac:dyDescent="0.2">
      <c r="A496" s="18" t="s">
        <v>308</v>
      </c>
      <c r="B496" s="6" t="s">
        <v>452</v>
      </c>
      <c r="C496" s="7">
        <v>144.515625</v>
      </c>
      <c r="D496" s="15">
        <v>16</v>
      </c>
      <c r="E496" s="19">
        <v>0.24252870580999999</v>
      </c>
      <c r="F496" s="7">
        <v>152.08682930000001</v>
      </c>
      <c r="G496" s="8">
        <v>41</v>
      </c>
      <c r="H496" s="9">
        <v>0.23999159657999999</v>
      </c>
    </row>
    <row r="497" spans="1:8" ht="16.5" customHeight="1" x14ac:dyDescent="0.2">
      <c r="A497" s="18" t="s">
        <v>308</v>
      </c>
      <c r="B497" s="6" t="s">
        <v>453</v>
      </c>
      <c r="C497" s="7">
        <v>402.64526319999999</v>
      </c>
      <c r="D497" s="15">
        <v>19</v>
      </c>
      <c r="E497" s="19">
        <v>0.21949136369</v>
      </c>
      <c r="F497" s="7">
        <v>315.20578949999998</v>
      </c>
      <c r="G497" s="8">
        <v>38</v>
      </c>
      <c r="H497" s="9">
        <v>0.22383263399</v>
      </c>
    </row>
    <row r="498" spans="1:8" ht="16.5" customHeight="1" x14ac:dyDescent="0.2">
      <c r="A498" s="18" t="s">
        <v>308</v>
      </c>
      <c r="B498" s="6" t="s">
        <v>454</v>
      </c>
      <c r="C498" s="7">
        <v>143.55000000000001</v>
      </c>
      <c r="D498" s="15">
        <v>7</v>
      </c>
      <c r="E498" s="19">
        <v>0.24238642583</v>
      </c>
      <c r="F498" s="7">
        <v>120.9556</v>
      </c>
      <c r="G498" s="8">
        <v>25</v>
      </c>
      <c r="H498" s="9">
        <v>0.26216793599999999</v>
      </c>
    </row>
    <row r="499" spans="1:8" ht="16.5" customHeight="1" x14ac:dyDescent="0.2">
      <c r="A499" s="18" t="s">
        <v>308</v>
      </c>
      <c r="B499" s="6" t="s">
        <v>455</v>
      </c>
      <c r="C499" s="1"/>
      <c r="D499" s="13"/>
      <c r="E499" s="13"/>
      <c r="F499" s="7">
        <v>81.016666700000002</v>
      </c>
      <c r="G499" s="8">
        <v>3</v>
      </c>
      <c r="H499" s="9">
        <v>0.31981073853000003</v>
      </c>
    </row>
    <row r="500" spans="1:8" ht="16.5" customHeight="1" x14ac:dyDescent="0.2">
      <c r="A500" s="18" t="s">
        <v>308</v>
      </c>
      <c r="B500" s="6" t="s">
        <v>456</v>
      </c>
      <c r="C500" s="7">
        <v>170.8944444</v>
      </c>
      <c r="D500" s="15">
        <v>9</v>
      </c>
      <c r="E500" s="19">
        <v>0.24146224115000001</v>
      </c>
      <c r="F500" s="7">
        <v>177.02850000000001</v>
      </c>
      <c r="G500" s="8">
        <v>20</v>
      </c>
      <c r="H500" s="9">
        <v>0.23911686536000001</v>
      </c>
    </row>
    <row r="501" spans="1:8" ht="16.5" customHeight="1" x14ac:dyDescent="0.2">
      <c r="A501" s="18" t="s">
        <v>308</v>
      </c>
      <c r="B501" s="6" t="s">
        <v>457</v>
      </c>
      <c r="C501" s="7">
        <v>213.44</v>
      </c>
      <c r="D501" s="15">
        <v>2</v>
      </c>
      <c r="E501" s="19">
        <v>0.22008058471</v>
      </c>
      <c r="F501" s="7">
        <v>232.98</v>
      </c>
      <c r="G501" s="8">
        <v>12</v>
      </c>
      <c r="H501" s="9">
        <v>0.22830786619999999</v>
      </c>
    </row>
    <row r="502" spans="1:8" ht="16.5" customHeight="1" x14ac:dyDescent="0.2">
      <c r="A502" s="18" t="s">
        <v>308</v>
      </c>
      <c r="B502" s="6" t="s">
        <v>458</v>
      </c>
      <c r="C502" s="7">
        <v>251.45</v>
      </c>
      <c r="D502" s="15">
        <v>8</v>
      </c>
      <c r="E502" s="19">
        <v>0.21936468482999999</v>
      </c>
      <c r="F502" s="7">
        <v>243.7894737</v>
      </c>
      <c r="G502" s="8">
        <v>18</v>
      </c>
      <c r="H502" s="9">
        <v>0.21949460275999999</v>
      </c>
    </row>
    <row r="503" spans="1:8" ht="16.5" customHeight="1" x14ac:dyDescent="0.2">
      <c r="A503" s="18" t="s">
        <v>308</v>
      </c>
      <c r="B503" s="6" t="s">
        <v>97</v>
      </c>
      <c r="C503" s="1"/>
      <c r="D503" s="13"/>
      <c r="E503" s="13"/>
      <c r="F503" s="7">
        <v>209.87</v>
      </c>
      <c r="G503" s="8">
        <v>1</v>
      </c>
      <c r="H503" s="9">
        <v>0.22019821794</v>
      </c>
    </row>
    <row r="504" spans="1:8" ht="16.5" customHeight="1" x14ac:dyDescent="0.2">
      <c r="A504" s="18" t="s">
        <v>308</v>
      </c>
      <c r="B504" s="6" t="s">
        <v>459</v>
      </c>
      <c r="C504" s="7">
        <v>152.74833330000001</v>
      </c>
      <c r="D504" s="15">
        <v>12</v>
      </c>
      <c r="E504" s="19">
        <v>0.25031478794000001</v>
      </c>
      <c r="F504" s="7">
        <v>113.1434146</v>
      </c>
      <c r="G504" s="8">
        <v>41</v>
      </c>
      <c r="H504" s="9">
        <v>0.27807466457000002</v>
      </c>
    </row>
    <row r="505" spans="1:8" ht="16.5" customHeight="1" x14ac:dyDescent="0.2">
      <c r="A505" s="18" t="s">
        <v>308</v>
      </c>
      <c r="B505" s="6" t="s">
        <v>279</v>
      </c>
      <c r="C505" s="1"/>
      <c r="D505" s="13"/>
      <c r="E505" s="13"/>
      <c r="F505" s="7">
        <v>390.71</v>
      </c>
      <c r="G505" s="8">
        <v>1</v>
      </c>
      <c r="H505" s="9">
        <v>0.21790586368000001</v>
      </c>
    </row>
    <row r="506" spans="1:8" ht="16.5" customHeight="1" x14ac:dyDescent="0.2">
      <c r="A506" s="14" t="s">
        <v>460</v>
      </c>
      <c r="B506" s="6" t="s">
        <v>293</v>
      </c>
      <c r="C506" s="7">
        <v>77.44</v>
      </c>
      <c r="D506" s="15">
        <v>1</v>
      </c>
      <c r="E506" s="19">
        <v>0.81740702479000005</v>
      </c>
      <c r="F506" s="7">
        <v>77.44</v>
      </c>
      <c r="G506" s="8">
        <v>1</v>
      </c>
      <c r="H506" s="9">
        <v>0.81740702479000005</v>
      </c>
    </row>
    <row r="507" spans="1:8" ht="16.5" customHeight="1" x14ac:dyDescent="0.2">
      <c r="A507" s="14" t="s">
        <v>460</v>
      </c>
      <c r="B507" s="6" t="s">
        <v>295</v>
      </c>
      <c r="C507" s="7">
        <v>218.47</v>
      </c>
      <c r="D507" s="15">
        <v>1</v>
      </c>
      <c r="E507" s="19">
        <v>0.28974229871000001</v>
      </c>
      <c r="F507" s="7">
        <v>218.47</v>
      </c>
      <c r="G507" s="8">
        <v>1</v>
      </c>
      <c r="H507" s="9">
        <v>0.28974229871000001</v>
      </c>
    </row>
    <row r="508" spans="1:8" ht="16.5" customHeight="1" x14ac:dyDescent="0.2">
      <c r="A508" s="14" t="s">
        <v>460</v>
      </c>
      <c r="B508" s="6" t="s">
        <v>296</v>
      </c>
      <c r="C508" s="7">
        <v>118.24</v>
      </c>
      <c r="D508" s="15">
        <v>1</v>
      </c>
      <c r="E508" s="19">
        <v>0.53535182679000004</v>
      </c>
      <c r="F508" s="7">
        <v>118.24</v>
      </c>
      <c r="G508" s="8">
        <v>1</v>
      </c>
      <c r="H508" s="9">
        <v>0.53535182679000004</v>
      </c>
    </row>
    <row r="509" spans="1:8" ht="16.5" customHeight="1" x14ac:dyDescent="0.2">
      <c r="A509" s="14" t="s">
        <v>461</v>
      </c>
      <c r="B509" s="6" t="s">
        <v>462</v>
      </c>
      <c r="C509" s="7">
        <v>78.08</v>
      </c>
      <c r="D509" s="15">
        <v>12</v>
      </c>
      <c r="E509" s="19">
        <v>0.17000085382999999</v>
      </c>
      <c r="F509" s="7">
        <v>95.900689700000001</v>
      </c>
      <c r="G509" s="8">
        <v>29</v>
      </c>
      <c r="H509" s="9">
        <v>0.17000057531000001</v>
      </c>
    </row>
    <row r="510" spans="1:8" ht="16.5" customHeight="1" x14ac:dyDescent="0.2">
      <c r="A510" s="14" t="s">
        <v>461</v>
      </c>
      <c r="B510" s="6" t="s">
        <v>463</v>
      </c>
      <c r="C510" s="7">
        <v>190.23043480000001</v>
      </c>
      <c r="D510" s="15">
        <v>23</v>
      </c>
      <c r="E510" s="19">
        <v>0.17</v>
      </c>
      <c r="F510" s="7">
        <v>211.61090909999999</v>
      </c>
      <c r="G510" s="8">
        <v>51</v>
      </c>
      <c r="H510" s="9">
        <v>0.17</v>
      </c>
    </row>
    <row r="511" spans="1:8" ht="16.5" customHeight="1" x14ac:dyDescent="0.2">
      <c r="A511" s="14" t="s">
        <v>461</v>
      </c>
      <c r="B511" s="6" t="s">
        <v>464</v>
      </c>
      <c r="C511" s="7">
        <v>205.01111109999999</v>
      </c>
      <c r="D511" s="15">
        <v>9</v>
      </c>
      <c r="E511" s="19">
        <v>0.17</v>
      </c>
      <c r="F511" s="7">
        <v>174.315</v>
      </c>
      <c r="G511" s="8">
        <v>20</v>
      </c>
      <c r="H511" s="9">
        <v>0.17</v>
      </c>
    </row>
    <row r="512" spans="1:8" ht="16.5" customHeight="1" x14ac:dyDescent="0.2">
      <c r="A512" s="14" t="s">
        <v>461</v>
      </c>
      <c r="B512" s="6" t="s">
        <v>465</v>
      </c>
      <c r="C512" s="7">
        <v>266.81</v>
      </c>
      <c r="D512" s="15">
        <v>20</v>
      </c>
      <c r="E512" s="19">
        <v>0.17000037479999999</v>
      </c>
      <c r="F512" s="7">
        <v>250.42722219999999</v>
      </c>
      <c r="G512" s="8">
        <v>54</v>
      </c>
      <c r="H512" s="9">
        <v>0.17000030319000001</v>
      </c>
    </row>
    <row r="513" spans="1:8" ht="16.5" customHeight="1" x14ac:dyDescent="0.2">
      <c r="A513" s="14" t="s">
        <v>461</v>
      </c>
      <c r="B513" s="6" t="s">
        <v>466</v>
      </c>
      <c r="C513" s="7">
        <v>434.88499999999999</v>
      </c>
      <c r="D513" s="15">
        <v>20</v>
      </c>
      <c r="E513" s="19">
        <v>0.17</v>
      </c>
      <c r="F513" s="7">
        <v>352.85957450000001</v>
      </c>
      <c r="G513" s="8">
        <v>47</v>
      </c>
      <c r="H513" s="9">
        <v>0.17</v>
      </c>
    </row>
    <row r="514" spans="1:8" ht="16.5" customHeight="1" x14ac:dyDescent="0.2">
      <c r="A514" s="14" t="s">
        <v>461</v>
      </c>
      <c r="B514" s="6" t="s">
        <v>467</v>
      </c>
      <c r="C514" s="1"/>
      <c r="D514" s="13"/>
      <c r="E514" s="13"/>
      <c r="F514" s="7">
        <v>173.21799999999999</v>
      </c>
      <c r="G514" s="8">
        <v>5</v>
      </c>
      <c r="H514" s="9">
        <v>0.17000080822999999</v>
      </c>
    </row>
    <row r="515" spans="1:8" ht="16.5" customHeight="1" x14ac:dyDescent="0.2">
      <c r="A515" s="14" t="s">
        <v>461</v>
      </c>
      <c r="B515" s="6" t="s">
        <v>468</v>
      </c>
      <c r="C515" s="1"/>
      <c r="D515" s="13"/>
      <c r="E515" s="13"/>
      <c r="F515" s="7">
        <v>439.8</v>
      </c>
      <c r="G515" s="8">
        <v>1</v>
      </c>
      <c r="H515" s="9">
        <v>0.17</v>
      </c>
    </row>
    <row r="516" spans="1:8" ht="16.5" customHeight="1" x14ac:dyDescent="0.2">
      <c r="A516" s="14" t="s">
        <v>461</v>
      </c>
      <c r="B516" s="6" t="s">
        <v>469</v>
      </c>
      <c r="C516" s="7">
        <v>86.314285699999999</v>
      </c>
      <c r="D516" s="15">
        <v>13</v>
      </c>
      <c r="E516" s="19">
        <v>0.17</v>
      </c>
      <c r="F516" s="7">
        <v>323.0342857</v>
      </c>
      <c r="G516" s="8">
        <v>34</v>
      </c>
      <c r="H516" s="9">
        <v>0.17</v>
      </c>
    </row>
    <row r="517" spans="1:8" ht="16.5" customHeight="1" x14ac:dyDescent="0.2">
      <c r="A517" s="14" t="s">
        <v>461</v>
      </c>
      <c r="B517" s="6" t="s">
        <v>470</v>
      </c>
      <c r="C517" s="7">
        <v>139.72999999999999</v>
      </c>
      <c r="D517" s="15">
        <v>4</v>
      </c>
      <c r="E517" s="19">
        <v>0.16999928433</v>
      </c>
      <c r="F517" s="7">
        <v>156.78399999999999</v>
      </c>
      <c r="G517" s="8">
        <v>5</v>
      </c>
      <c r="H517" s="9">
        <v>0.16999948974000001</v>
      </c>
    </row>
    <row r="518" spans="1:8" ht="16.5" customHeight="1" x14ac:dyDescent="0.2">
      <c r="A518" s="14" t="s">
        <v>461</v>
      </c>
      <c r="B518" s="6" t="s">
        <v>471</v>
      </c>
      <c r="C518" s="7">
        <v>157.65</v>
      </c>
      <c r="D518" s="15">
        <v>16</v>
      </c>
      <c r="E518" s="19">
        <v>0.17</v>
      </c>
      <c r="F518" s="7">
        <v>135.9727273</v>
      </c>
      <c r="G518" s="8">
        <v>33</v>
      </c>
      <c r="H518" s="9">
        <v>0.17</v>
      </c>
    </row>
    <row r="519" spans="1:8" ht="16.5" customHeight="1" x14ac:dyDescent="0.2">
      <c r="A519" s="14" t="s">
        <v>461</v>
      </c>
      <c r="B519" s="6" t="s">
        <v>472</v>
      </c>
      <c r="C519" s="7">
        <v>119.9490909</v>
      </c>
      <c r="D519" s="15">
        <v>11</v>
      </c>
      <c r="E519" s="19">
        <v>0.17000015158000001</v>
      </c>
      <c r="F519" s="7">
        <v>118.786</v>
      </c>
      <c r="G519" s="8">
        <v>20</v>
      </c>
      <c r="H519" s="9">
        <v>0.16999983162999999</v>
      </c>
    </row>
    <row r="520" spans="1:8" ht="16.5" customHeight="1" x14ac:dyDescent="0.2">
      <c r="A520" s="14" t="s">
        <v>461</v>
      </c>
      <c r="B520" s="6" t="s">
        <v>473</v>
      </c>
      <c r="C520" s="7">
        <v>117.205</v>
      </c>
      <c r="D520" s="15">
        <v>2</v>
      </c>
      <c r="E520" s="19">
        <v>0.16999701378000001</v>
      </c>
      <c r="F520" s="7">
        <v>97.266666700000002</v>
      </c>
      <c r="G520" s="8">
        <v>9</v>
      </c>
      <c r="H520" s="9">
        <v>0.16999885767</v>
      </c>
    </row>
    <row r="521" spans="1:8" ht="16.5" customHeight="1" x14ac:dyDescent="0.2">
      <c r="A521" s="14" t="s">
        <v>461</v>
      </c>
      <c r="B521" s="6" t="s">
        <v>474</v>
      </c>
      <c r="C521" s="1"/>
      <c r="D521" s="13"/>
      <c r="E521" s="13"/>
      <c r="F521" s="7">
        <v>117.8544828</v>
      </c>
      <c r="G521" s="8">
        <v>29</v>
      </c>
      <c r="H521" s="9">
        <v>0.17000011704000001</v>
      </c>
    </row>
    <row r="522" spans="1:8" ht="16.5" customHeight="1" x14ac:dyDescent="0.2">
      <c r="A522" s="14" t="s">
        <v>461</v>
      </c>
      <c r="B522" s="6" t="s">
        <v>475</v>
      </c>
      <c r="C522" s="7">
        <v>152.84809519999999</v>
      </c>
      <c r="D522" s="15">
        <v>21</v>
      </c>
      <c r="E522" s="19">
        <v>0.17000009346</v>
      </c>
      <c r="F522" s="7">
        <v>152.84809519999999</v>
      </c>
      <c r="G522" s="8">
        <v>21</v>
      </c>
      <c r="H522" s="9">
        <v>0.17000009346</v>
      </c>
    </row>
    <row r="523" spans="1:8" ht="16.5" customHeight="1" x14ac:dyDescent="0.2">
      <c r="A523" s="14" t="s">
        <v>461</v>
      </c>
      <c r="B523" s="6" t="s">
        <v>476</v>
      </c>
      <c r="C523" s="7">
        <v>54.25</v>
      </c>
      <c r="D523" s="15">
        <v>16</v>
      </c>
      <c r="E523" s="19">
        <v>0.17</v>
      </c>
      <c r="F523" s="7">
        <v>62.317073200000003</v>
      </c>
      <c r="G523" s="8">
        <v>41</v>
      </c>
      <c r="H523" s="9">
        <v>0.17</v>
      </c>
    </row>
    <row r="524" spans="1:8" ht="16.5" customHeight="1" x14ac:dyDescent="0.2">
      <c r="A524" s="14" t="s">
        <v>461</v>
      </c>
      <c r="B524" s="6" t="s">
        <v>477</v>
      </c>
      <c r="C524" s="7">
        <v>41.013333299999999</v>
      </c>
      <c r="D524" s="15">
        <v>3</v>
      </c>
      <c r="E524" s="19">
        <v>0.17000162549</v>
      </c>
      <c r="F524" s="7">
        <v>37.966250000000002</v>
      </c>
      <c r="G524" s="8">
        <v>8</v>
      </c>
      <c r="H524" s="9">
        <v>0.16999967076</v>
      </c>
    </row>
    <row r="525" spans="1:8" ht="16.5" customHeight="1" x14ac:dyDescent="0.2">
      <c r="A525" s="14" t="s">
        <v>461</v>
      </c>
      <c r="B525" s="6" t="s">
        <v>478</v>
      </c>
      <c r="C525" s="7">
        <v>69.487142899999995</v>
      </c>
      <c r="D525" s="15">
        <v>7</v>
      </c>
      <c r="E525" s="19">
        <v>0.16999856088000001</v>
      </c>
      <c r="F525" s="7">
        <v>75.758333300000004</v>
      </c>
      <c r="G525" s="8">
        <v>12</v>
      </c>
      <c r="H525" s="9">
        <v>0.17000109998999999</v>
      </c>
    </row>
    <row r="526" spans="1:8" ht="16.5" customHeight="1" x14ac:dyDescent="0.2">
      <c r="A526" s="14" t="s">
        <v>461</v>
      </c>
      <c r="B526" s="6" t="s">
        <v>479</v>
      </c>
      <c r="C526" s="7">
        <v>67.087500000000006</v>
      </c>
      <c r="D526" s="15">
        <v>8</v>
      </c>
      <c r="E526" s="19">
        <v>0.17</v>
      </c>
      <c r="F526" s="7">
        <v>214.10499999999999</v>
      </c>
      <c r="G526" s="8">
        <v>30</v>
      </c>
      <c r="H526" s="9">
        <v>0.17000007784000001</v>
      </c>
    </row>
    <row r="527" spans="1:8" ht="16.5" customHeight="1" x14ac:dyDescent="0.2">
      <c r="A527" s="14" t="s">
        <v>461</v>
      </c>
      <c r="B527" s="6" t="s">
        <v>480</v>
      </c>
      <c r="C527" s="7">
        <v>52.178571400000003</v>
      </c>
      <c r="D527" s="15">
        <v>13</v>
      </c>
      <c r="E527" s="19">
        <v>0.17</v>
      </c>
      <c r="F527" s="7">
        <v>68.666666699999993</v>
      </c>
      <c r="G527" s="8">
        <v>38</v>
      </c>
      <c r="H527" s="9">
        <v>0.17</v>
      </c>
    </row>
    <row r="528" spans="1:8" ht="16.5" customHeight="1" x14ac:dyDescent="0.2">
      <c r="A528" s="14" t="s">
        <v>461</v>
      </c>
      <c r="B528" s="6" t="s">
        <v>481</v>
      </c>
      <c r="C528" s="7">
        <v>52.456249999999997</v>
      </c>
      <c r="D528" s="15">
        <v>16</v>
      </c>
      <c r="E528" s="19">
        <v>0.17</v>
      </c>
      <c r="F528" s="7">
        <v>82.128205100000002</v>
      </c>
      <c r="G528" s="8">
        <v>38</v>
      </c>
      <c r="H528" s="9">
        <v>0.17</v>
      </c>
    </row>
    <row r="529" spans="1:8" ht="16.5" customHeight="1" x14ac:dyDescent="0.2">
      <c r="A529" s="14" t="s">
        <v>461</v>
      </c>
      <c r="B529" s="6" t="s">
        <v>482</v>
      </c>
      <c r="C529" s="7">
        <v>230.95217389999999</v>
      </c>
      <c r="D529" s="15">
        <v>23</v>
      </c>
      <c r="E529" s="19">
        <v>0.17</v>
      </c>
      <c r="F529" s="7">
        <v>252.12470590000001</v>
      </c>
      <c r="G529" s="8">
        <v>51</v>
      </c>
      <c r="H529" s="9">
        <v>0.17000006222</v>
      </c>
    </row>
    <row r="530" spans="1:8" ht="16.5" customHeight="1" x14ac:dyDescent="0.2">
      <c r="A530" s="14" t="s">
        <v>461</v>
      </c>
      <c r="B530" s="6" t="s">
        <v>483</v>
      </c>
      <c r="C530" s="7">
        <v>148.90625</v>
      </c>
      <c r="D530" s="15">
        <v>16</v>
      </c>
      <c r="E530" s="19">
        <v>0.17</v>
      </c>
      <c r="F530" s="7">
        <v>179.71333329999999</v>
      </c>
      <c r="G530" s="8">
        <v>45</v>
      </c>
      <c r="H530" s="9">
        <v>0.17</v>
      </c>
    </row>
    <row r="531" spans="1:8" ht="16.5" customHeight="1" x14ac:dyDescent="0.2">
      <c r="A531" s="14" t="s">
        <v>461</v>
      </c>
      <c r="B531" s="6" t="s">
        <v>484</v>
      </c>
      <c r="C531" s="7">
        <v>111.7252941</v>
      </c>
      <c r="D531" s="15">
        <v>17</v>
      </c>
      <c r="E531" s="19">
        <v>0.17000047385</v>
      </c>
      <c r="F531" s="7">
        <v>122.9558974</v>
      </c>
      <c r="G531" s="8">
        <v>39</v>
      </c>
      <c r="H531" s="9">
        <v>0.17000029194999999</v>
      </c>
    </row>
    <row r="532" spans="1:8" ht="16.5" customHeight="1" x14ac:dyDescent="0.2">
      <c r="A532" s="14" t="s">
        <v>461</v>
      </c>
      <c r="B532" s="6" t="s">
        <v>485</v>
      </c>
      <c r="C532" s="7">
        <v>23.972222200000001</v>
      </c>
      <c r="D532" s="15">
        <v>16</v>
      </c>
      <c r="E532" s="19">
        <v>0.17</v>
      </c>
      <c r="F532" s="7">
        <v>24.243181799999999</v>
      </c>
      <c r="G532" s="8">
        <v>32</v>
      </c>
      <c r="H532" s="9">
        <v>0.17</v>
      </c>
    </row>
    <row r="533" spans="1:8" ht="16.5" customHeight="1" x14ac:dyDescent="0.2">
      <c r="A533" s="14" t="s">
        <v>461</v>
      </c>
      <c r="B533" s="6" t="s">
        <v>279</v>
      </c>
      <c r="C533" s="7">
        <v>123</v>
      </c>
      <c r="D533" s="15">
        <v>1</v>
      </c>
      <c r="E533" s="19">
        <v>0.17</v>
      </c>
      <c r="F533" s="7">
        <v>123</v>
      </c>
      <c r="G533" s="8">
        <v>1</v>
      </c>
      <c r="H533" s="9">
        <v>0.17</v>
      </c>
    </row>
    <row r="534" spans="1:8" ht="16.5" customHeight="1" x14ac:dyDescent="0.2">
      <c r="A534" s="14" t="s">
        <v>461</v>
      </c>
      <c r="B534" s="6" t="s">
        <v>486</v>
      </c>
      <c r="C534" s="1"/>
      <c r="D534" s="13"/>
      <c r="E534" s="13"/>
      <c r="F534" s="7">
        <v>211.45</v>
      </c>
      <c r="G534" s="8">
        <v>2</v>
      </c>
      <c r="H534" s="9">
        <v>0.17</v>
      </c>
    </row>
    <row r="535" spans="1:8" ht="16.5" customHeight="1" x14ac:dyDescent="0.2">
      <c r="A535" s="14" t="s">
        <v>461</v>
      </c>
      <c r="B535" s="6" t="s">
        <v>487</v>
      </c>
      <c r="C535" s="7">
        <v>456.73157889999999</v>
      </c>
      <c r="D535" s="15">
        <v>19</v>
      </c>
      <c r="E535" s="19">
        <v>0.17</v>
      </c>
      <c r="F535" s="7">
        <v>460.01086959999998</v>
      </c>
      <c r="G535" s="8">
        <v>46</v>
      </c>
      <c r="H535" s="9">
        <v>0.17</v>
      </c>
    </row>
    <row r="536" spans="1:8" ht="16.5" customHeight="1" x14ac:dyDescent="0.2">
      <c r="A536" s="14" t="s">
        <v>461</v>
      </c>
      <c r="B536" s="6" t="s">
        <v>488</v>
      </c>
      <c r="C536" s="7">
        <v>316.71249999999998</v>
      </c>
      <c r="D536" s="15">
        <v>8</v>
      </c>
      <c r="E536" s="19">
        <v>0.17</v>
      </c>
      <c r="F536" s="7">
        <v>207.8486111</v>
      </c>
      <c r="G536" s="8">
        <v>36</v>
      </c>
      <c r="H536" s="9">
        <v>0.17000006681999999</v>
      </c>
    </row>
    <row r="537" spans="1:8" ht="16.5" customHeight="1" x14ac:dyDescent="0.2">
      <c r="A537" s="14" t="s">
        <v>489</v>
      </c>
      <c r="B537" s="6" t="s">
        <v>490</v>
      </c>
      <c r="C537" s="7">
        <v>30.0833333</v>
      </c>
      <c r="D537" s="15">
        <v>6</v>
      </c>
      <c r="E537" s="19">
        <v>0.17</v>
      </c>
      <c r="F537" s="7">
        <v>25.266153800000001</v>
      </c>
      <c r="G537" s="8">
        <v>12</v>
      </c>
      <c r="H537" s="9">
        <v>0.16999939110000001</v>
      </c>
    </row>
    <row r="538" spans="1:8" ht="16.5" customHeight="1" x14ac:dyDescent="0.2">
      <c r="A538" s="14" t="s">
        <v>489</v>
      </c>
      <c r="B538" s="6" t="s">
        <v>491</v>
      </c>
      <c r="C538" s="1"/>
      <c r="D538" s="13"/>
      <c r="E538" s="13"/>
      <c r="F538" s="7">
        <v>68.405000000000001</v>
      </c>
      <c r="G538" s="8">
        <v>2</v>
      </c>
      <c r="H538" s="9">
        <v>0.17000219282000001</v>
      </c>
    </row>
    <row r="539" spans="1:8" ht="16.5" customHeight="1" x14ac:dyDescent="0.2">
      <c r="A539" s="14" t="s">
        <v>489</v>
      </c>
      <c r="B539" s="6" t="s">
        <v>492</v>
      </c>
      <c r="C539" s="7">
        <v>65.465555600000002</v>
      </c>
      <c r="D539" s="15">
        <v>9</v>
      </c>
      <c r="E539" s="19">
        <v>0.16999949082999999</v>
      </c>
      <c r="F539" s="7">
        <v>65.260000000000005</v>
      </c>
      <c r="G539" s="8">
        <v>16</v>
      </c>
      <c r="H539" s="9">
        <v>0.16999980846000001</v>
      </c>
    </row>
    <row r="540" spans="1:8" ht="16.5" customHeight="1" x14ac:dyDescent="0.2">
      <c r="A540" s="14" t="s">
        <v>489</v>
      </c>
      <c r="B540" s="6" t="s">
        <v>493</v>
      </c>
      <c r="C540" s="7">
        <v>257.3</v>
      </c>
      <c r="D540" s="15">
        <v>6</v>
      </c>
      <c r="E540" s="19">
        <v>0.17</v>
      </c>
      <c r="F540" s="7">
        <v>247.77181820000001</v>
      </c>
      <c r="G540" s="8">
        <v>11</v>
      </c>
      <c r="H540" s="9">
        <v>0.16999988993000001</v>
      </c>
    </row>
    <row r="541" spans="1:8" ht="16.5" customHeight="1" x14ac:dyDescent="0.2">
      <c r="A541" s="14" t="s">
        <v>489</v>
      </c>
      <c r="B541" s="6" t="s">
        <v>494</v>
      </c>
      <c r="C541" s="7">
        <v>146</v>
      </c>
      <c r="D541" s="15">
        <v>1</v>
      </c>
      <c r="E541" s="19">
        <v>0.17</v>
      </c>
      <c r="F541" s="7">
        <v>133</v>
      </c>
      <c r="G541" s="8">
        <v>2</v>
      </c>
      <c r="H541" s="9">
        <v>0.17</v>
      </c>
    </row>
    <row r="542" spans="1:8" ht="16.5" customHeight="1" x14ac:dyDescent="0.2">
      <c r="A542" s="14" t="s">
        <v>489</v>
      </c>
      <c r="B542" s="6" t="s">
        <v>495</v>
      </c>
      <c r="C542" s="7">
        <v>101.2566667</v>
      </c>
      <c r="D542" s="15">
        <v>12</v>
      </c>
      <c r="E542" s="19">
        <v>0.16999950621000001</v>
      </c>
      <c r="F542" s="7">
        <v>104.3804348</v>
      </c>
      <c r="G542" s="8">
        <v>23</v>
      </c>
      <c r="H542" s="9">
        <v>0.16999979172999999</v>
      </c>
    </row>
    <row r="543" spans="1:8" ht="16.5" customHeight="1" x14ac:dyDescent="0.2">
      <c r="A543" s="14" t="s">
        <v>489</v>
      </c>
      <c r="B543" s="6" t="s">
        <v>496</v>
      </c>
      <c r="C543" s="7">
        <v>13.9657143</v>
      </c>
      <c r="D543" s="15">
        <v>7</v>
      </c>
      <c r="E543" s="19">
        <v>0.16999795416999999</v>
      </c>
      <c r="F543" s="7">
        <v>14.193</v>
      </c>
      <c r="G543" s="8">
        <v>10</v>
      </c>
      <c r="H543" s="9">
        <v>0.16999929543</v>
      </c>
    </row>
    <row r="544" spans="1:8" ht="16.5" customHeight="1" x14ac:dyDescent="0.2">
      <c r="A544" s="14" t="s">
        <v>489</v>
      </c>
      <c r="B544" s="6" t="s">
        <v>497</v>
      </c>
      <c r="C544" s="7">
        <v>47.057499999999997</v>
      </c>
      <c r="D544" s="15">
        <v>4</v>
      </c>
      <c r="E544" s="19">
        <v>0.17000478138</v>
      </c>
      <c r="F544" s="7">
        <v>36.321111100000003</v>
      </c>
      <c r="G544" s="8">
        <v>9</v>
      </c>
      <c r="H544" s="9">
        <v>0.17000214139</v>
      </c>
    </row>
    <row r="545" spans="1:8" ht="16.5" customHeight="1" x14ac:dyDescent="0.2">
      <c r="A545" s="14" t="s">
        <v>489</v>
      </c>
      <c r="B545" s="6" t="s">
        <v>22</v>
      </c>
      <c r="C545" s="7">
        <v>42.9</v>
      </c>
      <c r="D545" s="15">
        <v>2</v>
      </c>
      <c r="E545" s="19">
        <v>0.17</v>
      </c>
      <c r="F545" s="7">
        <v>57.5</v>
      </c>
      <c r="G545" s="8">
        <v>3</v>
      </c>
      <c r="H545" s="9">
        <v>0.17</v>
      </c>
    </row>
    <row r="546" spans="1:8" ht="16.5" customHeight="1" x14ac:dyDescent="0.2">
      <c r="A546" s="14" t="s">
        <v>489</v>
      </c>
      <c r="B546" s="6" t="s">
        <v>23</v>
      </c>
      <c r="C546" s="1"/>
      <c r="D546" s="13"/>
      <c r="E546" s="13"/>
      <c r="F546" s="7">
        <v>14.67</v>
      </c>
      <c r="G546" s="8">
        <v>2</v>
      </c>
      <c r="H546" s="9">
        <v>0.17000681663</v>
      </c>
    </row>
    <row r="547" spans="1:8" ht="16.5" customHeight="1" x14ac:dyDescent="0.2">
      <c r="A547" s="14" t="s">
        <v>489</v>
      </c>
      <c r="B547" s="6" t="s">
        <v>24</v>
      </c>
      <c r="C547" s="7">
        <v>14.55</v>
      </c>
      <c r="D547" s="15">
        <v>1</v>
      </c>
      <c r="E547" s="19">
        <v>0.17003436425999999</v>
      </c>
      <c r="F547" s="7">
        <v>14.3233333</v>
      </c>
      <c r="G547" s="8">
        <v>3</v>
      </c>
      <c r="H547" s="9">
        <v>0.17002559925999999</v>
      </c>
    </row>
    <row r="548" spans="1:8" ht="16.5" customHeight="1" x14ac:dyDescent="0.2">
      <c r="A548" s="14" t="s">
        <v>489</v>
      </c>
      <c r="B548" s="6" t="s">
        <v>498</v>
      </c>
      <c r="C548" s="7">
        <v>19.16</v>
      </c>
      <c r="D548" s="15">
        <v>5</v>
      </c>
      <c r="E548" s="19">
        <v>0.17</v>
      </c>
      <c r="F548" s="7">
        <v>18.882000000000001</v>
      </c>
      <c r="G548" s="8">
        <v>10</v>
      </c>
      <c r="H548" s="9">
        <v>0.17000847367999999</v>
      </c>
    </row>
    <row r="549" spans="1:8" ht="16.5" customHeight="1" x14ac:dyDescent="0.2">
      <c r="A549" s="14" t="s">
        <v>489</v>
      </c>
      <c r="B549" s="6" t="s">
        <v>499</v>
      </c>
      <c r="C549" s="1"/>
      <c r="D549" s="13"/>
      <c r="E549" s="13"/>
      <c r="F549" s="7">
        <v>14.45</v>
      </c>
      <c r="G549" s="8">
        <v>1</v>
      </c>
      <c r="H549" s="9">
        <v>0.17003460208000001</v>
      </c>
    </row>
    <row r="550" spans="1:8" ht="16.5" customHeight="1" x14ac:dyDescent="0.2">
      <c r="A550" s="14" t="s">
        <v>489</v>
      </c>
      <c r="B550" s="6" t="s">
        <v>25</v>
      </c>
      <c r="C550" s="1"/>
      <c r="D550" s="13"/>
      <c r="E550" s="13"/>
      <c r="F550" s="7">
        <v>20.864999999999998</v>
      </c>
      <c r="G550" s="8">
        <v>2</v>
      </c>
      <c r="H550" s="9">
        <v>0.16999760363999999</v>
      </c>
    </row>
    <row r="551" spans="1:8" ht="16.5" customHeight="1" x14ac:dyDescent="0.2">
      <c r="A551" s="14" t="s">
        <v>489</v>
      </c>
      <c r="B551" s="6" t="s">
        <v>500</v>
      </c>
      <c r="C551" s="7">
        <v>21.02375</v>
      </c>
      <c r="D551" s="15">
        <v>7</v>
      </c>
      <c r="E551" s="19">
        <v>0.1699982163</v>
      </c>
      <c r="F551" s="7">
        <v>20.213125000000002</v>
      </c>
      <c r="G551" s="8">
        <v>15</v>
      </c>
      <c r="H551" s="9">
        <v>0.16999783556</v>
      </c>
    </row>
    <row r="552" spans="1:8" ht="16.5" customHeight="1" x14ac:dyDescent="0.2">
      <c r="A552" s="14" t="s">
        <v>489</v>
      </c>
      <c r="B552" s="6" t="s">
        <v>26</v>
      </c>
      <c r="C552" s="7">
        <v>14.57</v>
      </c>
      <c r="D552" s="15">
        <v>2</v>
      </c>
      <c r="E552" s="19">
        <v>0.17000686341999999</v>
      </c>
      <c r="F552" s="7">
        <v>14.145</v>
      </c>
      <c r="G552" s="8">
        <v>4</v>
      </c>
      <c r="H552" s="9">
        <v>0.17000706964000001</v>
      </c>
    </row>
    <row r="553" spans="1:8" ht="16.5" customHeight="1" x14ac:dyDescent="0.2">
      <c r="A553" s="14" t="s">
        <v>489</v>
      </c>
      <c r="B553" s="6" t="s">
        <v>501</v>
      </c>
      <c r="C553" s="7">
        <v>19.391428600000001</v>
      </c>
      <c r="D553" s="15">
        <v>7</v>
      </c>
      <c r="E553" s="19">
        <v>0.16999410638000001</v>
      </c>
      <c r="F553" s="7">
        <v>19.378</v>
      </c>
      <c r="G553" s="8">
        <v>14</v>
      </c>
      <c r="H553" s="9">
        <v>0.16999690371000001</v>
      </c>
    </row>
    <row r="554" spans="1:8" ht="16.5" customHeight="1" x14ac:dyDescent="0.2">
      <c r="A554" s="14" t="s">
        <v>489</v>
      </c>
      <c r="B554" s="6" t="s">
        <v>502</v>
      </c>
      <c r="C554" s="7">
        <v>19.356666700000002</v>
      </c>
      <c r="D554" s="15">
        <v>6</v>
      </c>
      <c r="E554" s="19">
        <v>0.17000172206</v>
      </c>
      <c r="F554" s="7">
        <v>19.328888899999999</v>
      </c>
      <c r="G554" s="8">
        <v>9</v>
      </c>
      <c r="H554" s="9">
        <v>0.16999885031</v>
      </c>
    </row>
    <row r="555" spans="1:8" ht="16.5" customHeight="1" x14ac:dyDescent="0.2">
      <c r="A555" s="14" t="s">
        <v>489</v>
      </c>
      <c r="B555" s="6" t="s">
        <v>30</v>
      </c>
      <c r="C555" s="1"/>
      <c r="D555" s="13"/>
      <c r="E555" s="13"/>
      <c r="F555" s="7">
        <v>20.745000000000001</v>
      </c>
      <c r="G555" s="8">
        <v>2</v>
      </c>
      <c r="H555" s="9">
        <v>0.16999276933999999</v>
      </c>
    </row>
    <row r="556" spans="1:8" ht="16.5" customHeight="1" x14ac:dyDescent="0.2">
      <c r="A556" s="14" t="s">
        <v>489</v>
      </c>
      <c r="B556" s="6" t="s">
        <v>32</v>
      </c>
      <c r="C556" s="7">
        <v>18.355</v>
      </c>
      <c r="D556" s="15">
        <v>2</v>
      </c>
      <c r="E556" s="19">
        <v>0.17000817216</v>
      </c>
      <c r="F556" s="7">
        <v>24.1325</v>
      </c>
      <c r="G556" s="8">
        <v>4</v>
      </c>
      <c r="H556" s="9">
        <v>0.17000932353000001</v>
      </c>
    </row>
    <row r="557" spans="1:8" ht="16.5" customHeight="1" x14ac:dyDescent="0.2">
      <c r="A557" s="14" t="s">
        <v>489</v>
      </c>
      <c r="B557" s="6" t="s">
        <v>503</v>
      </c>
      <c r="C557" s="7">
        <v>19.670000000000002</v>
      </c>
      <c r="D557" s="15">
        <v>9</v>
      </c>
      <c r="E557" s="19">
        <v>0.17000508387999999</v>
      </c>
      <c r="F557" s="7">
        <v>19.464117600000002</v>
      </c>
      <c r="G557" s="8">
        <v>16</v>
      </c>
      <c r="H557" s="9">
        <v>0.17000211551</v>
      </c>
    </row>
    <row r="558" spans="1:8" ht="16.5" customHeight="1" x14ac:dyDescent="0.2">
      <c r="A558" s="14" t="s">
        <v>489</v>
      </c>
      <c r="B558" s="6" t="s">
        <v>33</v>
      </c>
      <c r="C558" s="7">
        <v>18.38</v>
      </c>
      <c r="D558" s="15">
        <v>2</v>
      </c>
      <c r="E558" s="19">
        <v>0.17002176279</v>
      </c>
      <c r="F558" s="7">
        <v>23.692499999999999</v>
      </c>
      <c r="G558" s="8">
        <v>4</v>
      </c>
      <c r="H558" s="9">
        <v>0.17001160705000001</v>
      </c>
    </row>
    <row r="559" spans="1:8" ht="16.5" customHeight="1" x14ac:dyDescent="0.2">
      <c r="A559" s="14" t="s">
        <v>489</v>
      </c>
      <c r="B559" s="6" t="s">
        <v>34</v>
      </c>
      <c r="C559" s="7">
        <v>14.36</v>
      </c>
      <c r="D559" s="15">
        <v>2</v>
      </c>
      <c r="E559" s="19">
        <v>0.16998607242</v>
      </c>
      <c r="F559" s="7">
        <v>14.326000000000001</v>
      </c>
      <c r="G559" s="8">
        <v>4</v>
      </c>
      <c r="H559" s="9">
        <v>0.16999860393999999</v>
      </c>
    </row>
    <row r="560" spans="1:8" ht="16.5" customHeight="1" x14ac:dyDescent="0.2">
      <c r="A560" s="14" t="s">
        <v>489</v>
      </c>
      <c r="B560" s="6" t="s">
        <v>35</v>
      </c>
      <c r="C560" s="7">
        <v>23.754999999999999</v>
      </c>
      <c r="D560" s="15">
        <v>4</v>
      </c>
      <c r="E560" s="19">
        <v>0.17000631446</v>
      </c>
      <c r="F560" s="7">
        <v>22.008571400000001</v>
      </c>
      <c r="G560" s="8">
        <v>7</v>
      </c>
      <c r="H560" s="9">
        <v>0.17000519278000001</v>
      </c>
    </row>
    <row r="561" spans="1:8" ht="16.5" customHeight="1" x14ac:dyDescent="0.2">
      <c r="A561" s="14" t="s">
        <v>489</v>
      </c>
      <c r="B561" s="6" t="s">
        <v>504</v>
      </c>
      <c r="C561" s="7">
        <v>16.956</v>
      </c>
      <c r="D561" s="15">
        <v>5</v>
      </c>
      <c r="E561" s="19">
        <v>0.17001651333000001</v>
      </c>
      <c r="F561" s="7">
        <v>18.5242857</v>
      </c>
      <c r="G561" s="8">
        <v>7</v>
      </c>
      <c r="H561" s="9">
        <v>0.17001619496000001</v>
      </c>
    </row>
    <row r="562" spans="1:8" ht="16.5" customHeight="1" x14ac:dyDescent="0.2">
      <c r="A562" s="14" t="s">
        <v>489</v>
      </c>
      <c r="B562" s="6" t="s">
        <v>505</v>
      </c>
      <c r="C562" s="7">
        <v>35.9811111</v>
      </c>
      <c r="D562" s="15">
        <v>9</v>
      </c>
      <c r="E562" s="19">
        <v>0.17000277924000001</v>
      </c>
      <c r="F562" s="7">
        <v>43.147058800000003</v>
      </c>
      <c r="G562" s="8">
        <v>17</v>
      </c>
      <c r="H562" s="9">
        <v>0.17000272664999999</v>
      </c>
    </row>
    <row r="563" spans="1:8" ht="16.5" customHeight="1" x14ac:dyDescent="0.2">
      <c r="A563" s="14" t="s">
        <v>489</v>
      </c>
      <c r="B563" s="6" t="s">
        <v>506</v>
      </c>
      <c r="C563" s="7">
        <v>14.3328571</v>
      </c>
      <c r="D563" s="15">
        <v>7</v>
      </c>
      <c r="E563" s="19">
        <v>0.16998903618</v>
      </c>
      <c r="F563" s="7">
        <v>14.53</v>
      </c>
      <c r="G563" s="8">
        <v>10</v>
      </c>
      <c r="H563" s="9">
        <v>0.16999311769</v>
      </c>
    </row>
    <row r="564" spans="1:8" ht="16.5" customHeight="1" x14ac:dyDescent="0.2">
      <c r="A564" s="14" t="s">
        <v>489</v>
      </c>
      <c r="B564" s="6" t="s">
        <v>507</v>
      </c>
      <c r="C564" s="7">
        <v>14.67</v>
      </c>
      <c r="D564" s="15">
        <v>1</v>
      </c>
      <c r="E564" s="19">
        <v>0.17000681663</v>
      </c>
      <c r="F564" s="7">
        <v>14.99</v>
      </c>
      <c r="G564" s="8">
        <v>4</v>
      </c>
      <c r="H564" s="9">
        <v>0.17001334223</v>
      </c>
    </row>
    <row r="565" spans="1:8" ht="16.5" customHeight="1" x14ac:dyDescent="0.2">
      <c r="A565" s="14" t="s">
        <v>489</v>
      </c>
      <c r="B565" s="6" t="s">
        <v>508</v>
      </c>
      <c r="C565" s="7">
        <v>14.481428599999999</v>
      </c>
      <c r="D565" s="15">
        <v>7</v>
      </c>
      <c r="E565" s="19">
        <v>0.17001085133999999</v>
      </c>
      <c r="F565" s="7">
        <v>14.4161538</v>
      </c>
      <c r="G565" s="8">
        <v>13</v>
      </c>
      <c r="H565" s="9">
        <v>0.17000160077000001</v>
      </c>
    </row>
    <row r="566" spans="1:8" ht="16.5" customHeight="1" x14ac:dyDescent="0.2">
      <c r="A566" s="14" t="s">
        <v>489</v>
      </c>
      <c r="B566" s="6" t="s">
        <v>509</v>
      </c>
      <c r="C566" s="7">
        <v>27.159090899999999</v>
      </c>
      <c r="D566" s="15">
        <v>11</v>
      </c>
      <c r="E566" s="19">
        <v>0.17000502092</v>
      </c>
      <c r="F566" s="7">
        <v>28.231428600000001</v>
      </c>
      <c r="G566" s="8">
        <v>20</v>
      </c>
      <c r="H566" s="9">
        <v>0.17000303613000001</v>
      </c>
    </row>
    <row r="567" spans="1:8" ht="16.5" customHeight="1" x14ac:dyDescent="0.2">
      <c r="A567" s="14" t="s">
        <v>489</v>
      </c>
      <c r="B567" s="6" t="s">
        <v>510</v>
      </c>
      <c r="C567" s="7">
        <v>26.5657143</v>
      </c>
      <c r="D567" s="15">
        <v>7</v>
      </c>
      <c r="E567" s="19">
        <v>0.16999892450000001</v>
      </c>
      <c r="F567" s="7">
        <v>22.46875</v>
      </c>
      <c r="G567" s="8">
        <v>16</v>
      </c>
      <c r="H567" s="9">
        <v>0.17</v>
      </c>
    </row>
    <row r="568" spans="1:8" ht="16.5" customHeight="1" x14ac:dyDescent="0.2">
      <c r="A568" s="14" t="s">
        <v>489</v>
      </c>
      <c r="B568" s="6" t="s">
        <v>511</v>
      </c>
      <c r="C568" s="1"/>
      <c r="D568" s="13"/>
      <c r="E568" s="13"/>
      <c r="F568" s="7">
        <v>20.8</v>
      </c>
      <c r="G568" s="8">
        <v>1</v>
      </c>
      <c r="H568" s="9">
        <v>0.17</v>
      </c>
    </row>
    <row r="569" spans="1:8" ht="16.5" customHeight="1" x14ac:dyDescent="0.2">
      <c r="A569" s="14" t="s">
        <v>489</v>
      </c>
      <c r="B569" s="6" t="s">
        <v>512</v>
      </c>
      <c r="C569" s="7">
        <v>207.73</v>
      </c>
      <c r="D569" s="15">
        <v>1</v>
      </c>
      <c r="E569" s="19">
        <v>0.16999951861000001</v>
      </c>
      <c r="F569" s="7">
        <v>292.93333330000002</v>
      </c>
      <c r="G569" s="8">
        <v>3</v>
      </c>
      <c r="H569" s="9">
        <v>0.17</v>
      </c>
    </row>
    <row r="570" spans="1:8" ht="16.5" customHeight="1" x14ac:dyDescent="0.2">
      <c r="A570" s="14" t="s">
        <v>489</v>
      </c>
      <c r="B570" s="6" t="s">
        <v>513</v>
      </c>
      <c r="C570" s="7">
        <v>27.4128571</v>
      </c>
      <c r="D570" s="15">
        <v>6</v>
      </c>
      <c r="E570" s="19">
        <v>0.17000364792</v>
      </c>
      <c r="F570" s="7">
        <v>27.4128571</v>
      </c>
      <c r="G570" s="8">
        <v>6</v>
      </c>
      <c r="H570" s="9">
        <v>0.17000364792</v>
      </c>
    </row>
    <row r="571" spans="1:8" ht="16.5" customHeight="1" x14ac:dyDescent="0.2">
      <c r="A571" s="14" t="s">
        <v>489</v>
      </c>
      <c r="B571" s="6" t="s">
        <v>43</v>
      </c>
      <c r="C571" s="7">
        <v>13.09</v>
      </c>
      <c r="D571" s="15">
        <v>1</v>
      </c>
      <c r="E571" s="19">
        <v>0.16997708174000001</v>
      </c>
      <c r="F571" s="7">
        <v>20.352</v>
      </c>
      <c r="G571" s="8">
        <v>5</v>
      </c>
      <c r="H571" s="9">
        <v>0.16999803459000001</v>
      </c>
    </row>
    <row r="572" spans="1:8" ht="16.5" customHeight="1" x14ac:dyDescent="0.2">
      <c r="A572" s="14" t="s">
        <v>489</v>
      </c>
      <c r="B572" s="6" t="s">
        <v>47</v>
      </c>
      <c r="C572" s="7">
        <v>158.62666669999999</v>
      </c>
      <c r="D572" s="15">
        <v>9</v>
      </c>
      <c r="E572" s="19">
        <v>0.16999943963</v>
      </c>
      <c r="F572" s="7">
        <v>147.54538460000001</v>
      </c>
      <c r="G572" s="8">
        <v>13</v>
      </c>
      <c r="H572" s="9">
        <v>0.16999932224</v>
      </c>
    </row>
    <row r="573" spans="1:8" ht="16.5" customHeight="1" x14ac:dyDescent="0.2">
      <c r="A573" s="14" t="s">
        <v>489</v>
      </c>
      <c r="B573" s="6" t="s">
        <v>514</v>
      </c>
      <c r="C573" s="7">
        <v>96.485555599999998</v>
      </c>
      <c r="D573" s="15">
        <v>9</v>
      </c>
      <c r="E573" s="19">
        <v>0.17000126673999999</v>
      </c>
      <c r="F573" s="7">
        <v>105.7530769</v>
      </c>
      <c r="G573" s="8">
        <v>13</v>
      </c>
      <c r="H573" s="9">
        <v>0.17000123654999999</v>
      </c>
    </row>
    <row r="574" spans="1:8" ht="16.5" customHeight="1" x14ac:dyDescent="0.2">
      <c r="A574" s="14" t="s">
        <v>489</v>
      </c>
      <c r="B574" s="6" t="s">
        <v>515</v>
      </c>
      <c r="C574" s="7">
        <v>19.703333300000001</v>
      </c>
      <c r="D574" s="15">
        <v>12</v>
      </c>
      <c r="E574" s="19">
        <v>0.17000084588</v>
      </c>
      <c r="F574" s="7">
        <v>18.989090900000001</v>
      </c>
      <c r="G574" s="8">
        <v>21</v>
      </c>
      <c r="H574" s="9">
        <v>0.16999952126000001</v>
      </c>
    </row>
    <row r="575" spans="1:8" ht="16.5" customHeight="1" x14ac:dyDescent="0.2">
      <c r="A575" s="14" t="s">
        <v>489</v>
      </c>
      <c r="B575" s="6" t="s">
        <v>516</v>
      </c>
      <c r="C575" s="7">
        <v>30.305</v>
      </c>
      <c r="D575" s="15">
        <v>8</v>
      </c>
      <c r="E575" s="19">
        <v>0.17000082494999999</v>
      </c>
      <c r="F575" s="7">
        <v>28.208823500000001</v>
      </c>
      <c r="G575" s="8">
        <v>17</v>
      </c>
      <c r="H575" s="9">
        <v>0.16999895736000001</v>
      </c>
    </row>
    <row r="576" spans="1:8" ht="16.5" customHeight="1" x14ac:dyDescent="0.2">
      <c r="A576" s="14" t="s">
        <v>489</v>
      </c>
      <c r="B576" s="6" t="s">
        <v>517</v>
      </c>
      <c r="C576" s="7">
        <v>61.09</v>
      </c>
      <c r="D576" s="15">
        <v>1</v>
      </c>
      <c r="E576" s="19">
        <v>0.16999508921000001</v>
      </c>
      <c r="F576" s="7">
        <v>64.459999999999994</v>
      </c>
      <c r="G576" s="8">
        <v>3</v>
      </c>
      <c r="H576" s="9">
        <v>0.17000206846999999</v>
      </c>
    </row>
    <row r="577" spans="1:8" ht="16.5" customHeight="1" x14ac:dyDescent="0.2">
      <c r="A577" s="14" t="s">
        <v>489</v>
      </c>
      <c r="B577" s="6" t="s">
        <v>518</v>
      </c>
      <c r="C577" s="7">
        <v>15.31625</v>
      </c>
      <c r="D577" s="15">
        <v>8</v>
      </c>
      <c r="E577" s="19">
        <v>0.17000734513999999</v>
      </c>
      <c r="F577" s="7">
        <v>15.029285700000001</v>
      </c>
      <c r="G577" s="8">
        <v>13</v>
      </c>
      <c r="H577" s="9">
        <v>0.17000142578999999</v>
      </c>
    </row>
    <row r="578" spans="1:8" ht="16.5" customHeight="1" x14ac:dyDescent="0.2">
      <c r="A578" s="14" t="s">
        <v>489</v>
      </c>
      <c r="B578" s="6" t="s">
        <v>519</v>
      </c>
      <c r="C578" s="7">
        <v>47.593000000000004</v>
      </c>
      <c r="D578" s="15">
        <v>10</v>
      </c>
      <c r="E578" s="19">
        <v>0.17000189102999999</v>
      </c>
      <c r="F578" s="7">
        <v>48.145882399999998</v>
      </c>
      <c r="G578" s="8">
        <v>17</v>
      </c>
      <c r="H578" s="9">
        <v>0.17000048871000001</v>
      </c>
    </row>
    <row r="579" spans="1:8" ht="16.5" customHeight="1" x14ac:dyDescent="0.2">
      <c r="A579" s="14" t="s">
        <v>489</v>
      </c>
      <c r="B579" s="6" t="s">
        <v>520</v>
      </c>
      <c r="C579" s="7">
        <v>118.21250000000001</v>
      </c>
      <c r="D579" s="15">
        <v>4</v>
      </c>
      <c r="E579" s="19">
        <v>0.16999894258000001</v>
      </c>
      <c r="F579" s="7">
        <v>99.87</v>
      </c>
      <c r="G579" s="8">
        <v>7</v>
      </c>
      <c r="H579" s="9">
        <v>0.16999957087000001</v>
      </c>
    </row>
    <row r="580" spans="1:8" ht="16.5" customHeight="1" x14ac:dyDescent="0.2">
      <c r="A580" s="14" t="s">
        <v>489</v>
      </c>
      <c r="B580" s="6" t="s">
        <v>521</v>
      </c>
      <c r="C580" s="7">
        <v>14.752000000000001</v>
      </c>
      <c r="D580" s="15">
        <v>10</v>
      </c>
      <c r="E580" s="19">
        <v>0.17000406725</v>
      </c>
      <c r="F580" s="7">
        <v>14.8835294</v>
      </c>
      <c r="G580" s="8">
        <v>17</v>
      </c>
      <c r="H580" s="9">
        <v>0.17000237134999999</v>
      </c>
    </row>
    <row r="581" spans="1:8" ht="16.5" customHeight="1" x14ac:dyDescent="0.2">
      <c r="A581" s="14" t="s">
        <v>489</v>
      </c>
      <c r="B581" s="6" t="s">
        <v>522</v>
      </c>
      <c r="C581" s="7">
        <v>185.50923080000001</v>
      </c>
      <c r="D581" s="15">
        <v>13</v>
      </c>
      <c r="E581" s="19">
        <v>0.1700002488</v>
      </c>
      <c r="F581" s="7">
        <v>182.69916670000001</v>
      </c>
      <c r="G581" s="8">
        <v>24</v>
      </c>
      <c r="H581" s="9">
        <v>0.17000077541</v>
      </c>
    </row>
    <row r="582" spans="1:8" ht="16.5" customHeight="1" x14ac:dyDescent="0.2">
      <c r="A582" s="14" t="s">
        <v>489</v>
      </c>
      <c r="B582" s="6" t="s">
        <v>523</v>
      </c>
      <c r="C582" s="7">
        <v>16.78</v>
      </c>
      <c r="D582" s="15">
        <v>7</v>
      </c>
      <c r="E582" s="19">
        <v>0.16999829728999999</v>
      </c>
      <c r="F582" s="7">
        <v>17.941428599999998</v>
      </c>
      <c r="G582" s="8">
        <v>14</v>
      </c>
      <c r="H582" s="9">
        <v>0.16999761126999999</v>
      </c>
    </row>
    <row r="583" spans="1:8" ht="16.5" customHeight="1" x14ac:dyDescent="0.2">
      <c r="A583" s="14" t="s">
        <v>489</v>
      </c>
      <c r="B583" s="6" t="s">
        <v>524</v>
      </c>
      <c r="C583" s="7">
        <v>15.165714299999999</v>
      </c>
      <c r="D583" s="15">
        <v>7</v>
      </c>
      <c r="E583" s="19">
        <v>0.16999811605000001</v>
      </c>
      <c r="F583" s="7">
        <v>16.331428599999999</v>
      </c>
      <c r="G583" s="8">
        <v>14</v>
      </c>
      <c r="H583" s="9">
        <v>0.17000087474</v>
      </c>
    </row>
    <row r="584" spans="1:8" ht="16.5" customHeight="1" x14ac:dyDescent="0.2">
      <c r="A584" s="14" t="s">
        <v>489</v>
      </c>
      <c r="B584" s="6" t="s">
        <v>525</v>
      </c>
      <c r="C584" s="7">
        <v>52.2233333</v>
      </c>
      <c r="D584" s="15">
        <v>3</v>
      </c>
      <c r="E584" s="19">
        <v>0.17000063828</v>
      </c>
      <c r="F584" s="7">
        <v>48.862857099999999</v>
      </c>
      <c r="G584" s="8">
        <v>7</v>
      </c>
      <c r="H584" s="9">
        <v>0.17000058472999999</v>
      </c>
    </row>
    <row r="585" spans="1:8" ht="16.5" customHeight="1" x14ac:dyDescent="0.2">
      <c r="A585" s="14" t="s">
        <v>489</v>
      </c>
      <c r="B585" s="6" t="s">
        <v>526</v>
      </c>
      <c r="C585" s="1"/>
      <c r="D585" s="13"/>
      <c r="E585" s="13"/>
      <c r="F585" s="7">
        <v>100.57</v>
      </c>
      <c r="G585" s="8">
        <v>1</v>
      </c>
      <c r="H585" s="9">
        <v>0.17000099432999999</v>
      </c>
    </row>
    <row r="586" spans="1:8" ht="16.5" customHeight="1" x14ac:dyDescent="0.2">
      <c r="A586" s="14" t="s">
        <v>489</v>
      </c>
      <c r="B586" s="6" t="s">
        <v>527</v>
      </c>
      <c r="C586" s="1"/>
      <c r="D586" s="13"/>
      <c r="E586" s="13"/>
      <c r="F586" s="7">
        <v>40.020000000000003</v>
      </c>
      <c r="G586" s="8">
        <v>1</v>
      </c>
      <c r="H586" s="9">
        <v>0.169990005</v>
      </c>
    </row>
    <row r="587" spans="1:8" ht="16.5" customHeight="1" x14ac:dyDescent="0.2">
      <c r="A587" s="14" t="s">
        <v>489</v>
      </c>
      <c r="B587" s="6" t="s">
        <v>528</v>
      </c>
      <c r="C587" s="7">
        <v>2246.2199999999998</v>
      </c>
      <c r="D587" s="15">
        <v>10</v>
      </c>
      <c r="E587" s="19">
        <v>0.17</v>
      </c>
      <c r="F587" s="7">
        <v>2321.9055555999998</v>
      </c>
      <c r="G587" s="8">
        <v>18</v>
      </c>
      <c r="H587" s="9">
        <v>0.17</v>
      </c>
    </row>
    <row r="588" spans="1:8" ht="16.5" customHeight="1" x14ac:dyDescent="0.2">
      <c r="A588" s="14" t="s">
        <v>489</v>
      </c>
      <c r="B588" s="6" t="s">
        <v>529</v>
      </c>
      <c r="C588" s="7">
        <v>184.86692310000001</v>
      </c>
      <c r="D588" s="15">
        <v>13</v>
      </c>
      <c r="E588" s="19">
        <v>0.17000045771</v>
      </c>
      <c r="F588" s="7">
        <v>173.45480000000001</v>
      </c>
      <c r="G588" s="8">
        <v>25</v>
      </c>
      <c r="H588" s="9">
        <v>0.17000025366999999</v>
      </c>
    </row>
    <row r="589" spans="1:8" ht="16.5" customHeight="1" x14ac:dyDescent="0.2">
      <c r="A589" s="14" t="s">
        <v>489</v>
      </c>
      <c r="B589" s="6" t="s">
        <v>530</v>
      </c>
      <c r="C589" s="7">
        <v>219.96125000000001</v>
      </c>
      <c r="D589" s="15">
        <v>8</v>
      </c>
      <c r="E589" s="19">
        <v>0.16999982952000001</v>
      </c>
      <c r="F589" s="7">
        <v>168.53062499999999</v>
      </c>
      <c r="G589" s="8">
        <v>16</v>
      </c>
      <c r="H589" s="9">
        <v>0.16999988873999999</v>
      </c>
    </row>
    <row r="590" spans="1:8" ht="16.5" customHeight="1" x14ac:dyDescent="0.2">
      <c r="A590" s="14" t="s">
        <v>489</v>
      </c>
      <c r="B590" s="6" t="s">
        <v>531</v>
      </c>
      <c r="C590" s="7">
        <v>66.366666699999996</v>
      </c>
      <c r="D590" s="15">
        <v>3</v>
      </c>
      <c r="E590" s="19">
        <v>0.17</v>
      </c>
      <c r="F590" s="7">
        <v>66.366666699999996</v>
      </c>
      <c r="G590" s="8">
        <v>3</v>
      </c>
      <c r="H590" s="9">
        <v>0.17</v>
      </c>
    </row>
    <row r="591" spans="1:8" ht="16.5" customHeight="1" x14ac:dyDescent="0.2">
      <c r="A591" s="14" t="s">
        <v>489</v>
      </c>
      <c r="B591" s="6" t="s">
        <v>532</v>
      </c>
      <c r="C591" s="7">
        <v>1260.7</v>
      </c>
      <c r="D591" s="15">
        <v>1</v>
      </c>
      <c r="E591" s="19">
        <v>0.17</v>
      </c>
      <c r="F591" s="7">
        <v>1260.7</v>
      </c>
      <c r="G591" s="8">
        <v>1</v>
      </c>
      <c r="H591" s="9">
        <v>0.17</v>
      </c>
    </row>
    <row r="592" spans="1:8" ht="16.5" customHeight="1" x14ac:dyDescent="0.2">
      <c r="A592" s="14" t="s">
        <v>533</v>
      </c>
      <c r="B592" s="6" t="s">
        <v>310</v>
      </c>
      <c r="C592" s="7">
        <v>199.74</v>
      </c>
      <c r="D592" s="15">
        <v>1</v>
      </c>
      <c r="E592" s="19">
        <v>0.12346049865</v>
      </c>
      <c r="F592" s="7">
        <v>199.74</v>
      </c>
      <c r="G592" s="8">
        <v>1</v>
      </c>
      <c r="H592" s="9">
        <v>0.12346049865</v>
      </c>
    </row>
    <row r="593" spans="1:8" ht="16.5" customHeight="1" x14ac:dyDescent="0.2">
      <c r="A593" s="14" t="s">
        <v>533</v>
      </c>
      <c r="B593" s="6" t="s">
        <v>534</v>
      </c>
      <c r="C593" s="7">
        <v>17.123333299999999</v>
      </c>
      <c r="D593" s="15">
        <v>9</v>
      </c>
      <c r="E593" s="19">
        <v>0.91862955032000004</v>
      </c>
      <c r="F593" s="7">
        <v>20.832000000000001</v>
      </c>
      <c r="G593" s="8">
        <v>20</v>
      </c>
      <c r="H593" s="9">
        <v>0.75508832564999995</v>
      </c>
    </row>
    <row r="594" spans="1:8" ht="16.5" customHeight="1" x14ac:dyDescent="0.2">
      <c r="A594" s="14" t="s">
        <v>533</v>
      </c>
      <c r="B594" s="6" t="s">
        <v>535</v>
      </c>
      <c r="C594" s="7">
        <v>20.687727299999999</v>
      </c>
      <c r="D594" s="15">
        <v>22</v>
      </c>
      <c r="E594" s="19">
        <v>0.76035418452000003</v>
      </c>
      <c r="F594" s="7">
        <v>20.438867900000002</v>
      </c>
      <c r="G594" s="8">
        <v>53</v>
      </c>
      <c r="H594" s="9">
        <v>0.76961209681999998</v>
      </c>
    </row>
    <row r="595" spans="1:8" ht="16.5" customHeight="1" x14ac:dyDescent="0.2">
      <c r="A595" s="14" t="s">
        <v>533</v>
      </c>
      <c r="B595" s="6" t="s">
        <v>536</v>
      </c>
      <c r="C595" s="7">
        <v>35.757692300000002</v>
      </c>
      <c r="D595" s="15">
        <v>26</v>
      </c>
      <c r="E595" s="19">
        <v>0.47600301171999998</v>
      </c>
      <c r="F595" s="7">
        <v>39.479310300000002</v>
      </c>
      <c r="G595" s="8">
        <v>58</v>
      </c>
      <c r="H595" s="9">
        <v>0.4400427985</v>
      </c>
    </row>
    <row r="596" spans="1:8" ht="16.5" customHeight="1" x14ac:dyDescent="0.2">
      <c r="A596" s="14" t="s">
        <v>533</v>
      </c>
      <c r="B596" s="6" t="s">
        <v>537</v>
      </c>
      <c r="C596" s="7">
        <v>4.83</v>
      </c>
      <c r="D596" s="15">
        <v>1</v>
      </c>
      <c r="E596" s="19">
        <v>3.2567287784699999</v>
      </c>
      <c r="F596" s="7">
        <v>42.336666700000002</v>
      </c>
      <c r="G596" s="8">
        <v>3</v>
      </c>
      <c r="H596" s="9">
        <v>0.44185497205000002</v>
      </c>
    </row>
    <row r="597" spans="1:8" ht="16.5" customHeight="1" x14ac:dyDescent="0.2">
      <c r="A597" s="14" t="s">
        <v>533</v>
      </c>
      <c r="B597" s="6" t="s">
        <v>538</v>
      </c>
      <c r="C597" s="7">
        <v>153.66499999999999</v>
      </c>
      <c r="D597" s="15">
        <v>2</v>
      </c>
      <c r="E597" s="19">
        <v>0.15068493151000001</v>
      </c>
      <c r="F597" s="7">
        <v>122.3116667</v>
      </c>
      <c r="G597" s="8">
        <v>6</v>
      </c>
      <c r="H597" s="9">
        <v>0.18520991455999999</v>
      </c>
    </row>
    <row r="598" spans="1:8" ht="16.5" customHeight="1" x14ac:dyDescent="0.2">
      <c r="A598" s="14" t="s">
        <v>533</v>
      </c>
      <c r="B598" s="6" t="s">
        <v>539</v>
      </c>
      <c r="C598" s="7">
        <v>23.86</v>
      </c>
      <c r="D598" s="15">
        <v>8</v>
      </c>
      <c r="E598" s="19">
        <v>0.65926236379000003</v>
      </c>
      <c r="F598" s="7">
        <v>25.7545</v>
      </c>
      <c r="G598" s="8">
        <v>19</v>
      </c>
      <c r="H598" s="9">
        <v>0.62035760741000001</v>
      </c>
    </row>
    <row r="599" spans="1:8" ht="16.5" customHeight="1" x14ac:dyDescent="0.2">
      <c r="A599" s="14" t="s">
        <v>533</v>
      </c>
      <c r="B599" s="6" t="s">
        <v>540</v>
      </c>
      <c r="C599" s="7">
        <v>40.550465099999997</v>
      </c>
      <c r="D599" s="15">
        <v>43</v>
      </c>
      <c r="E599" s="19">
        <v>0.42528115984999998</v>
      </c>
      <c r="F599" s="7">
        <v>39.666082500000002</v>
      </c>
      <c r="G599" s="8">
        <v>95</v>
      </c>
      <c r="H599" s="9">
        <v>0.43210980322999998</v>
      </c>
    </row>
    <row r="600" spans="1:8" ht="16.5" customHeight="1" x14ac:dyDescent="0.2">
      <c r="A600" s="14" t="s">
        <v>533</v>
      </c>
      <c r="B600" s="6" t="s">
        <v>541</v>
      </c>
      <c r="C600" s="7">
        <v>68.760000000000005</v>
      </c>
      <c r="D600" s="15">
        <v>1</v>
      </c>
      <c r="E600" s="19">
        <v>0.31486329261000001</v>
      </c>
      <c r="F600" s="7">
        <v>68.760000000000005</v>
      </c>
      <c r="G600" s="8">
        <v>1</v>
      </c>
      <c r="H600" s="9">
        <v>0.31486329261000001</v>
      </c>
    </row>
    <row r="601" spans="1:8" ht="16.5" customHeight="1" x14ac:dyDescent="0.2">
      <c r="A601" s="14" t="s">
        <v>533</v>
      </c>
      <c r="B601" s="6" t="s">
        <v>542</v>
      </c>
      <c r="C601" s="7">
        <v>21.724615400000001</v>
      </c>
      <c r="D601" s="15">
        <v>13</v>
      </c>
      <c r="E601" s="19">
        <v>0.74155513066000001</v>
      </c>
      <c r="F601" s="7">
        <v>22.517812500000002</v>
      </c>
      <c r="G601" s="8">
        <v>32</v>
      </c>
      <c r="H601" s="9">
        <v>0.70884161150000002</v>
      </c>
    </row>
    <row r="602" spans="1:8" ht="16.5" customHeight="1" x14ac:dyDescent="0.2">
      <c r="A602" s="14" t="s">
        <v>533</v>
      </c>
      <c r="B602" s="6" t="s">
        <v>543</v>
      </c>
      <c r="C602" s="7">
        <v>25.14</v>
      </c>
      <c r="D602" s="15">
        <v>3</v>
      </c>
      <c r="E602" s="19">
        <v>0.62569610183000002</v>
      </c>
      <c r="F602" s="7">
        <v>17.676666699999998</v>
      </c>
      <c r="G602" s="8">
        <v>6</v>
      </c>
      <c r="H602" s="9">
        <v>0.88987365642000005</v>
      </c>
    </row>
    <row r="603" spans="1:8" ht="16.5" customHeight="1" x14ac:dyDescent="0.2">
      <c r="A603" s="14" t="s">
        <v>533</v>
      </c>
      <c r="B603" s="6" t="s">
        <v>544</v>
      </c>
      <c r="C603" s="7">
        <v>13.77</v>
      </c>
      <c r="D603" s="15">
        <v>1</v>
      </c>
      <c r="E603" s="19">
        <v>1.1423384168499999</v>
      </c>
      <c r="F603" s="7">
        <v>13.77</v>
      </c>
      <c r="G603" s="8">
        <v>1</v>
      </c>
      <c r="H603" s="9">
        <v>1.1423384168499999</v>
      </c>
    </row>
    <row r="604" spans="1:8" ht="16.5" customHeight="1" x14ac:dyDescent="0.2">
      <c r="A604" s="14" t="s">
        <v>533</v>
      </c>
      <c r="B604" s="6" t="s">
        <v>545</v>
      </c>
      <c r="C604" s="7">
        <v>31.327500000000001</v>
      </c>
      <c r="D604" s="15">
        <v>4</v>
      </c>
      <c r="E604" s="19">
        <v>0.52182587183999996</v>
      </c>
      <c r="F604" s="7">
        <v>24.513750000000002</v>
      </c>
      <c r="G604" s="8">
        <v>8</v>
      </c>
      <c r="H604" s="9">
        <v>0.65427566161999995</v>
      </c>
    </row>
    <row r="605" spans="1:8" ht="16.5" customHeight="1" x14ac:dyDescent="0.2">
      <c r="A605" s="14" t="s">
        <v>533</v>
      </c>
      <c r="B605" s="6" t="s">
        <v>546</v>
      </c>
      <c r="C605" s="7">
        <v>24.453571400000001</v>
      </c>
      <c r="D605" s="15">
        <v>14</v>
      </c>
      <c r="E605" s="19">
        <v>0.65768949904999996</v>
      </c>
      <c r="F605" s="7">
        <v>25.623999999999999</v>
      </c>
      <c r="G605" s="8">
        <v>25</v>
      </c>
      <c r="H605" s="9">
        <v>0.62930065564000004</v>
      </c>
    </row>
    <row r="606" spans="1:8" ht="16.5" customHeight="1" x14ac:dyDescent="0.2">
      <c r="A606" s="14" t="s">
        <v>533</v>
      </c>
      <c r="B606" s="6" t="s">
        <v>547</v>
      </c>
      <c r="C606" s="7">
        <v>30</v>
      </c>
      <c r="D606" s="15">
        <v>1</v>
      </c>
      <c r="E606" s="19">
        <v>0.52433333332999998</v>
      </c>
      <c r="F606" s="7">
        <v>32.5</v>
      </c>
      <c r="G606" s="8">
        <v>2</v>
      </c>
      <c r="H606" s="9">
        <v>0.48399999999999999</v>
      </c>
    </row>
    <row r="607" spans="1:8" ht="16.5" customHeight="1" x14ac:dyDescent="0.2">
      <c r="A607" s="14" t="s">
        <v>533</v>
      </c>
      <c r="B607" s="6" t="s">
        <v>67</v>
      </c>
      <c r="C607" s="7">
        <v>131.25</v>
      </c>
      <c r="D607" s="15">
        <v>2</v>
      </c>
      <c r="E607" s="19">
        <v>0.15386666667000001</v>
      </c>
      <c r="F607" s="7">
        <v>107.6533333</v>
      </c>
      <c r="G607" s="8">
        <v>3</v>
      </c>
      <c r="H607" s="9">
        <v>0.19209809264</v>
      </c>
    </row>
    <row r="608" spans="1:8" ht="16.5" customHeight="1" x14ac:dyDescent="0.2">
      <c r="A608" s="14" t="s">
        <v>533</v>
      </c>
      <c r="B608" s="6" t="s">
        <v>77</v>
      </c>
      <c r="C608" s="7">
        <v>42.225000000000001</v>
      </c>
      <c r="D608" s="15">
        <v>6</v>
      </c>
      <c r="E608" s="19">
        <v>0.41539372409999997</v>
      </c>
      <c r="F608" s="7">
        <v>43.004166699999999</v>
      </c>
      <c r="G608" s="8">
        <v>12</v>
      </c>
      <c r="H608" s="9">
        <v>0.40786745470000002</v>
      </c>
    </row>
    <row r="609" spans="1:8" ht="16.5" customHeight="1" x14ac:dyDescent="0.2">
      <c r="A609" s="14" t="s">
        <v>533</v>
      </c>
      <c r="B609" s="6" t="s">
        <v>548</v>
      </c>
      <c r="C609" s="7">
        <v>8.8320000000000007</v>
      </c>
      <c r="D609" s="15">
        <v>5</v>
      </c>
      <c r="E609" s="19">
        <v>1.7810235507200001</v>
      </c>
      <c r="F609" s="7">
        <v>9.6</v>
      </c>
      <c r="G609" s="8">
        <v>8</v>
      </c>
      <c r="H609" s="9">
        <v>1.6385416666699999</v>
      </c>
    </row>
    <row r="610" spans="1:8" ht="16.5" customHeight="1" x14ac:dyDescent="0.2">
      <c r="A610" s="14" t="s">
        <v>533</v>
      </c>
      <c r="B610" s="6" t="s">
        <v>549</v>
      </c>
      <c r="C610" s="1"/>
      <c r="D610" s="13"/>
      <c r="E610" s="13"/>
      <c r="F610" s="7">
        <v>59.96</v>
      </c>
      <c r="G610" s="8">
        <v>1</v>
      </c>
      <c r="H610" s="9">
        <v>0.30353569046000001</v>
      </c>
    </row>
    <row r="611" spans="1:8" ht="16.5" customHeight="1" x14ac:dyDescent="0.2">
      <c r="A611" s="14" t="s">
        <v>533</v>
      </c>
      <c r="B611" s="6" t="s">
        <v>550</v>
      </c>
      <c r="C611" s="7">
        <v>15.67</v>
      </c>
      <c r="D611" s="15">
        <v>1</v>
      </c>
      <c r="E611" s="19">
        <v>1.00382897256</v>
      </c>
      <c r="F611" s="7">
        <v>21.13</v>
      </c>
      <c r="G611" s="8">
        <v>4</v>
      </c>
      <c r="H611" s="9">
        <v>0.74443918599000003</v>
      </c>
    </row>
    <row r="612" spans="1:8" ht="16.5" customHeight="1" x14ac:dyDescent="0.2">
      <c r="A612" s="14" t="s">
        <v>533</v>
      </c>
      <c r="B612" s="6" t="s">
        <v>551</v>
      </c>
      <c r="C612" s="7">
        <v>10.206250000000001</v>
      </c>
      <c r="D612" s="15">
        <v>8</v>
      </c>
      <c r="E612" s="19">
        <v>1.5412124923499999</v>
      </c>
      <c r="F612" s="7">
        <v>9.3744999999999994</v>
      </c>
      <c r="G612" s="8">
        <v>20</v>
      </c>
      <c r="H612" s="9">
        <v>1.6779561576599999</v>
      </c>
    </row>
    <row r="613" spans="1:8" ht="16.5" customHeight="1" x14ac:dyDescent="0.2">
      <c r="A613" s="14" t="s">
        <v>533</v>
      </c>
      <c r="B613" s="6" t="s">
        <v>84</v>
      </c>
      <c r="C613" s="7">
        <v>29.701250000000002</v>
      </c>
      <c r="D613" s="15">
        <v>8</v>
      </c>
      <c r="E613" s="19">
        <v>0.55039771052999997</v>
      </c>
      <c r="F613" s="7">
        <v>23.913333300000001</v>
      </c>
      <c r="G613" s="8">
        <v>18</v>
      </c>
      <c r="H613" s="9">
        <v>0.66926865533000002</v>
      </c>
    </row>
    <row r="614" spans="1:8" ht="16.5" customHeight="1" x14ac:dyDescent="0.2">
      <c r="A614" s="14" t="s">
        <v>533</v>
      </c>
      <c r="B614" s="6" t="s">
        <v>552</v>
      </c>
      <c r="C614" s="7">
        <v>20.848749999999999</v>
      </c>
      <c r="D614" s="15">
        <v>8</v>
      </c>
      <c r="E614" s="19">
        <v>0.76929072486000005</v>
      </c>
      <c r="F614" s="7">
        <v>18.58625</v>
      </c>
      <c r="G614" s="8">
        <v>16</v>
      </c>
      <c r="H614" s="9">
        <v>0.85463043917000003</v>
      </c>
    </row>
    <row r="615" spans="1:8" ht="16.5" customHeight="1" x14ac:dyDescent="0.2">
      <c r="A615" s="14" t="s">
        <v>533</v>
      </c>
      <c r="B615" s="6" t="s">
        <v>553</v>
      </c>
      <c r="C615" s="7">
        <v>19.542857099999999</v>
      </c>
      <c r="D615" s="15">
        <v>7</v>
      </c>
      <c r="E615" s="19">
        <v>0.80489766082000003</v>
      </c>
      <c r="F615" s="7">
        <v>20.843529400000001</v>
      </c>
      <c r="G615" s="8">
        <v>17</v>
      </c>
      <c r="H615" s="9">
        <v>0.75467065529999999</v>
      </c>
    </row>
    <row r="616" spans="1:8" ht="16.5" customHeight="1" x14ac:dyDescent="0.2">
      <c r="A616" s="14" t="s">
        <v>533</v>
      </c>
      <c r="B616" s="6" t="s">
        <v>100</v>
      </c>
      <c r="C616" s="7">
        <v>21.34</v>
      </c>
      <c r="D616" s="15">
        <v>1</v>
      </c>
      <c r="E616" s="19">
        <v>0.73711340205999998</v>
      </c>
      <c r="F616" s="7">
        <v>35.86</v>
      </c>
      <c r="G616" s="8">
        <v>2</v>
      </c>
      <c r="H616" s="9">
        <v>0.47308979363999998</v>
      </c>
    </row>
    <row r="617" spans="1:8" ht="16.5" customHeight="1" x14ac:dyDescent="0.2">
      <c r="A617" s="5" t="s">
        <v>554</v>
      </c>
      <c r="B617" s="6" t="s">
        <v>555</v>
      </c>
      <c r="C617" s="7">
        <v>154</v>
      </c>
      <c r="D617" s="15">
        <v>1</v>
      </c>
      <c r="E617" s="19">
        <v>0</v>
      </c>
      <c r="F617" s="7">
        <v>158.2222222</v>
      </c>
      <c r="G617" s="8">
        <v>8</v>
      </c>
      <c r="H617" s="9">
        <v>7.6931179779999997E-2</v>
      </c>
    </row>
    <row r="618" spans="1:8" ht="16.5" customHeight="1" x14ac:dyDescent="0.2">
      <c r="A618" s="14" t="s">
        <v>556</v>
      </c>
      <c r="B618" s="6" t="s">
        <v>136</v>
      </c>
      <c r="C618" s="7">
        <v>127.215</v>
      </c>
      <c r="D618" s="15">
        <v>2</v>
      </c>
      <c r="E618" s="19">
        <v>0.21598475022999999</v>
      </c>
      <c r="F618" s="7">
        <v>83.67</v>
      </c>
      <c r="G618" s="8">
        <v>6</v>
      </c>
      <c r="H618" s="9">
        <v>0.24062729429999999</v>
      </c>
    </row>
    <row r="619" spans="1:8" ht="16.5" customHeight="1" x14ac:dyDescent="0.2">
      <c r="A619" s="14" t="s">
        <v>556</v>
      </c>
      <c r="B619" s="6" t="s">
        <v>137</v>
      </c>
      <c r="C619" s="7">
        <v>36.159999999999997</v>
      </c>
      <c r="D619" s="15">
        <v>2</v>
      </c>
      <c r="E619" s="19">
        <v>0.29051438053</v>
      </c>
      <c r="F619" s="7">
        <v>36.159999999999997</v>
      </c>
      <c r="G619" s="8">
        <v>2</v>
      </c>
      <c r="H619" s="9">
        <v>0.29051438053</v>
      </c>
    </row>
    <row r="620" spans="1:8" ht="16.5" customHeight="1" x14ac:dyDescent="0.2">
      <c r="A620" s="14" t="s">
        <v>556</v>
      </c>
      <c r="B620" s="6" t="s">
        <v>557</v>
      </c>
      <c r="C620" s="7">
        <v>37.006666699999997</v>
      </c>
      <c r="D620" s="15">
        <v>2</v>
      </c>
      <c r="E620" s="19">
        <v>0.37849036209999998</v>
      </c>
      <c r="F620" s="7">
        <v>37.006666699999997</v>
      </c>
      <c r="G620" s="8">
        <v>2</v>
      </c>
      <c r="H620" s="9">
        <v>0.37849036209999998</v>
      </c>
    </row>
    <row r="621" spans="1:8" ht="16.5" customHeight="1" x14ac:dyDescent="0.2">
      <c r="A621" s="14" t="s">
        <v>556</v>
      </c>
      <c r="B621" s="6" t="s">
        <v>138</v>
      </c>
      <c r="C621" s="1"/>
      <c r="D621" s="13"/>
      <c r="E621" s="13"/>
      <c r="F621" s="7">
        <v>79.672727300000005</v>
      </c>
      <c r="G621" s="8">
        <v>10</v>
      </c>
      <c r="H621" s="9">
        <v>0.15163167503</v>
      </c>
    </row>
    <row r="622" spans="1:8" ht="16.5" customHeight="1" x14ac:dyDescent="0.2">
      <c r="A622" s="14" t="s">
        <v>556</v>
      </c>
      <c r="B622" s="6" t="s">
        <v>139</v>
      </c>
      <c r="C622" s="7">
        <v>139.28749999999999</v>
      </c>
      <c r="D622" s="15">
        <v>23</v>
      </c>
      <c r="E622" s="19">
        <v>0.19483285471</v>
      </c>
      <c r="F622" s="7">
        <v>119.92023260000001</v>
      </c>
      <c r="G622" s="8">
        <v>30</v>
      </c>
      <c r="H622" s="9">
        <v>0.21028105892000001</v>
      </c>
    </row>
    <row r="623" spans="1:8" ht="16.5" customHeight="1" x14ac:dyDescent="0.2">
      <c r="A623" s="14" t="s">
        <v>556</v>
      </c>
      <c r="B623" s="6" t="s">
        <v>140</v>
      </c>
      <c r="C623" s="7">
        <v>207.28555560000001</v>
      </c>
      <c r="D623" s="15">
        <v>19</v>
      </c>
      <c r="E623" s="19">
        <v>0.18085446627999999</v>
      </c>
      <c r="F623" s="7">
        <v>168.17018179999999</v>
      </c>
      <c r="G623" s="8">
        <v>43</v>
      </c>
      <c r="H623" s="9">
        <v>0.17499113452000001</v>
      </c>
    </row>
    <row r="624" spans="1:8" ht="16.5" customHeight="1" x14ac:dyDescent="0.2">
      <c r="A624" s="14" t="s">
        <v>556</v>
      </c>
      <c r="B624" s="6" t="s">
        <v>141</v>
      </c>
      <c r="C624" s="1"/>
      <c r="D624" s="13"/>
      <c r="E624" s="13"/>
      <c r="F624" s="7">
        <v>401.85</v>
      </c>
      <c r="G624" s="8">
        <v>10</v>
      </c>
      <c r="H624" s="9">
        <v>0.10506308323999999</v>
      </c>
    </row>
    <row r="625" spans="1:8" ht="16.5" customHeight="1" x14ac:dyDescent="0.2">
      <c r="A625" s="14" t="s">
        <v>556</v>
      </c>
      <c r="B625" s="6" t="s">
        <v>142</v>
      </c>
      <c r="C625" s="7">
        <v>28.702000000000002</v>
      </c>
      <c r="D625" s="15">
        <v>12</v>
      </c>
      <c r="E625" s="19">
        <v>0.56494320952999999</v>
      </c>
      <c r="F625" s="7">
        <v>24.732500000000002</v>
      </c>
      <c r="G625" s="8">
        <v>16</v>
      </c>
      <c r="H625" s="9">
        <v>0.64804840363000005</v>
      </c>
    </row>
    <row r="626" spans="1:8" ht="16.5" customHeight="1" x14ac:dyDescent="0.2">
      <c r="A626" s="14" t="s">
        <v>556</v>
      </c>
      <c r="B626" s="6" t="s">
        <v>558</v>
      </c>
      <c r="C626" s="7">
        <v>18.9733333</v>
      </c>
      <c r="D626" s="15">
        <v>2</v>
      </c>
      <c r="E626" s="19">
        <v>0.73822909345999999</v>
      </c>
      <c r="F626" s="7">
        <v>18.9733333</v>
      </c>
      <c r="G626" s="8">
        <v>2</v>
      </c>
      <c r="H626" s="9">
        <v>0.73822909345999999</v>
      </c>
    </row>
    <row r="627" spans="1:8" ht="16.5" customHeight="1" x14ac:dyDescent="0.2">
      <c r="A627" s="14" t="s">
        <v>556</v>
      </c>
      <c r="B627" s="6" t="s">
        <v>559</v>
      </c>
      <c r="C627" s="1"/>
      <c r="D627" s="13"/>
      <c r="E627" s="13"/>
      <c r="F627" s="7">
        <v>35.884999999999998</v>
      </c>
      <c r="G627" s="8">
        <v>2</v>
      </c>
      <c r="H627" s="9">
        <v>0.29274069945999998</v>
      </c>
    </row>
    <row r="628" spans="1:8" ht="16.5" customHeight="1" x14ac:dyDescent="0.2">
      <c r="A628" s="14" t="s">
        <v>556</v>
      </c>
      <c r="B628" s="6" t="s">
        <v>143</v>
      </c>
      <c r="C628" s="7">
        <v>257.15466670000001</v>
      </c>
      <c r="D628" s="15">
        <v>12</v>
      </c>
      <c r="E628" s="19">
        <v>0.19551605778</v>
      </c>
      <c r="F628" s="7">
        <v>245.5937931</v>
      </c>
      <c r="G628" s="8">
        <v>24</v>
      </c>
      <c r="H628" s="9">
        <v>0.18353406662999999</v>
      </c>
    </row>
    <row r="629" spans="1:8" ht="16.5" customHeight="1" x14ac:dyDescent="0.2">
      <c r="A629" s="14" t="s">
        <v>556</v>
      </c>
      <c r="B629" s="6" t="s">
        <v>144</v>
      </c>
      <c r="C629" s="1"/>
      <c r="D629" s="13"/>
      <c r="E629" s="13"/>
      <c r="F629" s="7">
        <v>398.66666670000001</v>
      </c>
      <c r="G629" s="8">
        <v>2</v>
      </c>
      <c r="H629" s="9">
        <v>0.20765050166999999</v>
      </c>
    </row>
    <row r="630" spans="1:8" ht="16.5" customHeight="1" x14ac:dyDescent="0.2">
      <c r="A630" s="14" t="s">
        <v>556</v>
      </c>
      <c r="B630" s="6" t="s">
        <v>145</v>
      </c>
      <c r="C630" s="7">
        <v>215.81923080000001</v>
      </c>
      <c r="D630" s="15">
        <v>10</v>
      </c>
      <c r="E630" s="19">
        <v>0.19580346800000001</v>
      </c>
      <c r="F630" s="7">
        <v>186.55375000000001</v>
      </c>
      <c r="G630" s="8">
        <v>20</v>
      </c>
      <c r="H630" s="9">
        <v>0.16430474683999999</v>
      </c>
    </row>
    <row r="631" spans="1:8" ht="16.5" customHeight="1" x14ac:dyDescent="0.2">
      <c r="A631" s="14" t="s">
        <v>556</v>
      </c>
      <c r="B631" s="6" t="s">
        <v>146</v>
      </c>
      <c r="C631" s="7">
        <v>382.08551720000003</v>
      </c>
      <c r="D631" s="15">
        <v>22</v>
      </c>
      <c r="E631" s="19">
        <v>0.19409411867000001</v>
      </c>
      <c r="F631" s="7">
        <v>290.041875</v>
      </c>
      <c r="G631" s="8">
        <v>50</v>
      </c>
      <c r="H631" s="9">
        <v>0.17895998854</v>
      </c>
    </row>
    <row r="632" spans="1:8" ht="16.5" customHeight="1" x14ac:dyDescent="0.2">
      <c r="A632" s="14" t="s">
        <v>556</v>
      </c>
      <c r="B632" s="6" t="s">
        <v>147</v>
      </c>
      <c r="C632" s="7">
        <v>53.015000000000001</v>
      </c>
      <c r="D632" s="15">
        <v>2</v>
      </c>
      <c r="E632" s="19">
        <v>0.19815146656999999</v>
      </c>
      <c r="F632" s="7">
        <v>53.015000000000001</v>
      </c>
      <c r="G632" s="8">
        <v>2</v>
      </c>
      <c r="H632" s="9">
        <v>0.19815146656999999</v>
      </c>
    </row>
    <row r="633" spans="1:8" ht="16.5" customHeight="1" x14ac:dyDescent="0.2">
      <c r="A633" s="14" t="s">
        <v>556</v>
      </c>
      <c r="B633" s="6" t="s">
        <v>148</v>
      </c>
      <c r="C633" s="7">
        <v>86.762631600000006</v>
      </c>
      <c r="D633" s="15">
        <v>28</v>
      </c>
      <c r="E633" s="19">
        <v>0.20887175535999999</v>
      </c>
      <c r="F633" s="7">
        <v>83.723333299999993</v>
      </c>
      <c r="G633" s="8">
        <v>56</v>
      </c>
      <c r="H633" s="9">
        <v>0.19453374208999999</v>
      </c>
    </row>
    <row r="634" spans="1:8" ht="16.5" customHeight="1" x14ac:dyDescent="0.2">
      <c r="A634" s="14" t="s">
        <v>556</v>
      </c>
      <c r="B634" s="6" t="s">
        <v>149</v>
      </c>
      <c r="C634" s="7">
        <v>41.123181799999998</v>
      </c>
      <c r="D634" s="15">
        <v>13</v>
      </c>
      <c r="E634" s="19">
        <v>0.37796642017999998</v>
      </c>
      <c r="F634" s="7">
        <v>39.856944400000003</v>
      </c>
      <c r="G634" s="8">
        <v>20</v>
      </c>
      <c r="H634" s="9">
        <v>0.38744816530999998</v>
      </c>
    </row>
    <row r="635" spans="1:8" ht="16.5" customHeight="1" x14ac:dyDescent="0.2">
      <c r="A635" s="14" t="s">
        <v>556</v>
      </c>
      <c r="B635" s="6" t="s">
        <v>560</v>
      </c>
      <c r="C635" s="7">
        <v>166.06666670000001</v>
      </c>
      <c r="D635" s="15">
        <v>4</v>
      </c>
      <c r="E635" s="19">
        <v>0.17810116418999999</v>
      </c>
      <c r="F635" s="7">
        <v>166.06666670000001</v>
      </c>
      <c r="G635" s="8">
        <v>4</v>
      </c>
      <c r="H635" s="9">
        <v>0.17810116418999999</v>
      </c>
    </row>
    <row r="636" spans="1:8" ht="16.5" customHeight="1" x14ac:dyDescent="0.2">
      <c r="A636" s="14" t="s">
        <v>556</v>
      </c>
      <c r="B636" s="6" t="s">
        <v>150</v>
      </c>
      <c r="C636" s="7">
        <v>43.280312500000001</v>
      </c>
      <c r="D636" s="15">
        <v>22</v>
      </c>
      <c r="E636" s="19">
        <v>0.21416276165000001</v>
      </c>
      <c r="F636" s="7">
        <v>44.559384600000001</v>
      </c>
      <c r="G636" s="8">
        <v>41</v>
      </c>
      <c r="H636" s="9">
        <v>0.21090575756999999</v>
      </c>
    </row>
    <row r="637" spans="1:8" ht="16.5" customHeight="1" x14ac:dyDescent="0.2">
      <c r="A637" s="14" t="s">
        <v>556</v>
      </c>
      <c r="B637" s="6" t="s">
        <v>151</v>
      </c>
      <c r="C637" s="7">
        <v>33.947777799999997</v>
      </c>
      <c r="D637" s="15">
        <v>10</v>
      </c>
      <c r="E637" s="19">
        <v>0.45822014205</v>
      </c>
      <c r="F637" s="7">
        <v>33.947777799999997</v>
      </c>
      <c r="G637" s="8">
        <v>10</v>
      </c>
      <c r="H637" s="9">
        <v>0.45822014205</v>
      </c>
    </row>
    <row r="638" spans="1:8" ht="16.5" customHeight="1" x14ac:dyDescent="0.2">
      <c r="A638" s="14" t="s">
        <v>556</v>
      </c>
      <c r="B638" s="6" t="s">
        <v>152</v>
      </c>
      <c r="C638" s="1"/>
      <c r="D638" s="13"/>
      <c r="E638" s="13"/>
      <c r="F638" s="7">
        <v>151.05333329999999</v>
      </c>
      <c r="G638" s="8">
        <v>2</v>
      </c>
      <c r="H638" s="9">
        <v>0.21253861770999999</v>
      </c>
    </row>
    <row r="639" spans="1:8" ht="16.5" customHeight="1" x14ac:dyDescent="0.2">
      <c r="A639" s="14" t="s">
        <v>556</v>
      </c>
      <c r="B639" s="6" t="s">
        <v>153</v>
      </c>
      <c r="C639" s="1"/>
      <c r="D639" s="13"/>
      <c r="E639" s="13"/>
      <c r="F639" s="7">
        <v>56.61</v>
      </c>
      <c r="G639" s="8">
        <v>4</v>
      </c>
      <c r="H639" s="9">
        <v>0.22268150503</v>
      </c>
    </row>
    <row r="640" spans="1:8" ht="16.5" customHeight="1" x14ac:dyDescent="0.2">
      <c r="A640" s="14" t="s">
        <v>556</v>
      </c>
      <c r="B640" s="6" t="s">
        <v>155</v>
      </c>
      <c r="C640" s="7">
        <v>88.300714299999996</v>
      </c>
      <c r="D640" s="15">
        <v>6</v>
      </c>
      <c r="E640" s="19">
        <v>0.11416264227</v>
      </c>
      <c r="F640" s="7">
        <v>72.050526300000001</v>
      </c>
      <c r="G640" s="8">
        <v>8</v>
      </c>
      <c r="H640" s="9">
        <v>0.11325970079</v>
      </c>
    </row>
    <row r="641" spans="1:8" ht="16.5" customHeight="1" x14ac:dyDescent="0.2">
      <c r="A641" s="14" t="s">
        <v>556</v>
      </c>
      <c r="B641" s="6" t="s">
        <v>156</v>
      </c>
      <c r="C641" s="7">
        <v>235.29104169999999</v>
      </c>
      <c r="D641" s="15">
        <v>33</v>
      </c>
      <c r="E641" s="19">
        <v>0.18323184849999999</v>
      </c>
      <c r="F641" s="7">
        <v>215.42465350000001</v>
      </c>
      <c r="G641" s="8">
        <v>74</v>
      </c>
      <c r="H641" s="9">
        <v>0.16369349234</v>
      </c>
    </row>
    <row r="642" spans="1:8" ht="16.5" customHeight="1" x14ac:dyDescent="0.2">
      <c r="A642" s="14" t="s">
        <v>556</v>
      </c>
      <c r="B642" s="6" t="s">
        <v>561</v>
      </c>
      <c r="C642" s="1"/>
      <c r="D642" s="13"/>
      <c r="E642" s="13"/>
      <c r="F642" s="7">
        <v>80.215000000000003</v>
      </c>
      <c r="G642" s="8">
        <v>10</v>
      </c>
      <c r="H642" s="9">
        <v>0.20774896632000001</v>
      </c>
    </row>
    <row r="643" spans="1:8" ht="16.5" customHeight="1" x14ac:dyDescent="0.2">
      <c r="A643" s="14" t="s">
        <v>556</v>
      </c>
      <c r="B643" s="6" t="s">
        <v>157</v>
      </c>
      <c r="C643" s="7">
        <v>239.39388890000001</v>
      </c>
      <c r="D643" s="15">
        <v>14</v>
      </c>
      <c r="E643" s="19">
        <v>0.17800695739</v>
      </c>
      <c r="F643" s="7">
        <v>169.57384619999999</v>
      </c>
      <c r="G643" s="8">
        <v>31</v>
      </c>
      <c r="H643" s="9">
        <v>0.17307942383</v>
      </c>
    </row>
    <row r="644" spans="1:8" ht="16.5" customHeight="1" x14ac:dyDescent="0.2">
      <c r="A644" s="14" t="s">
        <v>562</v>
      </c>
      <c r="B644" s="6" t="s">
        <v>563</v>
      </c>
      <c r="C644" s="1"/>
      <c r="D644" s="13"/>
      <c r="E644" s="13"/>
      <c r="F644" s="7">
        <v>868.91666669999995</v>
      </c>
      <c r="G644" s="8">
        <v>6</v>
      </c>
      <c r="H644" s="9">
        <v>0.25063162942</v>
      </c>
    </row>
    <row r="645" spans="1:8" ht="16.5" customHeight="1" x14ac:dyDescent="0.2">
      <c r="A645" s="14" t="s">
        <v>562</v>
      </c>
      <c r="B645" s="6" t="s">
        <v>564</v>
      </c>
      <c r="C645" s="7">
        <v>1322.55</v>
      </c>
      <c r="D645" s="15">
        <v>2</v>
      </c>
      <c r="E645" s="19">
        <v>0.24615099618</v>
      </c>
      <c r="F645" s="7">
        <v>1322.55</v>
      </c>
      <c r="G645" s="8">
        <v>2</v>
      </c>
      <c r="H645" s="9">
        <v>0.24615099618</v>
      </c>
    </row>
    <row r="646" spans="1:8" ht="16.5" customHeight="1" x14ac:dyDescent="0.2">
      <c r="A646" s="14" t="s">
        <v>562</v>
      </c>
      <c r="B646" s="6" t="s">
        <v>565</v>
      </c>
      <c r="C646" s="1"/>
      <c r="D646" s="13"/>
      <c r="E646" s="13"/>
      <c r="F646" s="7">
        <v>688.99</v>
      </c>
      <c r="G646" s="8">
        <v>2</v>
      </c>
      <c r="H646" s="9">
        <v>0.27460267927999998</v>
      </c>
    </row>
    <row r="647" spans="1:8" ht="16.5" customHeight="1" x14ac:dyDescent="0.2">
      <c r="A647" s="14" t="s">
        <v>562</v>
      </c>
      <c r="B647" s="6" t="s">
        <v>566</v>
      </c>
      <c r="C647" s="1"/>
      <c r="D647" s="13"/>
      <c r="E647" s="13"/>
      <c r="F647" s="7">
        <v>1356.05</v>
      </c>
      <c r="G647" s="8">
        <v>8</v>
      </c>
      <c r="H647" s="9">
        <v>0.24743335423000001</v>
      </c>
    </row>
    <row r="648" spans="1:8" ht="16.5" customHeight="1" x14ac:dyDescent="0.2">
      <c r="A648" s="14" t="s">
        <v>562</v>
      </c>
      <c r="B648" s="6" t="s">
        <v>567</v>
      </c>
      <c r="C648" s="7">
        <v>2109.5444444</v>
      </c>
      <c r="D648" s="15">
        <v>9</v>
      </c>
      <c r="E648" s="19">
        <v>0.24574057590000001</v>
      </c>
      <c r="F648" s="7">
        <v>2089.83</v>
      </c>
      <c r="G648" s="8">
        <v>20</v>
      </c>
      <c r="H648" s="9">
        <v>0.2461670088</v>
      </c>
    </row>
    <row r="649" spans="1:8" ht="16.5" customHeight="1" x14ac:dyDescent="0.2">
      <c r="A649" s="14" t="s">
        <v>562</v>
      </c>
      <c r="B649" s="6" t="s">
        <v>568</v>
      </c>
      <c r="C649" s="7">
        <v>478.63555559999998</v>
      </c>
      <c r="D649" s="15">
        <v>9</v>
      </c>
      <c r="E649" s="19">
        <v>0.31937753613999997</v>
      </c>
      <c r="F649" s="7">
        <v>531.34368419999998</v>
      </c>
      <c r="G649" s="8">
        <v>19</v>
      </c>
      <c r="H649" s="9">
        <v>0.29992788887999999</v>
      </c>
    </row>
    <row r="650" spans="1:8" ht="16.5" customHeight="1" x14ac:dyDescent="0.2">
      <c r="A650" s="14" t="s">
        <v>562</v>
      </c>
      <c r="B650" s="6" t="s">
        <v>569</v>
      </c>
      <c r="C650" s="1"/>
      <c r="D650" s="13"/>
      <c r="E650" s="13"/>
      <c r="F650" s="7">
        <v>1145.9000000000001</v>
      </c>
      <c r="G650" s="8">
        <v>1</v>
      </c>
      <c r="H650" s="9">
        <v>0.24791517584</v>
      </c>
    </row>
    <row r="651" spans="1:8" ht="16.5" customHeight="1" x14ac:dyDescent="0.2">
      <c r="A651" s="14" t="s">
        <v>562</v>
      </c>
      <c r="B651" s="6" t="s">
        <v>570</v>
      </c>
      <c r="C651" s="7">
        <v>217.9833333</v>
      </c>
      <c r="D651" s="15">
        <v>6</v>
      </c>
      <c r="E651" s="19">
        <v>0.68473124857000001</v>
      </c>
      <c r="F651" s="7">
        <v>244.25</v>
      </c>
      <c r="G651" s="8">
        <v>14</v>
      </c>
      <c r="H651" s="9">
        <v>0.61387922211000001</v>
      </c>
    </row>
    <row r="652" spans="1:8" ht="16.5" customHeight="1" x14ac:dyDescent="0.2">
      <c r="A652" s="14" t="s">
        <v>562</v>
      </c>
      <c r="B652" s="6" t="s">
        <v>571</v>
      </c>
      <c r="C652" s="7">
        <v>1044.7111110999999</v>
      </c>
      <c r="D652" s="15">
        <v>9</v>
      </c>
      <c r="E652" s="19">
        <v>0.2466982898</v>
      </c>
      <c r="F652" s="7">
        <v>924.97368419999998</v>
      </c>
      <c r="G652" s="8">
        <v>19</v>
      </c>
      <c r="H652" s="9">
        <v>0.24884759168000001</v>
      </c>
    </row>
    <row r="653" spans="1:8" ht="16.5" customHeight="1" x14ac:dyDescent="0.2">
      <c r="A653" s="14" t="s">
        <v>562</v>
      </c>
      <c r="B653" s="6" t="s">
        <v>572</v>
      </c>
      <c r="C653" s="7">
        <v>1161.1555556000001</v>
      </c>
      <c r="D653" s="15">
        <v>9</v>
      </c>
      <c r="E653" s="19">
        <v>0.24650884176999999</v>
      </c>
      <c r="F653" s="7">
        <v>1217.2075</v>
      </c>
      <c r="G653" s="8">
        <v>20</v>
      </c>
      <c r="H653" s="9">
        <v>0.24714709694000001</v>
      </c>
    </row>
    <row r="654" spans="1:8" ht="16.5" customHeight="1" x14ac:dyDescent="0.2">
      <c r="A654" s="14" t="s">
        <v>562</v>
      </c>
      <c r="B654" s="6" t="s">
        <v>573</v>
      </c>
      <c r="C654" s="7">
        <v>575.44444439999995</v>
      </c>
      <c r="D654" s="15">
        <v>9</v>
      </c>
      <c r="E654" s="19">
        <v>0.27797644332999999</v>
      </c>
      <c r="F654" s="7">
        <v>693.58947369999999</v>
      </c>
      <c r="G654" s="8">
        <v>19</v>
      </c>
      <c r="H654" s="9">
        <v>0.26199147076000001</v>
      </c>
    </row>
    <row r="655" spans="1:8" ht="16.5" customHeight="1" x14ac:dyDescent="0.2">
      <c r="A655" s="14" t="s">
        <v>562</v>
      </c>
      <c r="B655" s="6" t="s">
        <v>574</v>
      </c>
      <c r="C655" s="7">
        <v>1154.9733332999999</v>
      </c>
      <c r="D655" s="15">
        <v>9</v>
      </c>
      <c r="E655" s="19">
        <v>0.25160051794999999</v>
      </c>
      <c r="F655" s="7">
        <v>1125.687619</v>
      </c>
      <c r="G655" s="8">
        <v>21</v>
      </c>
      <c r="H655" s="9">
        <v>0.25301267711999997</v>
      </c>
    </row>
    <row r="656" spans="1:8" ht="16.5" customHeight="1" x14ac:dyDescent="0.2">
      <c r="A656" s="14" t="s">
        <v>562</v>
      </c>
      <c r="B656" s="6" t="s">
        <v>575</v>
      </c>
      <c r="C656" s="7">
        <v>364.2622222</v>
      </c>
      <c r="D656" s="15">
        <v>9</v>
      </c>
      <c r="E656" s="19">
        <v>0.40867079881000001</v>
      </c>
      <c r="F656" s="7">
        <v>382.92700000000002</v>
      </c>
      <c r="G656" s="8">
        <v>20</v>
      </c>
      <c r="H656" s="9">
        <v>0.40384185497000002</v>
      </c>
    </row>
    <row r="657" spans="1:8" ht="16.5" customHeight="1" x14ac:dyDescent="0.2">
      <c r="A657" s="14" t="s">
        <v>562</v>
      </c>
      <c r="B657" s="6" t="s">
        <v>576</v>
      </c>
      <c r="C657" s="7">
        <v>1993.9311111</v>
      </c>
      <c r="D657" s="15">
        <v>9</v>
      </c>
      <c r="E657" s="19">
        <v>0.24579479508999999</v>
      </c>
      <c r="F657" s="7">
        <v>2070.2640000000001</v>
      </c>
      <c r="G657" s="8">
        <v>20</v>
      </c>
      <c r="H657" s="9">
        <v>0.24617964181999999</v>
      </c>
    </row>
    <row r="658" spans="1:8" ht="16.5" customHeight="1" x14ac:dyDescent="0.2">
      <c r="A658" s="14" t="s">
        <v>562</v>
      </c>
      <c r="B658" s="6" t="s">
        <v>577</v>
      </c>
      <c r="C658" s="7">
        <v>713.01111109999999</v>
      </c>
      <c r="D658" s="15">
        <v>9</v>
      </c>
      <c r="E658" s="19">
        <v>0.27648065324999999</v>
      </c>
      <c r="F658" s="7">
        <v>843.18529409999996</v>
      </c>
      <c r="G658" s="8">
        <v>17</v>
      </c>
      <c r="H658" s="9">
        <v>0.26097508398000002</v>
      </c>
    </row>
    <row r="659" spans="1:8" ht="16.5" customHeight="1" x14ac:dyDescent="0.2">
      <c r="A659" s="14" t="s">
        <v>562</v>
      </c>
      <c r="B659" s="6" t="s">
        <v>578</v>
      </c>
      <c r="C659" s="7">
        <v>1066.8111111000001</v>
      </c>
      <c r="D659" s="15">
        <v>9</v>
      </c>
      <c r="E659" s="19">
        <v>0.24666055638000001</v>
      </c>
      <c r="F659" s="7">
        <v>969.68499999999995</v>
      </c>
      <c r="G659" s="8">
        <v>19</v>
      </c>
      <c r="H659" s="9">
        <v>0.24774632999000001</v>
      </c>
    </row>
    <row r="660" spans="1:8" ht="16.5" customHeight="1" x14ac:dyDescent="0.2">
      <c r="A660" s="14" t="s">
        <v>562</v>
      </c>
      <c r="B660" s="6" t="s">
        <v>579</v>
      </c>
      <c r="C660" s="7">
        <v>1758.9</v>
      </c>
      <c r="D660" s="15">
        <v>1</v>
      </c>
      <c r="E660" s="19">
        <v>0.24479845357999999</v>
      </c>
      <c r="F660" s="7">
        <v>1758.9</v>
      </c>
      <c r="G660" s="8">
        <v>1</v>
      </c>
      <c r="H660" s="9">
        <v>0.24479845357999999</v>
      </c>
    </row>
    <row r="661" spans="1:8" ht="16.5" customHeight="1" x14ac:dyDescent="0.2">
      <c r="A661" s="14" t="s">
        <v>562</v>
      </c>
      <c r="B661" s="6" t="s">
        <v>580</v>
      </c>
      <c r="C661" s="1"/>
      <c r="D661" s="13"/>
      <c r="E661" s="13"/>
      <c r="F661" s="7">
        <v>452.7</v>
      </c>
      <c r="G661" s="8">
        <v>4</v>
      </c>
      <c r="H661" s="9">
        <v>0.33233929755000002</v>
      </c>
    </row>
    <row r="662" spans="1:8" ht="16.5" customHeight="1" x14ac:dyDescent="0.2">
      <c r="A662" s="14" t="s">
        <v>562</v>
      </c>
      <c r="B662" s="6" t="s">
        <v>581</v>
      </c>
      <c r="C662" s="7">
        <v>843.66666669999995</v>
      </c>
      <c r="D662" s="15">
        <v>6</v>
      </c>
      <c r="E662" s="19">
        <v>0.24691426314000001</v>
      </c>
      <c r="F662" s="7">
        <v>826.02857140000003</v>
      </c>
      <c r="G662" s="8">
        <v>7</v>
      </c>
      <c r="H662" s="9">
        <v>0.2472688596</v>
      </c>
    </row>
    <row r="663" spans="1:8" ht="16.5" customHeight="1" x14ac:dyDescent="0.2">
      <c r="A663" s="14" t="s">
        <v>562</v>
      </c>
      <c r="B663" s="6" t="s">
        <v>582</v>
      </c>
      <c r="C663" s="7">
        <v>1319.66</v>
      </c>
      <c r="D663" s="15">
        <v>5</v>
      </c>
      <c r="E663" s="19">
        <v>0.24534076959000001</v>
      </c>
      <c r="F663" s="7">
        <v>1067.7818182000001</v>
      </c>
      <c r="G663" s="8">
        <v>11</v>
      </c>
      <c r="H663" s="9">
        <v>0.25183507015000001</v>
      </c>
    </row>
    <row r="664" spans="1:8" ht="16.5" customHeight="1" x14ac:dyDescent="0.2">
      <c r="A664" s="14" t="s">
        <v>562</v>
      </c>
      <c r="B664" s="6" t="s">
        <v>583</v>
      </c>
      <c r="C664" s="7">
        <v>731.7</v>
      </c>
      <c r="D664" s="15">
        <v>2</v>
      </c>
      <c r="E664" s="19">
        <v>0.24724340577000001</v>
      </c>
      <c r="F664" s="7">
        <v>785.02499999999998</v>
      </c>
      <c r="G664" s="8">
        <v>4</v>
      </c>
      <c r="H664" s="9">
        <v>0.24821311423</v>
      </c>
    </row>
    <row r="665" spans="1:8" ht="16.5" customHeight="1" x14ac:dyDescent="0.2">
      <c r="A665" s="14" t="s">
        <v>562</v>
      </c>
      <c r="B665" s="6" t="s">
        <v>584</v>
      </c>
      <c r="C665" s="7">
        <v>1081.1077777999999</v>
      </c>
      <c r="D665" s="15">
        <v>9</v>
      </c>
      <c r="E665" s="19">
        <v>0.24663519004000001</v>
      </c>
      <c r="F665" s="7">
        <v>1163.3352632000001</v>
      </c>
      <c r="G665" s="8">
        <v>19</v>
      </c>
      <c r="H665" s="9">
        <v>0.24722379438</v>
      </c>
    </row>
    <row r="666" spans="1:8" ht="16.5" customHeight="1" x14ac:dyDescent="0.2">
      <c r="A666" s="14" t="s">
        <v>562</v>
      </c>
      <c r="B666" s="6" t="s">
        <v>585</v>
      </c>
      <c r="C666" s="1"/>
      <c r="D666" s="13"/>
      <c r="E666" s="13"/>
      <c r="F666" s="7">
        <v>1244.2</v>
      </c>
      <c r="G666" s="8">
        <v>1</v>
      </c>
      <c r="H666" s="9">
        <v>0.24766757755999999</v>
      </c>
    </row>
    <row r="667" spans="1:8" ht="16.5" customHeight="1" x14ac:dyDescent="0.2">
      <c r="A667" s="14" t="s">
        <v>562</v>
      </c>
      <c r="B667" s="6" t="s">
        <v>586</v>
      </c>
      <c r="C667" s="7">
        <v>764.42</v>
      </c>
      <c r="D667" s="15">
        <v>5</v>
      </c>
      <c r="E667" s="19">
        <v>0.26482561941999999</v>
      </c>
      <c r="F667" s="7">
        <v>806.6</v>
      </c>
      <c r="G667" s="8">
        <v>8</v>
      </c>
      <c r="H667" s="9">
        <v>0.25832165881000002</v>
      </c>
    </row>
    <row r="668" spans="1:8" ht="16.5" customHeight="1" x14ac:dyDescent="0.2">
      <c r="A668" s="14" t="s">
        <v>562</v>
      </c>
      <c r="B668" s="6" t="s">
        <v>587</v>
      </c>
      <c r="C668" s="7">
        <v>528.6</v>
      </c>
      <c r="D668" s="15">
        <v>1</v>
      </c>
      <c r="E668" s="19">
        <v>0.28461975027999997</v>
      </c>
      <c r="F668" s="7">
        <v>528.6</v>
      </c>
      <c r="G668" s="8">
        <v>1</v>
      </c>
      <c r="H668" s="9">
        <v>0.28461975027999997</v>
      </c>
    </row>
    <row r="669" spans="1:8" ht="16.5" customHeight="1" x14ac:dyDescent="0.2">
      <c r="A669" s="14" t="s">
        <v>562</v>
      </c>
      <c r="B669" s="6" t="s">
        <v>588</v>
      </c>
      <c r="C669" s="7">
        <v>569.68888890000005</v>
      </c>
      <c r="D669" s="15">
        <v>9</v>
      </c>
      <c r="E669" s="19">
        <v>0.27864682478000002</v>
      </c>
      <c r="F669" s="7">
        <v>586.81500000000005</v>
      </c>
      <c r="G669" s="8">
        <v>20</v>
      </c>
      <c r="H669" s="9">
        <v>0.27757163672000001</v>
      </c>
    </row>
    <row r="670" spans="1:8" ht="16.5" customHeight="1" x14ac:dyDescent="0.2">
      <c r="A670" s="14" t="s">
        <v>562</v>
      </c>
      <c r="B670" s="6" t="s">
        <v>589</v>
      </c>
      <c r="C670" s="7">
        <v>1271.0777777999999</v>
      </c>
      <c r="D670" s="15">
        <v>9</v>
      </c>
      <c r="E670" s="19">
        <v>0.2463594325</v>
      </c>
      <c r="F670" s="7">
        <v>1061.6555556000001</v>
      </c>
      <c r="G670" s="8">
        <v>18</v>
      </c>
      <c r="H670" s="9">
        <v>0.24741504358999999</v>
      </c>
    </row>
    <row r="671" spans="1:8" ht="16.5" customHeight="1" x14ac:dyDescent="0.2">
      <c r="A671" s="14" t="s">
        <v>562</v>
      </c>
      <c r="B671" s="6" t="s">
        <v>590</v>
      </c>
      <c r="C671" s="7">
        <v>431.26571430000001</v>
      </c>
      <c r="D671" s="15">
        <v>7</v>
      </c>
      <c r="E671" s="19">
        <v>0.34747023711000002</v>
      </c>
      <c r="F671" s="7">
        <v>672.26187500000003</v>
      </c>
      <c r="G671" s="8">
        <v>16</v>
      </c>
      <c r="H671" s="9">
        <v>0.29204876448</v>
      </c>
    </row>
    <row r="672" spans="1:8" ht="16.5" customHeight="1" x14ac:dyDescent="0.2">
      <c r="A672" s="5" t="s">
        <v>591</v>
      </c>
      <c r="B672" s="6" t="s">
        <v>138</v>
      </c>
      <c r="C672" s="1"/>
      <c r="D672" s="13"/>
      <c r="E672" s="13"/>
      <c r="F672" s="7">
        <v>66</v>
      </c>
      <c r="G672" s="8">
        <v>4</v>
      </c>
      <c r="H672" s="9">
        <v>0</v>
      </c>
    </row>
    <row r="673" spans="1:8" ht="16.5" customHeight="1" x14ac:dyDescent="0.2">
      <c r="A673" s="5" t="s">
        <v>592</v>
      </c>
      <c r="B673" s="6" t="s">
        <v>397</v>
      </c>
      <c r="C673" s="7">
        <v>644.07692310000004</v>
      </c>
      <c r="D673" s="15">
        <v>24</v>
      </c>
      <c r="E673" s="19">
        <v>0.13591723397</v>
      </c>
      <c r="F673" s="7">
        <v>496.2</v>
      </c>
      <c r="G673" s="8">
        <v>49</v>
      </c>
      <c r="H673" s="9">
        <v>0.1028687113</v>
      </c>
    </row>
    <row r="674" spans="1:8" ht="16.5" customHeight="1" x14ac:dyDescent="0.2">
      <c r="A674" s="14" t="s">
        <v>593</v>
      </c>
      <c r="B674" s="6" t="s">
        <v>594</v>
      </c>
      <c r="C674" s="1"/>
      <c r="D674" s="13"/>
      <c r="E674" s="13"/>
      <c r="F674" s="7">
        <v>87.428571399999996</v>
      </c>
      <c r="G674" s="8">
        <v>18</v>
      </c>
      <c r="H674" s="9">
        <v>0</v>
      </c>
    </row>
    <row r="675" spans="1:8" ht="16.5" customHeight="1" x14ac:dyDescent="0.2">
      <c r="A675" s="14" t="s">
        <v>593</v>
      </c>
      <c r="B675" s="6" t="s">
        <v>595</v>
      </c>
      <c r="C675" s="7">
        <v>424.75</v>
      </c>
      <c r="D675" s="15">
        <v>8</v>
      </c>
      <c r="E675" s="19">
        <v>0.20220718068999999</v>
      </c>
      <c r="F675" s="7">
        <v>375.4210526</v>
      </c>
      <c r="G675" s="8">
        <v>18</v>
      </c>
      <c r="H675" s="9">
        <v>0.20330996775999999</v>
      </c>
    </row>
    <row r="676" spans="1:8" ht="16.5" customHeight="1" x14ac:dyDescent="0.2">
      <c r="A676" s="14" t="s">
        <v>593</v>
      </c>
      <c r="B676" s="6" t="s">
        <v>47</v>
      </c>
      <c r="C676" s="7">
        <v>174.5</v>
      </c>
      <c r="D676" s="15">
        <v>2</v>
      </c>
      <c r="E676" s="19">
        <v>0.21426934097</v>
      </c>
      <c r="F676" s="7">
        <v>155</v>
      </c>
      <c r="G676" s="8">
        <v>3</v>
      </c>
      <c r="H676" s="9">
        <v>0.21683870967999999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05"/>
  <sheetViews>
    <sheetView workbookViewId="0">
      <selection activeCell="K16" sqref="K16"/>
    </sheetView>
  </sheetViews>
  <sheetFormatPr baseColWidth="10" defaultRowHeight="12.75" x14ac:dyDescent="0.2"/>
  <cols>
    <col min="2" max="2" width="17" customWidth="1"/>
    <col min="3" max="3" width="12.5703125" customWidth="1"/>
    <col min="8" max="8" width="14.85546875" bestFit="1" customWidth="1"/>
  </cols>
  <sheetData>
    <row r="1" spans="1:9" x14ac:dyDescent="0.2">
      <c r="A1" s="12" t="s">
        <v>596</v>
      </c>
      <c r="B1" s="12" t="s">
        <v>597</v>
      </c>
      <c r="C1" s="12" t="s">
        <v>598</v>
      </c>
      <c r="D1" s="12" t="s">
        <v>599</v>
      </c>
      <c r="E1" s="12" t="s">
        <v>600</v>
      </c>
      <c r="F1" s="12" t="s">
        <v>601</v>
      </c>
      <c r="G1" s="45" t="s">
        <v>835</v>
      </c>
      <c r="H1" s="45" t="s">
        <v>839</v>
      </c>
    </row>
    <row r="2" spans="1:9" ht="25.5" x14ac:dyDescent="0.2">
      <c r="A2" s="14" t="s">
        <v>556</v>
      </c>
      <c r="B2" s="6" t="s">
        <v>560</v>
      </c>
      <c r="C2" s="12">
        <v>3</v>
      </c>
      <c r="D2" s="7">
        <v>166.06666670000001</v>
      </c>
      <c r="E2" s="15">
        <v>4</v>
      </c>
      <c r="F2" s="19">
        <v>0.17810116418999999</v>
      </c>
      <c r="G2" s="44">
        <v>1000</v>
      </c>
      <c r="H2" s="50">
        <f>IF(LEN(G2)=4,VALUE(LEFT(G2,1)),VALUE(LEFT(G2,2)))</f>
        <v>1</v>
      </c>
      <c r="I2" s="50"/>
    </row>
    <row r="3" spans="1:9" ht="25.5" x14ac:dyDescent="0.2">
      <c r="A3" s="14" t="s">
        <v>120</v>
      </c>
      <c r="B3" s="6" t="s">
        <v>122</v>
      </c>
      <c r="C3" s="12">
        <v>3</v>
      </c>
      <c r="D3" s="7">
        <v>18.5570968</v>
      </c>
      <c r="E3" s="15">
        <v>21</v>
      </c>
      <c r="F3" s="19">
        <v>1.26506162324</v>
      </c>
      <c r="G3" s="44">
        <v>1100</v>
      </c>
      <c r="H3" s="50">
        <f t="shared" ref="H3:H66" si="0">IF(LEN(G3)=4,VALUE(LEFT(G3,1)),VALUE(LEFT(G3,2)))</f>
        <v>1</v>
      </c>
    </row>
    <row r="4" spans="1:9" ht="25.5" x14ac:dyDescent="0.2">
      <c r="A4" s="14" t="s">
        <v>134</v>
      </c>
      <c r="B4" s="6" t="s">
        <v>147</v>
      </c>
      <c r="C4" s="16">
        <v>3</v>
      </c>
      <c r="D4" s="7">
        <v>28.47</v>
      </c>
      <c r="E4" s="15">
        <v>1</v>
      </c>
      <c r="F4" s="19">
        <v>0.53199859501000002</v>
      </c>
      <c r="G4" s="44">
        <v>1250</v>
      </c>
      <c r="H4" s="50">
        <f t="shared" si="0"/>
        <v>1</v>
      </c>
    </row>
    <row r="5" spans="1:9" ht="25.5" x14ac:dyDescent="0.2">
      <c r="A5" s="14" t="s">
        <v>556</v>
      </c>
      <c r="B5" s="6" t="s">
        <v>147</v>
      </c>
      <c r="C5" s="12">
        <v>3</v>
      </c>
      <c r="D5" s="7">
        <v>53.015000000000001</v>
      </c>
      <c r="E5" s="15">
        <v>2</v>
      </c>
      <c r="F5" s="19">
        <v>0.19815146656999999</v>
      </c>
      <c r="G5" s="44">
        <v>1250</v>
      </c>
      <c r="H5" s="50">
        <f t="shared" si="0"/>
        <v>1</v>
      </c>
    </row>
    <row r="6" spans="1:9" ht="25.5" x14ac:dyDescent="0.2">
      <c r="A6" s="14" t="s">
        <v>134</v>
      </c>
      <c r="B6" s="6" t="s">
        <v>146</v>
      </c>
      <c r="C6" s="12">
        <v>3</v>
      </c>
      <c r="D6" s="7">
        <v>361.23292679999997</v>
      </c>
      <c r="E6" s="15">
        <v>17</v>
      </c>
      <c r="F6" s="19">
        <v>0.20581950029000001</v>
      </c>
      <c r="G6" s="44">
        <v>1260</v>
      </c>
      <c r="H6" s="50">
        <f t="shared" si="0"/>
        <v>1</v>
      </c>
    </row>
    <row r="7" spans="1:9" ht="25.5" x14ac:dyDescent="0.2">
      <c r="A7" s="14" t="s">
        <v>556</v>
      </c>
      <c r="B7" s="6" t="s">
        <v>146</v>
      </c>
      <c r="C7" s="12">
        <v>3</v>
      </c>
      <c r="D7" s="7">
        <v>382.08551720000003</v>
      </c>
      <c r="E7" s="15">
        <v>22</v>
      </c>
      <c r="F7" s="19">
        <v>0.19409411867000001</v>
      </c>
      <c r="G7" s="44">
        <v>1260</v>
      </c>
      <c r="H7" s="50">
        <f t="shared" si="0"/>
        <v>1</v>
      </c>
    </row>
    <row r="8" spans="1:9" ht="25.5" x14ac:dyDescent="0.2">
      <c r="A8" s="14" t="s">
        <v>308</v>
      </c>
      <c r="B8" s="6" t="s">
        <v>423</v>
      </c>
      <c r="C8" s="12">
        <v>3</v>
      </c>
      <c r="D8" s="7">
        <v>254.84039999999999</v>
      </c>
      <c r="E8" s="15">
        <v>25</v>
      </c>
      <c r="F8" s="19">
        <v>0.21996229797</v>
      </c>
      <c r="G8" s="44">
        <v>3000</v>
      </c>
      <c r="H8" s="50">
        <f t="shared" si="0"/>
        <v>3</v>
      </c>
    </row>
    <row r="9" spans="1:9" ht="38.25" x14ac:dyDescent="0.2">
      <c r="A9" s="14" t="s">
        <v>308</v>
      </c>
      <c r="B9" s="6" t="s">
        <v>381</v>
      </c>
      <c r="C9" s="12">
        <v>3</v>
      </c>
      <c r="D9" s="7">
        <v>14.576666700000001</v>
      </c>
      <c r="E9" s="15">
        <v>3</v>
      </c>
      <c r="F9" s="19">
        <v>1.7774982849300001</v>
      </c>
      <c r="G9" s="44">
        <v>4300</v>
      </c>
      <c r="H9" s="50">
        <f t="shared" si="0"/>
        <v>4</v>
      </c>
    </row>
    <row r="10" spans="1:9" ht="25.5" x14ac:dyDescent="0.2">
      <c r="A10" s="14" t="s">
        <v>308</v>
      </c>
      <c r="B10" s="6" t="s">
        <v>419</v>
      </c>
      <c r="C10" s="12">
        <v>3</v>
      </c>
      <c r="D10" s="7">
        <v>493.95</v>
      </c>
      <c r="E10" s="15">
        <v>4</v>
      </c>
      <c r="F10" s="19">
        <v>0.21735145257999999</v>
      </c>
      <c r="G10" s="44">
        <v>6000</v>
      </c>
      <c r="H10" s="50">
        <f t="shared" si="0"/>
        <v>6</v>
      </c>
    </row>
    <row r="11" spans="1:9" ht="25.5" x14ac:dyDescent="0.2">
      <c r="A11" s="14" t="s">
        <v>308</v>
      </c>
      <c r="B11" s="6" t="s">
        <v>346</v>
      </c>
      <c r="C11" s="12">
        <v>3</v>
      </c>
      <c r="D11" s="7">
        <v>263.41149999999999</v>
      </c>
      <c r="E11" s="15">
        <v>20</v>
      </c>
      <c r="F11" s="19">
        <v>0.22085311385</v>
      </c>
      <c r="G11" s="44">
        <v>6110</v>
      </c>
      <c r="H11" s="50">
        <f t="shared" si="0"/>
        <v>6</v>
      </c>
    </row>
    <row r="12" spans="1:9" ht="25.5" x14ac:dyDescent="0.2">
      <c r="A12" s="14" t="s">
        <v>308</v>
      </c>
      <c r="B12" s="6" t="s">
        <v>359</v>
      </c>
      <c r="C12" s="12">
        <v>3</v>
      </c>
      <c r="D12" s="7">
        <v>373.47333329999998</v>
      </c>
      <c r="E12" s="15">
        <v>3</v>
      </c>
      <c r="F12" s="19">
        <v>0.21803252351999999</v>
      </c>
      <c r="G12" s="44">
        <v>6110</v>
      </c>
      <c r="H12" s="50">
        <f t="shared" si="0"/>
        <v>6</v>
      </c>
    </row>
    <row r="13" spans="1:9" ht="25.5" x14ac:dyDescent="0.2">
      <c r="A13" s="14" t="s">
        <v>8</v>
      </c>
      <c r="B13" s="6" t="s">
        <v>101</v>
      </c>
      <c r="C13" s="12">
        <v>3</v>
      </c>
      <c r="D13" s="7">
        <v>1.98</v>
      </c>
      <c r="E13" s="15">
        <v>1</v>
      </c>
      <c r="F13" s="19">
        <v>18.434343434340001</v>
      </c>
      <c r="G13" s="44">
        <v>6200</v>
      </c>
      <c r="H13" s="50">
        <f t="shared" si="0"/>
        <v>6</v>
      </c>
    </row>
    <row r="14" spans="1:9" ht="25.5" x14ac:dyDescent="0.2">
      <c r="A14" s="14" t="s">
        <v>308</v>
      </c>
      <c r="B14" s="6" t="s">
        <v>424</v>
      </c>
      <c r="C14" s="12">
        <v>3</v>
      </c>
      <c r="D14" s="7">
        <v>106.36499999999999</v>
      </c>
      <c r="E14" s="15">
        <v>16</v>
      </c>
      <c r="F14" s="19">
        <v>0.26296420344999999</v>
      </c>
      <c r="G14" s="44">
        <v>6201</v>
      </c>
      <c r="H14" s="50">
        <f t="shared" si="0"/>
        <v>6</v>
      </c>
    </row>
    <row r="15" spans="1:9" x14ac:dyDescent="0.2">
      <c r="A15" s="14" t="s">
        <v>308</v>
      </c>
      <c r="B15" s="6" t="s">
        <v>363</v>
      </c>
      <c r="C15" s="12">
        <v>3</v>
      </c>
      <c r="D15" s="7">
        <v>105.33333330000001</v>
      </c>
      <c r="E15" s="15">
        <v>4</v>
      </c>
      <c r="F15" s="19">
        <v>0.25009493670999999</v>
      </c>
      <c r="G15" s="44">
        <v>6296</v>
      </c>
      <c r="H15" s="50">
        <f t="shared" si="0"/>
        <v>6</v>
      </c>
    </row>
    <row r="16" spans="1:9" ht="38.25" x14ac:dyDescent="0.2">
      <c r="A16" s="14" t="s">
        <v>308</v>
      </c>
      <c r="B16" s="6" t="s">
        <v>316</v>
      </c>
      <c r="C16" s="12">
        <v>3</v>
      </c>
      <c r="D16" s="7">
        <v>395.4</v>
      </c>
      <c r="E16" s="15">
        <v>2</v>
      </c>
      <c r="F16" s="19">
        <v>0.21786418816</v>
      </c>
      <c r="G16" s="44">
        <v>6300</v>
      </c>
      <c r="H16" s="50">
        <f t="shared" si="0"/>
        <v>6</v>
      </c>
    </row>
    <row r="17" spans="1:8" x14ac:dyDescent="0.2">
      <c r="A17" s="14" t="s">
        <v>308</v>
      </c>
      <c r="B17" s="6" t="s">
        <v>416</v>
      </c>
      <c r="C17" s="16">
        <v>3</v>
      </c>
      <c r="D17" s="7">
        <v>81.713333300000002</v>
      </c>
      <c r="E17" s="15">
        <v>9</v>
      </c>
      <c r="F17" s="19">
        <v>0.31754099697999999</v>
      </c>
      <c r="G17" s="44">
        <v>6400</v>
      </c>
      <c r="H17" s="50">
        <f t="shared" si="0"/>
        <v>6</v>
      </c>
    </row>
    <row r="18" spans="1:8" ht="25.5" x14ac:dyDescent="0.2">
      <c r="A18" s="14" t="s">
        <v>308</v>
      </c>
      <c r="B18" s="6" t="s">
        <v>426</v>
      </c>
      <c r="C18" s="12">
        <v>3</v>
      </c>
      <c r="D18" s="7">
        <v>240.83</v>
      </c>
      <c r="E18" s="15">
        <v>3</v>
      </c>
      <c r="F18" s="19">
        <v>0.2195476754</v>
      </c>
      <c r="G18" s="44">
        <v>6450</v>
      </c>
      <c r="H18" s="50">
        <f t="shared" si="0"/>
        <v>6</v>
      </c>
    </row>
    <row r="19" spans="1:8" ht="25.5" x14ac:dyDescent="0.2">
      <c r="A19" s="14" t="s">
        <v>308</v>
      </c>
      <c r="B19" s="6" t="s">
        <v>413</v>
      </c>
      <c r="C19" s="12">
        <v>3</v>
      </c>
      <c r="D19" s="7">
        <v>115.0077778</v>
      </c>
      <c r="E19" s="15">
        <v>18</v>
      </c>
      <c r="F19" s="19">
        <v>0.24358207657</v>
      </c>
      <c r="G19" s="44">
        <v>6500</v>
      </c>
      <c r="H19" s="50">
        <f t="shared" si="0"/>
        <v>6</v>
      </c>
    </row>
    <row r="20" spans="1:8" ht="38.25" x14ac:dyDescent="0.2">
      <c r="A20" s="14" t="s">
        <v>308</v>
      </c>
      <c r="B20" s="6" t="s">
        <v>414</v>
      </c>
      <c r="C20" s="12">
        <v>3</v>
      </c>
      <c r="D20" s="7">
        <v>161.47999999999999</v>
      </c>
      <c r="E20" s="15">
        <v>2</v>
      </c>
      <c r="F20" s="19">
        <v>0.2216652217</v>
      </c>
      <c r="G20" s="44">
        <v>6500</v>
      </c>
      <c r="H20" s="50">
        <f t="shared" si="0"/>
        <v>6</v>
      </c>
    </row>
    <row r="21" spans="1:8" ht="25.5" x14ac:dyDescent="0.2">
      <c r="A21" s="14" t="s">
        <v>308</v>
      </c>
      <c r="B21" s="6" t="s">
        <v>387</v>
      </c>
      <c r="C21" s="16">
        <v>3</v>
      </c>
      <c r="D21" s="7">
        <v>140.43199999999999</v>
      </c>
      <c r="E21" s="15">
        <v>5</v>
      </c>
      <c r="F21" s="19">
        <v>0.22260168623000001</v>
      </c>
      <c r="G21" s="44">
        <v>6560</v>
      </c>
      <c r="H21" s="50">
        <f t="shared" si="0"/>
        <v>6</v>
      </c>
    </row>
    <row r="22" spans="1:8" ht="25.5" x14ac:dyDescent="0.2">
      <c r="A22" s="14" t="s">
        <v>562</v>
      </c>
      <c r="B22" s="6" t="s">
        <v>564</v>
      </c>
      <c r="C22" s="12">
        <v>3</v>
      </c>
      <c r="D22" s="7">
        <v>1322.55</v>
      </c>
      <c r="E22" s="15">
        <v>2</v>
      </c>
      <c r="F22" s="19">
        <v>0.24615099618</v>
      </c>
      <c r="G22" s="44">
        <v>10113</v>
      </c>
      <c r="H22" s="50">
        <f t="shared" si="0"/>
        <v>10</v>
      </c>
    </row>
    <row r="23" spans="1:8" ht="25.5" x14ac:dyDescent="0.2">
      <c r="A23" s="14" t="s">
        <v>489</v>
      </c>
      <c r="B23" s="6" t="s">
        <v>508</v>
      </c>
      <c r="C23" s="12">
        <v>3</v>
      </c>
      <c r="D23" s="7">
        <v>14.481428599999999</v>
      </c>
      <c r="E23" s="15">
        <v>7</v>
      </c>
      <c r="F23" s="19">
        <v>0.17001085133999999</v>
      </c>
      <c r="G23" s="44">
        <v>11100</v>
      </c>
      <c r="H23" s="50">
        <f t="shared" si="0"/>
        <v>11</v>
      </c>
    </row>
    <row r="24" spans="1:8" ht="25.5" x14ac:dyDescent="0.2">
      <c r="A24" s="14" t="s">
        <v>5</v>
      </c>
      <c r="B24" s="6" t="s">
        <v>6</v>
      </c>
      <c r="C24" s="12">
        <v>3</v>
      </c>
      <c r="D24" s="7">
        <v>6.34</v>
      </c>
      <c r="E24" s="15"/>
      <c r="F24" s="19">
        <v>0.15</v>
      </c>
      <c r="G24" s="44">
        <v>12000</v>
      </c>
      <c r="H24" s="50">
        <f t="shared" si="0"/>
        <v>12</v>
      </c>
    </row>
    <row r="25" spans="1:8" ht="25.5" x14ac:dyDescent="0.2">
      <c r="A25" s="14" t="s">
        <v>533</v>
      </c>
      <c r="B25" s="6" t="s">
        <v>100</v>
      </c>
      <c r="C25" s="12">
        <v>3</v>
      </c>
      <c r="D25" s="7">
        <v>21.34</v>
      </c>
      <c r="E25" s="15">
        <v>1</v>
      </c>
      <c r="F25" s="19">
        <v>0.73711340205999998</v>
      </c>
      <c r="G25" s="44">
        <v>12000</v>
      </c>
      <c r="H25" s="50">
        <f t="shared" si="0"/>
        <v>12</v>
      </c>
    </row>
    <row r="26" spans="1:8" ht="25.5" x14ac:dyDescent="0.2">
      <c r="A26" s="14" t="s">
        <v>489</v>
      </c>
      <c r="B26" s="6" t="s">
        <v>517</v>
      </c>
      <c r="C26" s="12">
        <v>3</v>
      </c>
      <c r="D26" s="7">
        <v>61.09</v>
      </c>
      <c r="E26" s="15">
        <v>1</v>
      </c>
      <c r="F26" s="19">
        <v>0.16999508921000001</v>
      </c>
      <c r="G26" s="44">
        <v>12000</v>
      </c>
      <c r="H26" s="50">
        <f t="shared" si="0"/>
        <v>12</v>
      </c>
    </row>
    <row r="27" spans="1:8" ht="25.5" x14ac:dyDescent="0.2">
      <c r="A27" s="14" t="s">
        <v>461</v>
      </c>
      <c r="B27" s="6" t="s">
        <v>279</v>
      </c>
      <c r="C27" s="12">
        <v>3</v>
      </c>
      <c r="D27" s="7">
        <v>123</v>
      </c>
      <c r="E27" s="15">
        <v>1</v>
      </c>
      <c r="F27" s="19">
        <v>0.17</v>
      </c>
      <c r="G27" s="44">
        <v>12000</v>
      </c>
      <c r="H27" s="50">
        <f t="shared" si="0"/>
        <v>12</v>
      </c>
    </row>
    <row r="28" spans="1:8" ht="25.5" x14ac:dyDescent="0.2">
      <c r="A28" s="14" t="s">
        <v>184</v>
      </c>
      <c r="B28" s="6" t="s">
        <v>264</v>
      </c>
      <c r="C28" s="16">
        <v>3</v>
      </c>
      <c r="D28" s="7">
        <v>236.72</v>
      </c>
      <c r="E28" s="15">
        <v>1</v>
      </c>
      <c r="F28" s="19">
        <v>8.0736735379999994E-2</v>
      </c>
      <c r="G28" s="44">
        <v>12000</v>
      </c>
      <c r="H28" s="50">
        <f t="shared" si="0"/>
        <v>12</v>
      </c>
    </row>
    <row r="29" spans="1:8" ht="25.5" x14ac:dyDescent="0.2">
      <c r="A29" s="14" t="s">
        <v>562</v>
      </c>
      <c r="B29" s="6" t="s">
        <v>582</v>
      </c>
      <c r="C29" s="12">
        <v>3</v>
      </c>
      <c r="D29" s="7">
        <v>1319.66</v>
      </c>
      <c r="E29" s="15">
        <v>5</v>
      </c>
      <c r="F29" s="19">
        <v>0.24534076959000001</v>
      </c>
      <c r="G29" s="44">
        <v>12040</v>
      </c>
      <c r="H29" s="50">
        <f t="shared" si="0"/>
        <v>12</v>
      </c>
    </row>
    <row r="30" spans="1:8" ht="38.25" x14ac:dyDescent="0.2">
      <c r="A30" s="14" t="s">
        <v>489</v>
      </c>
      <c r="B30" s="6" t="s">
        <v>519</v>
      </c>
      <c r="C30" s="12">
        <v>3</v>
      </c>
      <c r="D30" s="7">
        <v>47.593000000000004</v>
      </c>
      <c r="E30" s="15">
        <v>10</v>
      </c>
      <c r="F30" s="19">
        <v>0.17000189102999999</v>
      </c>
      <c r="G30" s="44">
        <v>12100</v>
      </c>
      <c r="H30" s="50">
        <f t="shared" si="0"/>
        <v>12</v>
      </c>
    </row>
    <row r="31" spans="1:8" ht="38.25" x14ac:dyDescent="0.2">
      <c r="A31" s="14" t="s">
        <v>184</v>
      </c>
      <c r="B31" s="6" t="s">
        <v>236</v>
      </c>
      <c r="C31" s="12">
        <v>3</v>
      </c>
      <c r="D31" s="7">
        <v>163.16249999999999</v>
      </c>
      <c r="E31" s="15">
        <v>7</v>
      </c>
      <c r="F31" s="19">
        <v>8.2023800399999999E-2</v>
      </c>
      <c r="G31" s="44">
        <v>12110</v>
      </c>
      <c r="H31" s="50">
        <f t="shared" si="0"/>
        <v>12</v>
      </c>
    </row>
    <row r="32" spans="1:8" x14ac:dyDescent="0.2">
      <c r="A32" s="14" t="s">
        <v>489</v>
      </c>
      <c r="B32" s="6" t="s">
        <v>525</v>
      </c>
      <c r="C32" s="16">
        <v>3</v>
      </c>
      <c r="D32" s="7">
        <v>52.2233333</v>
      </c>
      <c r="E32" s="15">
        <v>3</v>
      </c>
      <c r="F32" s="19">
        <v>0.17000063828</v>
      </c>
      <c r="G32" s="44">
        <v>12200</v>
      </c>
      <c r="H32" s="50">
        <f t="shared" si="0"/>
        <v>12</v>
      </c>
    </row>
    <row r="33" spans="1:8" ht="25.5" x14ac:dyDescent="0.2">
      <c r="A33" s="14" t="s">
        <v>8</v>
      </c>
      <c r="B33" s="6" t="s">
        <v>76</v>
      </c>
      <c r="C33" s="12">
        <v>3</v>
      </c>
      <c r="D33" s="7">
        <v>3.74</v>
      </c>
      <c r="E33" s="15">
        <v>1</v>
      </c>
      <c r="F33" s="19">
        <v>4.35026737968</v>
      </c>
      <c r="G33" s="44">
        <v>12230</v>
      </c>
      <c r="H33" s="50">
        <f t="shared" si="0"/>
        <v>12</v>
      </c>
    </row>
    <row r="34" spans="1:8" ht="25.5" x14ac:dyDescent="0.2">
      <c r="A34" s="14" t="s">
        <v>308</v>
      </c>
      <c r="B34" s="6" t="s">
        <v>385</v>
      </c>
      <c r="C34" s="12">
        <v>3</v>
      </c>
      <c r="D34" s="7">
        <v>6.6666667000000004</v>
      </c>
      <c r="E34" s="15">
        <v>3</v>
      </c>
      <c r="F34" s="19">
        <v>3.8864999999999998</v>
      </c>
      <c r="G34" s="44">
        <v>12290</v>
      </c>
      <c r="H34" s="50">
        <f t="shared" si="0"/>
        <v>12</v>
      </c>
    </row>
    <row r="35" spans="1:8" ht="38.25" x14ac:dyDescent="0.2">
      <c r="A35" s="14" t="s">
        <v>308</v>
      </c>
      <c r="B35" s="6" t="s">
        <v>367</v>
      </c>
      <c r="C35" s="16">
        <v>3</v>
      </c>
      <c r="D35" s="7">
        <v>21.3371429</v>
      </c>
      <c r="E35" s="15">
        <v>7</v>
      </c>
      <c r="F35" s="19">
        <v>1.2143144081399999</v>
      </c>
      <c r="G35" s="44">
        <v>12290</v>
      </c>
      <c r="H35" s="50">
        <f t="shared" si="0"/>
        <v>12</v>
      </c>
    </row>
    <row r="36" spans="1:8" ht="25.5" x14ac:dyDescent="0.2">
      <c r="A36" s="14" t="s">
        <v>134</v>
      </c>
      <c r="B36" s="6" t="s">
        <v>154</v>
      </c>
      <c r="C36" s="12">
        <v>3</v>
      </c>
      <c r="D36" s="7">
        <v>40.853333300000003</v>
      </c>
      <c r="E36" s="15">
        <v>3</v>
      </c>
      <c r="F36" s="19">
        <v>0.41124347257999999</v>
      </c>
      <c r="G36" s="44">
        <v>12340</v>
      </c>
      <c r="H36" s="50">
        <f t="shared" si="0"/>
        <v>12</v>
      </c>
    </row>
    <row r="37" spans="1:8" ht="25.5" x14ac:dyDescent="0.2">
      <c r="A37" s="14" t="s">
        <v>489</v>
      </c>
      <c r="B37" s="6" t="s">
        <v>514</v>
      </c>
      <c r="C37" s="12">
        <v>3</v>
      </c>
      <c r="D37" s="7">
        <v>96.485555599999998</v>
      </c>
      <c r="E37" s="15">
        <v>9</v>
      </c>
      <c r="F37" s="19">
        <v>0.17000126673999999</v>
      </c>
      <c r="G37" s="44">
        <v>12380</v>
      </c>
      <c r="H37" s="50">
        <f t="shared" si="0"/>
        <v>12</v>
      </c>
    </row>
    <row r="38" spans="1:8" ht="38.25" x14ac:dyDescent="0.2">
      <c r="A38" s="14" t="s">
        <v>8</v>
      </c>
      <c r="B38" s="6" t="s">
        <v>52</v>
      </c>
      <c r="C38" s="12">
        <v>3</v>
      </c>
      <c r="D38" s="7">
        <v>2.4700000000000002</v>
      </c>
      <c r="E38" s="15">
        <v>1</v>
      </c>
      <c r="F38" s="19">
        <v>6.5870445344100004</v>
      </c>
      <c r="G38" s="44">
        <v>12400</v>
      </c>
      <c r="H38" s="50">
        <f t="shared" si="0"/>
        <v>12</v>
      </c>
    </row>
    <row r="39" spans="1:8" ht="38.25" x14ac:dyDescent="0.2">
      <c r="A39" s="14" t="s">
        <v>5</v>
      </c>
      <c r="B39" s="6" t="s">
        <v>7</v>
      </c>
      <c r="C39" s="12">
        <v>3</v>
      </c>
      <c r="D39" s="7">
        <v>185.5</v>
      </c>
      <c r="E39" s="15">
        <v>1</v>
      </c>
      <c r="F39" s="19">
        <v>0.15</v>
      </c>
      <c r="G39" s="44">
        <v>12430</v>
      </c>
      <c r="H39" s="50">
        <f t="shared" si="0"/>
        <v>12</v>
      </c>
    </row>
    <row r="40" spans="1:8" ht="25.5" x14ac:dyDescent="0.2">
      <c r="A40" s="14" t="s">
        <v>8</v>
      </c>
      <c r="B40" s="6" t="s">
        <v>53</v>
      </c>
      <c r="C40" s="12">
        <v>3</v>
      </c>
      <c r="D40" s="7">
        <v>14.66</v>
      </c>
      <c r="E40" s="15">
        <v>1</v>
      </c>
      <c r="F40" s="19">
        <v>3.84720327422</v>
      </c>
      <c r="G40" s="44">
        <v>12500</v>
      </c>
      <c r="H40" s="50">
        <f t="shared" si="0"/>
        <v>12</v>
      </c>
    </row>
    <row r="41" spans="1:8" ht="25.5" x14ac:dyDescent="0.2">
      <c r="A41" s="14" t="s">
        <v>533</v>
      </c>
      <c r="B41" s="6" t="s">
        <v>552</v>
      </c>
      <c r="C41" s="16">
        <v>3</v>
      </c>
      <c r="D41" s="7">
        <v>20.848749999999999</v>
      </c>
      <c r="E41" s="15">
        <v>8</v>
      </c>
      <c r="F41" s="19">
        <v>0.76929072486000005</v>
      </c>
      <c r="G41" s="44">
        <v>12510</v>
      </c>
      <c r="H41" s="50">
        <f t="shared" si="0"/>
        <v>12</v>
      </c>
    </row>
    <row r="42" spans="1:8" x14ac:dyDescent="0.2">
      <c r="A42" s="14" t="s">
        <v>8</v>
      </c>
      <c r="B42" s="6" t="s">
        <v>87</v>
      </c>
      <c r="C42" s="12">
        <v>3</v>
      </c>
      <c r="D42" s="7">
        <v>32.229999999999997</v>
      </c>
      <c r="E42" s="15">
        <v>1</v>
      </c>
      <c r="F42" s="19">
        <v>0.50480918398999997</v>
      </c>
      <c r="G42" s="44">
        <v>12540</v>
      </c>
      <c r="H42" s="50">
        <f t="shared" si="0"/>
        <v>12</v>
      </c>
    </row>
    <row r="43" spans="1:8" ht="25.5" x14ac:dyDescent="0.2">
      <c r="A43" s="14" t="s">
        <v>8</v>
      </c>
      <c r="B43" s="6" t="s">
        <v>46</v>
      </c>
      <c r="C43" s="12">
        <v>3</v>
      </c>
      <c r="D43" s="7">
        <v>13.63</v>
      </c>
      <c r="E43" s="15">
        <v>1</v>
      </c>
      <c r="F43" s="19">
        <v>1.1936903888499999</v>
      </c>
      <c r="G43" s="44">
        <v>12600</v>
      </c>
      <c r="H43" s="50">
        <f t="shared" si="0"/>
        <v>12</v>
      </c>
    </row>
    <row r="44" spans="1:8" ht="38.25" x14ac:dyDescent="0.2">
      <c r="A44" s="14" t="s">
        <v>489</v>
      </c>
      <c r="B44" s="6" t="s">
        <v>495</v>
      </c>
      <c r="C44" s="12">
        <v>3</v>
      </c>
      <c r="D44" s="7">
        <v>101.2566667</v>
      </c>
      <c r="E44" s="15">
        <v>12</v>
      </c>
      <c r="F44" s="19">
        <v>0.16999950621000001</v>
      </c>
      <c r="G44" s="44">
        <v>12850</v>
      </c>
      <c r="H44" s="50">
        <f t="shared" si="0"/>
        <v>12</v>
      </c>
    </row>
    <row r="45" spans="1:8" ht="38.25" x14ac:dyDescent="0.2">
      <c r="A45" s="14" t="s">
        <v>184</v>
      </c>
      <c r="B45" s="6" t="s">
        <v>253</v>
      </c>
      <c r="C45" s="12">
        <v>3</v>
      </c>
      <c r="D45" s="7">
        <v>677.53445450000004</v>
      </c>
      <c r="E45" s="15">
        <v>36</v>
      </c>
      <c r="F45" s="19">
        <v>7.680325952E-2</v>
      </c>
      <c r="G45" s="44">
        <v>12850</v>
      </c>
      <c r="H45" s="50">
        <f t="shared" si="0"/>
        <v>12</v>
      </c>
    </row>
    <row r="46" spans="1:8" ht="38.25" x14ac:dyDescent="0.2">
      <c r="A46" s="14" t="s">
        <v>308</v>
      </c>
      <c r="B46" s="6" t="s">
        <v>432</v>
      </c>
      <c r="C46" s="12">
        <v>3</v>
      </c>
      <c r="D46" s="7">
        <v>93.410588200000007</v>
      </c>
      <c r="E46" s="15">
        <v>17</v>
      </c>
      <c r="F46" s="19">
        <v>0.28475421605000001</v>
      </c>
      <c r="G46" s="44">
        <v>13000</v>
      </c>
      <c r="H46" s="50">
        <f t="shared" si="0"/>
        <v>13</v>
      </c>
    </row>
    <row r="47" spans="1:8" ht="25.5" x14ac:dyDescent="0.2">
      <c r="A47" s="14" t="s">
        <v>308</v>
      </c>
      <c r="B47" s="6" t="s">
        <v>422</v>
      </c>
      <c r="C47" s="12">
        <v>3</v>
      </c>
      <c r="D47" s="7">
        <v>97.546666700000003</v>
      </c>
      <c r="E47" s="15">
        <v>3</v>
      </c>
      <c r="F47" s="19">
        <v>0.26701066155999997</v>
      </c>
      <c r="G47" s="44">
        <v>13000</v>
      </c>
      <c r="H47" s="50">
        <f t="shared" si="0"/>
        <v>13</v>
      </c>
    </row>
    <row r="48" spans="1:8" ht="25.5" x14ac:dyDescent="0.2">
      <c r="A48" s="14" t="s">
        <v>308</v>
      </c>
      <c r="B48" s="6" t="s">
        <v>454</v>
      </c>
      <c r="C48" s="12">
        <v>3</v>
      </c>
      <c r="D48" s="7">
        <v>143.55000000000001</v>
      </c>
      <c r="E48" s="15">
        <v>7</v>
      </c>
      <c r="F48" s="19">
        <v>0.24238642583</v>
      </c>
      <c r="G48" s="44">
        <v>13000</v>
      </c>
      <c r="H48" s="50">
        <f t="shared" si="0"/>
        <v>13</v>
      </c>
    </row>
    <row r="49" spans="1:8" ht="25.5" x14ac:dyDescent="0.2">
      <c r="A49" s="14" t="s">
        <v>308</v>
      </c>
      <c r="B49" s="6" t="s">
        <v>433</v>
      </c>
      <c r="C49" s="12">
        <v>3</v>
      </c>
      <c r="D49" s="7">
        <v>369.4477273</v>
      </c>
      <c r="E49" s="15">
        <v>22</v>
      </c>
      <c r="F49" s="19">
        <v>0.21949925257</v>
      </c>
      <c r="G49" s="44">
        <v>13000</v>
      </c>
      <c r="H49" s="50">
        <f t="shared" si="0"/>
        <v>13</v>
      </c>
    </row>
    <row r="50" spans="1:8" x14ac:dyDescent="0.2">
      <c r="A50" s="14" t="s">
        <v>308</v>
      </c>
      <c r="B50" s="6" t="s">
        <v>390</v>
      </c>
      <c r="C50" s="12">
        <v>3</v>
      </c>
      <c r="D50" s="7">
        <v>446.32600000000002</v>
      </c>
      <c r="E50" s="15">
        <v>25</v>
      </c>
      <c r="F50" s="19">
        <v>0.21758051289999999</v>
      </c>
      <c r="G50" s="44">
        <v>13000</v>
      </c>
      <c r="H50" s="50">
        <f t="shared" si="0"/>
        <v>13</v>
      </c>
    </row>
    <row r="51" spans="1:8" ht="38.25" x14ac:dyDescent="0.2">
      <c r="A51" s="14" t="s">
        <v>308</v>
      </c>
      <c r="B51" s="6" t="s">
        <v>427</v>
      </c>
      <c r="C51" s="12">
        <v>3</v>
      </c>
      <c r="D51" s="7">
        <v>105.89</v>
      </c>
      <c r="E51" s="15">
        <v>4</v>
      </c>
      <c r="F51" s="19">
        <v>0.25191708376999999</v>
      </c>
      <c r="G51" s="44">
        <v>13001</v>
      </c>
      <c r="H51" s="50">
        <f t="shared" si="0"/>
        <v>13</v>
      </c>
    </row>
    <row r="52" spans="1:8" ht="25.5" x14ac:dyDescent="0.2">
      <c r="A52" s="14" t="s">
        <v>308</v>
      </c>
      <c r="B52" s="6" t="s">
        <v>354</v>
      </c>
      <c r="C52" s="12">
        <v>3</v>
      </c>
      <c r="D52" s="7">
        <v>618.37588240000002</v>
      </c>
      <c r="E52" s="15">
        <v>17</v>
      </c>
      <c r="F52" s="19">
        <v>0.21693639601</v>
      </c>
      <c r="G52" s="44">
        <v>13001</v>
      </c>
      <c r="H52" s="50">
        <f t="shared" si="0"/>
        <v>13</v>
      </c>
    </row>
    <row r="53" spans="1:8" ht="38.25" x14ac:dyDescent="0.2">
      <c r="A53" s="14" t="s">
        <v>308</v>
      </c>
      <c r="B53" s="6" t="s">
        <v>320</v>
      </c>
      <c r="C53" s="12">
        <v>3</v>
      </c>
      <c r="D53" s="7">
        <v>164.82749999999999</v>
      </c>
      <c r="E53" s="15">
        <v>12</v>
      </c>
      <c r="F53" s="19">
        <v>0.22444575894999999</v>
      </c>
      <c r="G53" s="44">
        <v>13003</v>
      </c>
      <c r="H53" s="50">
        <f t="shared" si="0"/>
        <v>13</v>
      </c>
    </row>
    <row r="54" spans="1:8" ht="38.25" x14ac:dyDescent="0.2">
      <c r="A54" s="14" t="s">
        <v>308</v>
      </c>
      <c r="B54" s="6" t="s">
        <v>440</v>
      </c>
      <c r="C54" s="16">
        <v>3</v>
      </c>
      <c r="D54" s="7">
        <v>965.25</v>
      </c>
      <c r="E54" s="15">
        <v>27</v>
      </c>
      <c r="F54" s="19">
        <v>0.21662382611</v>
      </c>
      <c r="G54" s="44">
        <v>13003</v>
      </c>
      <c r="H54" s="50">
        <f t="shared" si="0"/>
        <v>13</v>
      </c>
    </row>
    <row r="55" spans="1:8" ht="38.25" x14ac:dyDescent="0.2">
      <c r="A55" s="14" t="s">
        <v>308</v>
      </c>
      <c r="B55" s="6" t="s">
        <v>353</v>
      </c>
      <c r="C55" s="12">
        <v>3</v>
      </c>
      <c r="D55" s="7">
        <v>22.25</v>
      </c>
      <c r="E55" s="15">
        <v>16</v>
      </c>
      <c r="F55" s="19">
        <v>1.16449438202</v>
      </c>
      <c r="G55" s="44">
        <v>13005</v>
      </c>
      <c r="H55" s="50">
        <f t="shared" si="0"/>
        <v>13</v>
      </c>
    </row>
    <row r="56" spans="1:8" ht="25.5" x14ac:dyDescent="0.2">
      <c r="A56" s="14" t="s">
        <v>308</v>
      </c>
      <c r="B56" s="6" t="s">
        <v>447</v>
      </c>
      <c r="C56" s="12">
        <v>3</v>
      </c>
      <c r="D56" s="7">
        <v>108.21285709999999</v>
      </c>
      <c r="E56" s="15">
        <v>14</v>
      </c>
      <c r="F56" s="19">
        <v>0.27415411425000002</v>
      </c>
      <c r="G56" s="44">
        <v>13009</v>
      </c>
      <c r="H56" s="50">
        <f t="shared" si="0"/>
        <v>13</v>
      </c>
    </row>
    <row r="57" spans="1:8" ht="25.5" x14ac:dyDescent="0.2">
      <c r="A57" s="14" t="s">
        <v>308</v>
      </c>
      <c r="B57" s="6" t="s">
        <v>351</v>
      </c>
      <c r="C57" s="12">
        <v>3</v>
      </c>
      <c r="D57" s="7">
        <v>41.483846200000002</v>
      </c>
      <c r="E57" s="15">
        <v>12</v>
      </c>
      <c r="F57" s="19">
        <v>0.62458046691000002</v>
      </c>
      <c r="G57" s="44">
        <v>13012</v>
      </c>
      <c r="H57" s="50">
        <f t="shared" si="0"/>
        <v>13</v>
      </c>
    </row>
    <row r="58" spans="1:8" x14ac:dyDescent="0.2">
      <c r="A58" s="14" t="s">
        <v>592</v>
      </c>
      <c r="B58" s="6" t="s">
        <v>397</v>
      </c>
      <c r="C58" s="12">
        <v>3</v>
      </c>
      <c r="D58" s="7">
        <v>644.07692310000004</v>
      </c>
      <c r="E58" s="15">
        <v>24</v>
      </c>
      <c r="F58" s="19">
        <v>0.13591723397</v>
      </c>
      <c r="G58" s="44">
        <v>13014</v>
      </c>
      <c r="H58" s="50">
        <f t="shared" si="0"/>
        <v>13</v>
      </c>
    </row>
    <row r="59" spans="1:8" ht="25.5" x14ac:dyDescent="0.2">
      <c r="A59" s="14" t="s">
        <v>308</v>
      </c>
      <c r="B59" s="6" t="s">
        <v>446</v>
      </c>
      <c r="C59" s="12">
        <v>3</v>
      </c>
      <c r="D59" s="7">
        <v>399.93</v>
      </c>
      <c r="E59" s="15">
        <v>36</v>
      </c>
      <c r="F59" s="19">
        <v>0.21895540053000001</v>
      </c>
      <c r="G59" s="44">
        <v>13015</v>
      </c>
      <c r="H59" s="50">
        <f t="shared" si="0"/>
        <v>13</v>
      </c>
    </row>
    <row r="60" spans="1:8" ht="38.25" x14ac:dyDescent="0.2">
      <c r="A60" s="14" t="s">
        <v>562</v>
      </c>
      <c r="B60" s="6" t="s">
        <v>589</v>
      </c>
      <c r="C60" s="12">
        <v>3</v>
      </c>
      <c r="D60" s="7">
        <v>1271.0777777999999</v>
      </c>
      <c r="E60" s="15">
        <v>9</v>
      </c>
      <c r="F60" s="19">
        <v>0.2463594325</v>
      </c>
      <c r="G60" s="44">
        <v>13030</v>
      </c>
      <c r="H60" s="50">
        <f t="shared" si="0"/>
        <v>13</v>
      </c>
    </row>
    <row r="61" spans="1:8" ht="38.25" x14ac:dyDescent="0.2">
      <c r="A61" s="14" t="s">
        <v>308</v>
      </c>
      <c r="B61" s="6" t="s">
        <v>333</v>
      </c>
      <c r="C61" s="12">
        <v>3</v>
      </c>
      <c r="D61" s="7">
        <v>65.901666700000007</v>
      </c>
      <c r="E61" s="15">
        <v>6</v>
      </c>
      <c r="F61" s="19">
        <v>0.39573354240000003</v>
      </c>
      <c r="G61" s="44">
        <v>13090</v>
      </c>
      <c r="H61" s="50">
        <f t="shared" si="0"/>
        <v>13</v>
      </c>
    </row>
    <row r="62" spans="1:8" ht="25.5" x14ac:dyDescent="0.2">
      <c r="A62" s="14" t="s">
        <v>308</v>
      </c>
      <c r="B62" s="6" t="s">
        <v>429</v>
      </c>
      <c r="C62" s="12">
        <v>3</v>
      </c>
      <c r="D62" s="7">
        <v>597.01576920000002</v>
      </c>
      <c r="E62" s="15">
        <v>25</v>
      </c>
      <c r="F62" s="19">
        <v>0.21902700676</v>
      </c>
      <c r="G62" s="44">
        <v>13090</v>
      </c>
      <c r="H62" s="50">
        <f t="shared" si="0"/>
        <v>13</v>
      </c>
    </row>
    <row r="63" spans="1:8" ht="25.5" x14ac:dyDescent="0.2">
      <c r="A63" s="14" t="s">
        <v>308</v>
      </c>
      <c r="B63" s="6" t="s">
        <v>311</v>
      </c>
      <c r="C63" s="12">
        <v>3</v>
      </c>
      <c r="D63" s="7">
        <v>234.37625</v>
      </c>
      <c r="E63" s="15">
        <v>16</v>
      </c>
      <c r="F63" s="19">
        <v>0.21966576178</v>
      </c>
      <c r="G63" s="44">
        <v>13100</v>
      </c>
      <c r="H63" s="50">
        <f t="shared" si="0"/>
        <v>13</v>
      </c>
    </row>
    <row r="64" spans="1:8" ht="25.5" x14ac:dyDescent="0.2">
      <c r="A64" s="14" t="s">
        <v>308</v>
      </c>
      <c r="B64" s="6" t="s">
        <v>358</v>
      </c>
      <c r="C64" s="12">
        <v>3</v>
      </c>
      <c r="D64" s="7">
        <v>108.59714289999999</v>
      </c>
      <c r="E64" s="15">
        <v>7</v>
      </c>
      <c r="F64" s="19">
        <v>0.25073009023999998</v>
      </c>
      <c r="G64" s="44">
        <v>13110</v>
      </c>
      <c r="H64" s="50">
        <f t="shared" si="0"/>
        <v>13</v>
      </c>
    </row>
    <row r="65" spans="1:8" ht="25.5" x14ac:dyDescent="0.2">
      <c r="A65" s="14" t="s">
        <v>308</v>
      </c>
      <c r="B65" s="6" t="s">
        <v>326</v>
      </c>
      <c r="C65" s="12">
        <v>3</v>
      </c>
      <c r="D65" s="7">
        <v>194.73</v>
      </c>
      <c r="E65" s="15">
        <v>2</v>
      </c>
      <c r="F65" s="19">
        <v>0.22055410054999999</v>
      </c>
      <c r="G65" s="44">
        <v>13130</v>
      </c>
      <c r="H65" s="50">
        <f t="shared" si="0"/>
        <v>13</v>
      </c>
    </row>
    <row r="66" spans="1:8" ht="38.25" x14ac:dyDescent="0.2">
      <c r="A66" s="14" t="s">
        <v>308</v>
      </c>
      <c r="B66" s="6" t="s">
        <v>332</v>
      </c>
      <c r="C66" s="16">
        <v>3</v>
      </c>
      <c r="D66" s="7">
        <v>128.75529409999999</v>
      </c>
      <c r="E66" s="15">
        <v>17</v>
      </c>
      <c r="F66" s="19">
        <v>0.25556230697999999</v>
      </c>
      <c r="G66" s="44">
        <v>13140</v>
      </c>
      <c r="H66" s="50">
        <f t="shared" si="0"/>
        <v>13</v>
      </c>
    </row>
    <row r="67" spans="1:8" ht="38.25" x14ac:dyDescent="0.2">
      <c r="A67" s="14" t="s">
        <v>308</v>
      </c>
      <c r="B67" s="6" t="s">
        <v>356</v>
      </c>
      <c r="C67" s="12">
        <v>3</v>
      </c>
      <c r="D67" s="7">
        <v>241.5316</v>
      </c>
      <c r="E67" s="15">
        <v>25</v>
      </c>
      <c r="F67" s="19">
        <v>0.21953417275000001</v>
      </c>
      <c r="G67" s="44">
        <v>13140</v>
      </c>
      <c r="H67" s="50">
        <f t="shared" ref="H67:H130" si="1">IF(LEN(G67)=4,VALUE(LEFT(G67,1)),VALUE(LEFT(G67,2)))</f>
        <v>13</v>
      </c>
    </row>
    <row r="68" spans="1:8" x14ac:dyDescent="0.2">
      <c r="A68" s="14" t="s">
        <v>308</v>
      </c>
      <c r="B68" s="6" t="s">
        <v>442</v>
      </c>
      <c r="C68" s="12">
        <v>3</v>
      </c>
      <c r="D68" s="7">
        <v>176.5335714</v>
      </c>
      <c r="E68" s="15">
        <v>14</v>
      </c>
      <c r="F68" s="19">
        <v>0.23023423306999999</v>
      </c>
      <c r="G68" s="44">
        <v>13150</v>
      </c>
      <c r="H68" s="50">
        <f t="shared" si="1"/>
        <v>13</v>
      </c>
    </row>
    <row r="69" spans="1:8" ht="38.25" x14ac:dyDescent="0.2">
      <c r="A69" s="14" t="s">
        <v>533</v>
      </c>
      <c r="B69" s="6" t="s">
        <v>543</v>
      </c>
      <c r="C69" s="12">
        <v>3</v>
      </c>
      <c r="D69" s="7">
        <v>25.14</v>
      </c>
      <c r="E69" s="15">
        <v>3</v>
      </c>
      <c r="F69" s="19">
        <v>0.62569610183000002</v>
      </c>
      <c r="G69" s="44">
        <v>13210</v>
      </c>
      <c r="H69" s="50">
        <f t="shared" si="1"/>
        <v>13</v>
      </c>
    </row>
    <row r="70" spans="1:8" ht="38.25" x14ac:dyDescent="0.2">
      <c r="A70" s="14" t="s">
        <v>533</v>
      </c>
      <c r="B70" s="6" t="s">
        <v>541</v>
      </c>
      <c r="C70" s="12">
        <v>3</v>
      </c>
      <c r="D70" s="7">
        <v>68.760000000000005</v>
      </c>
      <c r="E70" s="15">
        <v>1</v>
      </c>
      <c r="F70" s="19">
        <v>0.31486329261000001</v>
      </c>
      <c r="G70" s="44">
        <v>13210</v>
      </c>
      <c r="H70" s="50">
        <f t="shared" si="1"/>
        <v>13</v>
      </c>
    </row>
    <row r="71" spans="1:8" ht="38.25" x14ac:dyDescent="0.2">
      <c r="A71" s="14" t="s">
        <v>308</v>
      </c>
      <c r="B71" s="6" t="s">
        <v>406</v>
      </c>
      <c r="C71" s="16">
        <v>3</v>
      </c>
      <c r="D71" s="7">
        <v>58.15</v>
      </c>
      <c r="E71" s="15">
        <v>2</v>
      </c>
      <c r="F71" s="19">
        <v>0.44557179708</v>
      </c>
      <c r="G71" s="44">
        <v>13300</v>
      </c>
      <c r="H71" s="50">
        <f t="shared" si="1"/>
        <v>13</v>
      </c>
    </row>
    <row r="72" spans="1:8" ht="38.25" x14ac:dyDescent="0.2">
      <c r="A72" s="14" t="s">
        <v>308</v>
      </c>
      <c r="B72" s="6" t="s">
        <v>342</v>
      </c>
      <c r="C72" s="16">
        <v>3</v>
      </c>
      <c r="D72" s="7">
        <v>90.244</v>
      </c>
      <c r="E72" s="15">
        <v>20</v>
      </c>
      <c r="F72" s="19">
        <v>0.29685574663999997</v>
      </c>
      <c r="G72" s="44">
        <v>13300</v>
      </c>
      <c r="H72" s="50">
        <f t="shared" si="1"/>
        <v>13</v>
      </c>
    </row>
    <row r="73" spans="1:8" ht="25.5" x14ac:dyDescent="0.2">
      <c r="A73" s="14" t="s">
        <v>308</v>
      </c>
      <c r="B73" s="6" t="s">
        <v>349</v>
      </c>
      <c r="C73" s="12">
        <v>3</v>
      </c>
      <c r="D73" s="7">
        <v>90.701875000000001</v>
      </c>
      <c r="E73" s="15">
        <v>16</v>
      </c>
      <c r="F73" s="19">
        <v>0.30322485063999999</v>
      </c>
      <c r="G73" s="44">
        <v>13300</v>
      </c>
      <c r="H73" s="50">
        <f t="shared" si="1"/>
        <v>13</v>
      </c>
    </row>
    <row r="74" spans="1:8" ht="38.25" x14ac:dyDescent="0.2">
      <c r="A74" s="14" t="s">
        <v>308</v>
      </c>
      <c r="B74" s="6" t="s">
        <v>336</v>
      </c>
      <c r="C74" s="12">
        <v>3</v>
      </c>
      <c r="D74" s="7">
        <v>200.53333330000001</v>
      </c>
      <c r="E74" s="15">
        <v>21</v>
      </c>
      <c r="F74" s="19">
        <v>0.22444576367999999</v>
      </c>
      <c r="G74" s="44">
        <v>13300</v>
      </c>
      <c r="H74" s="50">
        <f t="shared" si="1"/>
        <v>13</v>
      </c>
    </row>
    <row r="75" spans="1:8" ht="38.25" x14ac:dyDescent="0.2">
      <c r="A75" s="14" t="s">
        <v>308</v>
      </c>
      <c r="B75" s="6" t="s">
        <v>318</v>
      </c>
      <c r="C75" s="12">
        <v>3</v>
      </c>
      <c r="D75" s="7">
        <v>209.7</v>
      </c>
      <c r="E75" s="15">
        <v>1</v>
      </c>
      <c r="F75" s="19">
        <v>0.22015736766999999</v>
      </c>
      <c r="G75" s="44">
        <v>13400</v>
      </c>
      <c r="H75" s="50">
        <f t="shared" si="1"/>
        <v>13</v>
      </c>
    </row>
    <row r="76" spans="1:8" ht="38.25" x14ac:dyDescent="0.2">
      <c r="A76" s="14" t="s">
        <v>308</v>
      </c>
      <c r="B76" s="6" t="s">
        <v>391</v>
      </c>
      <c r="C76" s="12">
        <v>3</v>
      </c>
      <c r="D76" s="7">
        <v>245.4</v>
      </c>
      <c r="E76" s="15">
        <v>1</v>
      </c>
      <c r="F76" s="19">
        <v>0.21947432762999999</v>
      </c>
      <c r="G76" s="44">
        <v>13400</v>
      </c>
      <c r="H76" s="50">
        <f t="shared" si="1"/>
        <v>13</v>
      </c>
    </row>
    <row r="77" spans="1:8" ht="38.25" x14ac:dyDescent="0.2">
      <c r="A77" s="14" t="s">
        <v>308</v>
      </c>
      <c r="B77" s="6" t="s">
        <v>372</v>
      </c>
      <c r="C77" s="16">
        <v>3</v>
      </c>
      <c r="D77" s="7">
        <v>121.065</v>
      </c>
      <c r="E77" s="15">
        <v>8</v>
      </c>
      <c r="F77" s="19">
        <v>0.22756990047</v>
      </c>
      <c r="G77" s="44">
        <v>13500</v>
      </c>
      <c r="H77" s="50">
        <f t="shared" si="1"/>
        <v>13</v>
      </c>
    </row>
    <row r="78" spans="1:8" ht="25.5" x14ac:dyDescent="0.2">
      <c r="A78" s="14" t="s">
        <v>308</v>
      </c>
      <c r="B78" s="6" t="s">
        <v>347</v>
      </c>
      <c r="C78" s="16">
        <v>3</v>
      </c>
      <c r="D78" s="7">
        <v>148.35733329999999</v>
      </c>
      <c r="E78" s="15">
        <v>15</v>
      </c>
      <c r="F78" s="19">
        <v>0.23785454938</v>
      </c>
      <c r="G78" s="44">
        <v>13500</v>
      </c>
      <c r="H78" s="50">
        <f t="shared" si="1"/>
        <v>13</v>
      </c>
    </row>
    <row r="79" spans="1:8" ht="25.5" x14ac:dyDescent="0.2">
      <c r="A79" s="14" t="s">
        <v>308</v>
      </c>
      <c r="B79" s="6" t="s">
        <v>445</v>
      </c>
      <c r="C79" s="16">
        <v>3</v>
      </c>
      <c r="D79" s="7">
        <v>245.25555560000001</v>
      </c>
      <c r="E79" s="15">
        <v>27</v>
      </c>
      <c r="F79" s="19">
        <v>0.22539135293000001</v>
      </c>
      <c r="G79" s="44">
        <v>13700</v>
      </c>
      <c r="H79" s="50">
        <f t="shared" si="1"/>
        <v>13</v>
      </c>
    </row>
    <row r="80" spans="1:8" ht="25.5" x14ac:dyDescent="0.2">
      <c r="A80" s="14" t="s">
        <v>562</v>
      </c>
      <c r="B80" s="6" t="s">
        <v>576</v>
      </c>
      <c r="C80" s="12">
        <v>3</v>
      </c>
      <c r="D80" s="7">
        <v>1993.9311111</v>
      </c>
      <c r="E80" s="15">
        <v>9</v>
      </c>
      <c r="F80" s="19">
        <v>0.24579479508999999</v>
      </c>
      <c r="G80" s="44">
        <v>16035</v>
      </c>
      <c r="H80" s="50">
        <f t="shared" si="1"/>
        <v>16</v>
      </c>
    </row>
    <row r="81" spans="1:8" ht="38.25" x14ac:dyDescent="0.2">
      <c r="A81" s="14" t="s">
        <v>562</v>
      </c>
      <c r="B81" s="6" t="s">
        <v>568</v>
      </c>
      <c r="C81" s="16">
        <v>3</v>
      </c>
      <c r="D81" s="7">
        <v>478.63555559999998</v>
      </c>
      <c r="E81" s="15">
        <v>9</v>
      </c>
      <c r="F81" s="19">
        <v>0.31937753613999997</v>
      </c>
      <c r="G81" s="44">
        <v>16143</v>
      </c>
      <c r="H81" s="50">
        <f t="shared" si="1"/>
        <v>16</v>
      </c>
    </row>
    <row r="82" spans="1:8" x14ac:dyDescent="0.2">
      <c r="A82" s="14" t="s">
        <v>306</v>
      </c>
      <c r="B82" s="6" t="s">
        <v>307</v>
      </c>
      <c r="C82" s="12">
        <v>3</v>
      </c>
      <c r="D82" s="7">
        <v>9702.34</v>
      </c>
      <c r="E82" s="15">
        <v>1</v>
      </c>
      <c r="F82" s="19">
        <v>7.2147543790000004E-2</v>
      </c>
      <c r="G82" s="44">
        <v>17510</v>
      </c>
      <c r="H82" s="50">
        <f t="shared" si="1"/>
        <v>17</v>
      </c>
    </row>
    <row r="83" spans="1:8" ht="38.25" x14ac:dyDescent="0.2">
      <c r="A83" s="14" t="s">
        <v>308</v>
      </c>
      <c r="B83" s="6" t="s">
        <v>437</v>
      </c>
      <c r="C83" s="12">
        <v>3</v>
      </c>
      <c r="D83" s="7">
        <v>105.33</v>
      </c>
      <c r="E83" s="15">
        <v>2</v>
      </c>
      <c r="F83" s="19">
        <v>0.24388113548000001</v>
      </c>
      <c r="G83" s="44">
        <v>18000</v>
      </c>
      <c r="H83" s="50">
        <f t="shared" si="1"/>
        <v>18</v>
      </c>
    </row>
    <row r="84" spans="1:8" ht="38.25" x14ac:dyDescent="0.2">
      <c r="A84" s="14" t="s">
        <v>160</v>
      </c>
      <c r="B84" s="6" t="s">
        <v>176</v>
      </c>
      <c r="C84" s="12">
        <v>3</v>
      </c>
      <c r="D84" s="7">
        <v>79.2157895</v>
      </c>
      <c r="E84" s="15">
        <v>19</v>
      </c>
      <c r="F84" s="19">
        <v>0.21118331007999999</v>
      </c>
      <c r="G84" s="44">
        <v>19000</v>
      </c>
      <c r="H84" s="50">
        <f t="shared" si="1"/>
        <v>19</v>
      </c>
    </row>
    <row r="85" spans="1:8" ht="25.5" x14ac:dyDescent="0.2">
      <c r="A85" s="14" t="s">
        <v>184</v>
      </c>
      <c r="B85" s="6" t="s">
        <v>266</v>
      </c>
      <c r="C85" s="12">
        <v>3</v>
      </c>
      <c r="D85" s="7">
        <v>1142.3251723999999</v>
      </c>
      <c r="E85" s="15">
        <v>20</v>
      </c>
      <c r="F85" s="19">
        <v>8.4441594169999995E-2</v>
      </c>
      <c r="G85" s="44">
        <v>19000</v>
      </c>
      <c r="H85" s="50">
        <f t="shared" si="1"/>
        <v>19</v>
      </c>
    </row>
    <row r="86" spans="1:8" ht="25.5" x14ac:dyDescent="0.2">
      <c r="A86" s="14" t="s">
        <v>562</v>
      </c>
      <c r="B86" s="6" t="s">
        <v>590</v>
      </c>
      <c r="C86" s="12">
        <v>3</v>
      </c>
      <c r="D86" s="7">
        <v>431.26571430000001</v>
      </c>
      <c r="E86" s="15">
        <v>7</v>
      </c>
      <c r="F86" s="19">
        <v>0.34747023711000002</v>
      </c>
      <c r="G86" s="44">
        <v>19035</v>
      </c>
      <c r="H86" s="50">
        <f t="shared" si="1"/>
        <v>19</v>
      </c>
    </row>
    <row r="87" spans="1:8" ht="38.25" x14ac:dyDescent="0.2">
      <c r="A87" s="14" t="s">
        <v>160</v>
      </c>
      <c r="B87" s="6" t="s">
        <v>161</v>
      </c>
      <c r="C87" s="12">
        <v>3</v>
      </c>
      <c r="D87" s="7">
        <v>91.194999999999993</v>
      </c>
      <c r="E87" s="15">
        <v>12</v>
      </c>
      <c r="F87" s="19">
        <v>0.20601092896000001</v>
      </c>
      <c r="G87" s="44">
        <v>19100</v>
      </c>
      <c r="H87" s="50">
        <f t="shared" si="1"/>
        <v>19</v>
      </c>
    </row>
    <row r="88" spans="1:8" ht="25.5" x14ac:dyDescent="0.2">
      <c r="A88" s="14" t="s">
        <v>160</v>
      </c>
      <c r="B88" s="6" t="s">
        <v>183</v>
      </c>
      <c r="C88" s="12">
        <v>3</v>
      </c>
      <c r="D88" s="7">
        <v>123.9555556</v>
      </c>
      <c r="E88" s="15">
        <v>9</v>
      </c>
      <c r="F88" s="19">
        <v>0.19697472212</v>
      </c>
      <c r="G88" s="44">
        <v>19240</v>
      </c>
      <c r="H88" s="50">
        <f t="shared" si="1"/>
        <v>19</v>
      </c>
    </row>
    <row r="89" spans="1:8" ht="38.25" x14ac:dyDescent="0.2">
      <c r="A89" s="14" t="s">
        <v>308</v>
      </c>
      <c r="B89" s="6" t="s">
        <v>327</v>
      </c>
      <c r="C89" s="16">
        <v>3</v>
      </c>
      <c r="D89" s="7">
        <v>121.5422222</v>
      </c>
      <c r="E89" s="15">
        <v>9</v>
      </c>
      <c r="F89" s="19">
        <v>0.23254835997000001</v>
      </c>
      <c r="G89" s="44">
        <v>20090</v>
      </c>
      <c r="H89" s="50">
        <f t="shared" si="1"/>
        <v>20</v>
      </c>
    </row>
    <row r="90" spans="1:8" ht="38.25" x14ac:dyDescent="0.2">
      <c r="A90" s="14" t="s">
        <v>308</v>
      </c>
      <c r="B90" s="6" t="s">
        <v>312</v>
      </c>
      <c r="C90" s="16">
        <v>3</v>
      </c>
      <c r="D90" s="7">
        <v>246.6</v>
      </c>
      <c r="E90" s="15">
        <v>6</v>
      </c>
      <c r="F90" s="19">
        <v>0.21944849959000001</v>
      </c>
      <c r="G90" s="44">
        <v>20213</v>
      </c>
      <c r="H90" s="50">
        <f t="shared" si="1"/>
        <v>20</v>
      </c>
    </row>
    <row r="91" spans="1:8" x14ac:dyDescent="0.2">
      <c r="A91" s="14" t="s">
        <v>308</v>
      </c>
      <c r="B91" s="6" t="s">
        <v>456</v>
      </c>
      <c r="C91" s="12">
        <v>3</v>
      </c>
      <c r="D91" s="7">
        <v>170.8944444</v>
      </c>
      <c r="E91" s="15">
        <v>9</v>
      </c>
      <c r="F91" s="19">
        <v>0.24146224115000001</v>
      </c>
      <c r="G91" s="44">
        <v>20600</v>
      </c>
      <c r="H91" s="50">
        <f t="shared" si="1"/>
        <v>20</v>
      </c>
    </row>
    <row r="92" spans="1:8" ht="25.5" x14ac:dyDescent="0.2">
      <c r="A92" s="14" t="s">
        <v>308</v>
      </c>
      <c r="B92" s="6" t="s">
        <v>458</v>
      </c>
      <c r="C92" s="12">
        <v>3</v>
      </c>
      <c r="D92" s="7">
        <v>251.45</v>
      </c>
      <c r="E92" s="15">
        <v>8</v>
      </c>
      <c r="F92" s="19">
        <v>0.21936468482999999</v>
      </c>
      <c r="G92" s="44">
        <v>20600</v>
      </c>
      <c r="H92" s="50">
        <f t="shared" si="1"/>
        <v>20</v>
      </c>
    </row>
    <row r="93" spans="1:8" ht="25.5" x14ac:dyDescent="0.2">
      <c r="A93" s="14" t="s">
        <v>562</v>
      </c>
      <c r="B93" s="6" t="s">
        <v>579</v>
      </c>
      <c r="C93" s="12">
        <v>3</v>
      </c>
      <c r="D93" s="7">
        <v>1758.9</v>
      </c>
      <c r="E93" s="15">
        <v>1</v>
      </c>
      <c r="F93" s="19">
        <v>0.24479845357999999</v>
      </c>
      <c r="G93" s="44">
        <v>20823</v>
      </c>
      <c r="H93" s="50">
        <f t="shared" si="1"/>
        <v>20</v>
      </c>
    </row>
    <row r="94" spans="1:8" ht="25.5" x14ac:dyDescent="0.2">
      <c r="A94" s="14" t="s">
        <v>562</v>
      </c>
      <c r="B94" s="6" t="s">
        <v>586</v>
      </c>
      <c r="C94" s="12">
        <v>3</v>
      </c>
      <c r="D94" s="7">
        <v>764.42</v>
      </c>
      <c r="E94" s="15">
        <v>5</v>
      </c>
      <c r="F94" s="19">
        <v>0.26482561941999999</v>
      </c>
      <c r="G94" s="44">
        <v>22070</v>
      </c>
      <c r="H94" s="50">
        <f t="shared" si="1"/>
        <v>22</v>
      </c>
    </row>
    <row r="95" spans="1:8" ht="25.5" x14ac:dyDescent="0.2">
      <c r="A95" s="14" t="s">
        <v>562</v>
      </c>
      <c r="B95" s="6" t="s">
        <v>567</v>
      </c>
      <c r="C95" s="12">
        <v>3</v>
      </c>
      <c r="D95" s="7">
        <v>2109.5444444</v>
      </c>
      <c r="E95" s="15">
        <v>9</v>
      </c>
      <c r="F95" s="19">
        <v>0.24574057590000001</v>
      </c>
      <c r="G95" s="44">
        <v>22078</v>
      </c>
      <c r="H95" s="50">
        <f t="shared" si="1"/>
        <v>22</v>
      </c>
    </row>
    <row r="96" spans="1:8" ht="25.5" x14ac:dyDescent="0.2">
      <c r="A96" s="14" t="s">
        <v>160</v>
      </c>
      <c r="B96" s="6" t="s">
        <v>171</v>
      </c>
      <c r="C96" s="12">
        <v>3</v>
      </c>
      <c r="D96" s="7">
        <v>38.43</v>
      </c>
      <c r="E96" s="15">
        <v>1</v>
      </c>
      <c r="F96" s="19">
        <v>0.27733541503999998</v>
      </c>
      <c r="G96" s="44">
        <v>24000</v>
      </c>
      <c r="H96" s="50">
        <f t="shared" si="1"/>
        <v>24</v>
      </c>
    </row>
    <row r="97" spans="1:8" x14ac:dyDescent="0.2">
      <c r="A97" s="14" t="s">
        <v>160</v>
      </c>
      <c r="B97" s="6" t="s">
        <v>175</v>
      </c>
      <c r="C97" s="12">
        <v>3</v>
      </c>
      <c r="D97" s="7">
        <v>216.31299999999999</v>
      </c>
      <c r="E97" s="15">
        <v>10</v>
      </c>
      <c r="F97" s="19">
        <v>0.36500857553999999</v>
      </c>
      <c r="G97" s="44">
        <v>25000</v>
      </c>
      <c r="H97" s="50">
        <f t="shared" si="1"/>
        <v>25</v>
      </c>
    </row>
    <row r="98" spans="1:8" ht="38.25" x14ac:dyDescent="0.2">
      <c r="A98" s="14" t="s">
        <v>556</v>
      </c>
      <c r="B98" s="6" t="s">
        <v>155</v>
      </c>
      <c r="C98" s="12">
        <v>3</v>
      </c>
      <c r="D98" s="7">
        <v>88.300714299999996</v>
      </c>
      <c r="E98" s="15">
        <v>6</v>
      </c>
      <c r="F98" s="19">
        <v>0.11416264227</v>
      </c>
      <c r="G98" s="44">
        <v>26750</v>
      </c>
      <c r="H98" s="50">
        <f t="shared" si="1"/>
        <v>26</v>
      </c>
    </row>
    <row r="99" spans="1:8" ht="38.25" x14ac:dyDescent="0.2">
      <c r="A99" s="14" t="s">
        <v>562</v>
      </c>
      <c r="B99" s="6" t="s">
        <v>581</v>
      </c>
      <c r="C99" s="12">
        <v>3</v>
      </c>
      <c r="D99" s="7">
        <v>843.66666669999995</v>
      </c>
      <c r="E99" s="15">
        <v>6</v>
      </c>
      <c r="F99" s="19">
        <v>0.24691426314000001</v>
      </c>
      <c r="G99" s="44">
        <v>28845</v>
      </c>
      <c r="H99" s="50">
        <f t="shared" si="1"/>
        <v>28</v>
      </c>
    </row>
    <row r="100" spans="1:8" ht="25.5" x14ac:dyDescent="0.2">
      <c r="A100" s="14" t="s">
        <v>308</v>
      </c>
      <c r="B100" s="6" t="s">
        <v>421</v>
      </c>
      <c r="C100" s="12">
        <v>3</v>
      </c>
      <c r="D100" s="7">
        <v>114.539</v>
      </c>
      <c r="E100" s="15">
        <v>10</v>
      </c>
      <c r="F100" s="19">
        <v>0.25988527924999999</v>
      </c>
      <c r="G100" s="44">
        <v>30000</v>
      </c>
      <c r="H100" s="50">
        <f t="shared" si="1"/>
        <v>30</v>
      </c>
    </row>
    <row r="101" spans="1:8" ht="25.5" x14ac:dyDescent="0.2">
      <c r="A101" s="14" t="s">
        <v>308</v>
      </c>
      <c r="B101" s="6" t="s">
        <v>361</v>
      </c>
      <c r="C101" s="12">
        <v>3</v>
      </c>
      <c r="D101" s="7">
        <v>125.6925</v>
      </c>
      <c r="E101" s="15">
        <v>8</v>
      </c>
      <c r="F101" s="19">
        <v>0.24810847903</v>
      </c>
      <c r="G101" s="44">
        <v>30000</v>
      </c>
      <c r="H101" s="50">
        <f t="shared" si="1"/>
        <v>30</v>
      </c>
    </row>
    <row r="102" spans="1:8" ht="25.5" x14ac:dyDescent="0.2">
      <c r="A102" s="14" t="s">
        <v>533</v>
      </c>
      <c r="B102" s="6" t="s">
        <v>67</v>
      </c>
      <c r="C102" s="12">
        <v>3</v>
      </c>
      <c r="D102" s="7">
        <v>131.25</v>
      </c>
      <c r="E102" s="15">
        <v>2</v>
      </c>
      <c r="F102" s="19">
        <v>0.15386666667000001</v>
      </c>
      <c r="G102" s="44">
        <v>30000</v>
      </c>
      <c r="H102" s="50">
        <f t="shared" si="1"/>
        <v>30</v>
      </c>
    </row>
    <row r="103" spans="1:8" ht="25.5" x14ac:dyDescent="0.2">
      <c r="A103" s="14" t="s">
        <v>308</v>
      </c>
      <c r="B103" s="6" t="s">
        <v>405</v>
      </c>
      <c r="C103" s="12">
        <v>3</v>
      </c>
      <c r="D103" s="7">
        <v>436.35</v>
      </c>
      <c r="E103" s="15">
        <v>18</v>
      </c>
      <c r="F103" s="19">
        <v>0.21763250703000001</v>
      </c>
      <c r="G103" s="44">
        <v>30000</v>
      </c>
      <c r="H103" s="50">
        <f t="shared" si="1"/>
        <v>30</v>
      </c>
    </row>
    <row r="104" spans="1:8" ht="25.5" x14ac:dyDescent="0.2">
      <c r="A104" s="14" t="s">
        <v>308</v>
      </c>
      <c r="B104" s="6" t="s">
        <v>324</v>
      </c>
      <c r="C104" s="12">
        <v>3</v>
      </c>
      <c r="D104" s="7">
        <v>730.38</v>
      </c>
      <c r="E104" s="15">
        <v>19</v>
      </c>
      <c r="F104" s="19">
        <v>0.21809569928</v>
      </c>
      <c r="G104" s="44">
        <v>30000</v>
      </c>
      <c r="H104" s="50">
        <f t="shared" si="1"/>
        <v>30</v>
      </c>
    </row>
    <row r="105" spans="1:8" ht="25.5" x14ac:dyDescent="0.2">
      <c r="A105" s="14" t="s">
        <v>308</v>
      </c>
      <c r="B105" s="6" t="s">
        <v>409</v>
      </c>
      <c r="C105" s="12">
        <v>3</v>
      </c>
      <c r="D105" s="7">
        <v>77.534285699999998</v>
      </c>
      <c r="E105" s="15">
        <v>21</v>
      </c>
      <c r="F105" s="19">
        <v>0.33421343552999999</v>
      </c>
      <c r="G105" s="44">
        <v>30100</v>
      </c>
      <c r="H105" s="50">
        <f t="shared" si="1"/>
        <v>30</v>
      </c>
    </row>
    <row r="106" spans="1:8" x14ac:dyDescent="0.2">
      <c r="A106" s="14" t="s">
        <v>308</v>
      </c>
      <c r="B106" s="6" t="s">
        <v>388</v>
      </c>
      <c r="C106" s="12">
        <v>3</v>
      </c>
      <c r="D106" s="7">
        <v>174.38631580000001</v>
      </c>
      <c r="E106" s="15">
        <v>19</v>
      </c>
      <c r="F106" s="19">
        <v>0.22737087047999999</v>
      </c>
      <c r="G106" s="44">
        <v>30100</v>
      </c>
      <c r="H106" s="50">
        <f t="shared" si="1"/>
        <v>30</v>
      </c>
    </row>
    <row r="107" spans="1:8" x14ac:dyDescent="0.2">
      <c r="A107" s="14" t="s">
        <v>308</v>
      </c>
      <c r="B107" s="6" t="s">
        <v>411</v>
      </c>
      <c r="C107" s="16">
        <v>3</v>
      </c>
      <c r="D107" s="7">
        <v>180.94571429999999</v>
      </c>
      <c r="E107" s="15">
        <v>14</v>
      </c>
      <c r="F107" s="19">
        <v>0.22096485133999999</v>
      </c>
      <c r="G107" s="44">
        <v>30100</v>
      </c>
      <c r="H107" s="50">
        <f t="shared" si="1"/>
        <v>30</v>
      </c>
    </row>
    <row r="108" spans="1:8" ht="25.5" x14ac:dyDescent="0.2">
      <c r="A108" s="14" t="s">
        <v>308</v>
      </c>
      <c r="B108" s="6" t="s">
        <v>451</v>
      </c>
      <c r="C108" s="12">
        <v>3</v>
      </c>
      <c r="D108" s="7">
        <v>222.0538095</v>
      </c>
      <c r="E108" s="15">
        <v>21</v>
      </c>
      <c r="F108" s="19">
        <v>0.22442715515</v>
      </c>
      <c r="G108" s="44">
        <v>30300</v>
      </c>
      <c r="H108" s="50">
        <f t="shared" si="1"/>
        <v>30</v>
      </c>
    </row>
    <row r="109" spans="1:8" ht="25.5" x14ac:dyDescent="0.2">
      <c r="A109" s="14" t="s">
        <v>8</v>
      </c>
      <c r="B109" s="6" t="s">
        <v>94</v>
      </c>
      <c r="C109" s="16">
        <v>3</v>
      </c>
      <c r="D109" s="7">
        <v>43.65</v>
      </c>
      <c r="E109" s="15">
        <v>1</v>
      </c>
      <c r="F109" s="19">
        <v>0.73172966781000004</v>
      </c>
      <c r="G109" s="44">
        <v>30310</v>
      </c>
      <c r="H109" s="50">
        <f t="shared" si="1"/>
        <v>30</v>
      </c>
    </row>
    <row r="110" spans="1:8" ht="25.5" x14ac:dyDescent="0.2">
      <c r="A110" s="14" t="s">
        <v>308</v>
      </c>
      <c r="B110" s="6" t="s">
        <v>389</v>
      </c>
      <c r="C110" s="12">
        <v>3</v>
      </c>
      <c r="D110" s="7">
        <v>56.04</v>
      </c>
      <c r="E110" s="15">
        <v>11</v>
      </c>
      <c r="F110" s="19">
        <v>0.46234832262999997</v>
      </c>
      <c r="G110" s="44">
        <v>30330</v>
      </c>
      <c r="H110" s="50">
        <f t="shared" si="1"/>
        <v>30</v>
      </c>
    </row>
    <row r="111" spans="1:8" ht="38.25" x14ac:dyDescent="0.2">
      <c r="A111" s="14" t="s">
        <v>308</v>
      </c>
      <c r="B111" s="6" t="s">
        <v>407</v>
      </c>
      <c r="C111" s="12">
        <v>3</v>
      </c>
      <c r="D111" s="7">
        <v>47.951818199999998</v>
      </c>
      <c r="E111" s="15">
        <v>11</v>
      </c>
      <c r="F111" s="19">
        <v>0.54033404743000002</v>
      </c>
      <c r="G111" s="44">
        <v>30800</v>
      </c>
      <c r="H111" s="50">
        <f t="shared" si="1"/>
        <v>30</v>
      </c>
    </row>
    <row r="112" spans="1:8" ht="25.5" x14ac:dyDescent="0.2">
      <c r="A112" s="14" t="s">
        <v>533</v>
      </c>
      <c r="B112" s="6" t="s">
        <v>310</v>
      </c>
      <c r="C112" s="12">
        <v>3</v>
      </c>
      <c r="D112" s="7">
        <v>199.74</v>
      </c>
      <c r="E112" s="15">
        <v>1</v>
      </c>
      <c r="F112" s="19">
        <v>0.12346049865</v>
      </c>
      <c r="G112" s="44">
        <v>30900</v>
      </c>
      <c r="H112" s="50">
        <f t="shared" si="1"/>
        <v>30</v>
      </c>
    </row>
    <row r="113" spans="1:8" ht="38.25" x14ac:dyDescent="0.2">
      <c r="A113" s="14" t="s">
        <v>308</v>
      </c>
      <c r="B113" s="6" t="s">
        <v>325</v>
      </c>
      <c r="C113" s="12">
        <v>3</v>
      </c>
      <c r="D113" s="7">
        <v>204.76818180000001</v>
      </c>
      <c r="E113" s="15">
        <v>11</v>
      </c>
      <c r="F113" s="19">
        <v>0.22029922972999999</v>
      </c>
      <c r="G113" s="44">
        <v>30900</v>
      </c>
      <c r="H113" s="50">
        <f t="shared" si="1"/>
        <v>30</v>
      </c>
    </row>
    <row r="114" spans="1:8" ht="25.5" x14ac:dyDescent="0.2">
      <c r="A114" s="14" t="s">
        <v>308</v>
      </c>
      <c r="B114" s="6" t="s">
        <v>310</v>
      </c>
      <c r="C114" s="12">
        <v>3</v>
      </c>
      <c r="D114" s="7">
        <v>236.27111110000001</v>
      </c>
      <c r="E114" s="15">
        <v>9</v>
      </c>
      <c r="F114" s="19">
        <v>0.21962764056</v>
      </c>
      <c r="G114" s="44">
        <v>30900</v>
      </c>
      <c r="H114" s="50">
        <f t="shared" si="1"/>
        <v>30</v>
      </c>
    </row>
    <row r="115" spans="1:8" ht="25.5" x14ac:dyDescent="0.2">
      <c r="A115" s="14" t="s">
        <v>489</v>
      </c>
      <c r="B115" s="6" t="s">
        <v>506</v>
      </c>
      <c r="C115" s="12">
        <v>3</v>
      </c>
      <c r="D115" s="7">
        <v>14.3328571</v>
      </c>
      <c r="E115" s="15">
        <v>7</v>
      </c>
      <c r="F115" s="19">
        <v>0.16998903618</v>
      </c>
      <c r="G115" s="44">
        <v>31000</v>
      </c>
      <c r="H115" s="50">
        <f t="shared" si="1"/>
        <v>31</v>
      </c>
    </row>
    <row r="116" spans="1:8" ht="25.5" x14ac:dyDescent="0.2">
      <c r="A116" s="14" t="s">
        <v>489</v>
      </c>
      <c r="B116" s="6" t="s">
        <v>34</v>
      </c>
      <c r="C116" s="16">
        <v>3</v>
      </c>
      <c r="D116" s="7">
        <v>14.36</v>
      </c>
      <c r="E116" s="15">
        <v>2</v>
      </c>
      <c r="F116" s="19">
        <v>0.16998607242</v>
      </c>
      <c r="G116" s="44">
        <v>31000</v>
      </c>
      <c r="H116" s="50">
        <f t="shared" si="1"/>
        <v>31</v>
      </c>
    </row>
    <row r="117" spans="1:8" ht="25.5" x14ac:dyDescent="0.2">
      <c r="A117" s="14" t="s">
        <v>489</v>
      </c>
      <c r="B117" s="6" t="s">
        <v>507</v>
      </c>
      <c r="C117" s="16">
        <v>3</v>
      </c>
      <c r="D117" s="7">
        <v>14.67</v>
      </c>
      <c r="E117" s="15">
        <v>1</v>
      </c>
      <c r="F117" s="19">
        <v>0.17000681663</v>
      </c>
      <c r="G117" s="44">
        <v>31000</v>
      </c>
      <c r="H117" s="50">
        <f t="shared" si="1"/>
        <v>31</v>
      </c>
    </row>
    <row r="118" spans="1:8" ht="25.5" x14ac:dyDescent="0.2">
      <c r="A118" s="14" t="s">
        <v>8</v>
      </c>
      <c r="B118" s="6" t="s">
        <v>34</v>
      </c>
      <c r="C118" s="16">
        <v>3</v>
      </c>
      <c r="D118" s="7">
        <v>15.81</v>
      </c>
      <c r="E118" s="15">
        <v>2</v>
      </c>
      <c r="F118" s="19">
        <v>0.33883617963000001</v>
      </c>
      <c r="G118" s="44">
        <v>31000</v>
      </c>
      <c r="H118" s="50">
        <f t="shared" si="1"/>
        <v>31</v>
      </c>
    </row>
    <row r="119" spans="1:8" ht="38.25" x14ac:dyDescent="0.2">
      <c r="A119" s="14" t="s">
        <v>604</v>
      </c>
      <c r="B119" s="6" t="s">
        <v>91</v>
      </c>
      <c r="C119" s="12">
        <v>3</v>
      </c>
      <c r="D119" s="7">
        <v>17.600000000000001</v>
      </c>
      <c r="E119" s="15">
        <v>1</v>
      </c>
      <c r="F119" s="19">
        <v>1.78860795455</v>
      </c>
      <c r="G119" s="44">
        <v>31000</v>
      </c>
      <c r="H119" s="50">
        <f t="shared" si="1"/>
        <v>31</v>
      </c>
    </row>
    <row r="120" spans="1:8" ht="38.25" x14ac:dyDescent="0.2">
      <c r="A120" s="14" t="s">
        <v>8</v>
      </c>
      <c r="B120" s="6" t="s">
        <v>91</v>
      </c>
      <c r="C120" s="12">
        <v>3</v>
      </c>
      <c r="D120" s="7">
        <v>18.87</v>
      </c>
      <c r="E120" s="15">
        <v>1</v>
      </c>
      <c r="F120" s="19">
        <v>2.2082670906200002</v>
      </c>
      <c r="G120" s="44">
        <v>31000</v>
      </c>
      <c r="H120" s="50">
        <f t="shared" si="1"/>
        <v>31</v>
      </c>
    </row>
    <row r="121" spans="1:8" ht="38.25" x14ac:dyDescent="0.2">
      <c r="A121" s="14" t="s">
        <v>461</v>
      </c>
      <c r="B121" s="6" t="s">
        <v>485</v>
      </c>
      <c r="C121" s="12">
        <v>3</v>
      </c>
      <c r="D121" s="7">
        <v>23.972222200000001</v>
      </c>
      <c r="E121" s="15">
        <v>16</v>
      </c>
      <c r="F121" s="19">
        <v>0.17</v>
      </c>
      <c r="G121" s="44">
        <v>31000</v>
      </c>
      <c r="H121" s="50">
        <f t="shared" si="1"/>
        <v>31</v>
      </c>
    </row>
    <row r="122" spans="1:8" ht="25.5" x14ac:dyDescent="0.2">
      <c r="A122" s="14" t="s">
        <v>489</v>
      </c>
      <c r="B122" s="6" t="s">
        <v>505</v>
      </c>
      <c r="C122" s="12">
        <v>3</v>
      </c>
      <c r="D122" s="7">
        <v>35.9811111</v>
      </c>
      <c r="E122" s="15">
        <v>9</v>
      </c>
      <c r="F122" s="19">
        <v>0.17000277924000001</v>
      </c>
      <c r="G122" s="44">
        <v>31000</v>
      </c>
      <c r="H122" s="50">
        <f t="shared" si="1"/>
        <v>31</v>
      </c>
    </row>
    <row r="123" spans="1:8" ht="38.25" x14ac:dyDescent="0.2">
      <c r="A123" s="14" t="s">
        <v>8</v>
      </c>
      <c r="B123" s="6" t="s">
        <v>78</v>
      </c>
      <c r="C123" s="12">
        <v>3</v>
      </c>
      <c r="D123" s="7">
        <v>42.99</v>
      </c>
      <c r="E123" s="15">
        <v>1</v>
      </c>
      <c r="F123" s="19">
        <v>0.74296347988</v>
      </c>
      <c r="G123" s="44">
        <v>31000</v>
      </c>
      <c r="H123" s="50">
        <f t="shared" si="1"/>
        <v>31</v>
      </c>
    </row>
    <row r="124" spans="1:8" ht="38.25" x14ac:dyDescent="0.2">
      <c r="A124" s="14" t="s">
        <v>604</v>
      </c>
      <c r="B124" s="6" t="s">
        <v>127</v>
      </c>
      <c r="C124" s="16">
        <v>3</v>
      </c>
      <c r="D124" s="7">
        <v>56.205666700000002</v>
      </c>
      <c r="E124" s="15">
        <v>21</v>
      </c>
      <c r="F124" s="19">
        <v>0.5475966243</v>
      </c>
      <c r="G124" s="44">
        <v>31000</v>
      </c>
      <c r="H124" s="50">
        <f t="shared" si="1"/>
        <v>31</v>
      </c>
    </row>
    <row r="125" spans="1:8" ht="25.5" x14ac:dyDescent="0.2">
      <c r="A125" s="14" t="s">
        <v>461</v>
      </c>
      <c r="B125" s="6" t="s">
        <v>479</v>
      </c>
      <c r="C125" s="12">
        <v>3</v>
      </c>
      <c r="D125" s="7">
        <v>67.087500000000006</v>
      </c>
      <c r="E125" s="15">
        <v>8</v>
      </c>
      <c r="F125" s="19">
        <v>0.17</v>
      </c>
      <c r="G125" s="44">
        <v>31000</v>
      </c>
      <c r="H125" s="50">
        <f t="shared" si="1"/>
        <v>31</v>
      </c>
    </row>
    <row r="126" spans="1:8" ht="25.5" x14ac:dyDescent="0.2">
      <c r="A126" s="14" t="s">
        <v>461</v>
      </c>
      <c r="B126" s="6" t="s">
        <v>478</v>
      </c>
      <c r="C126" s="12">
        <v>3</v>
      </c>
      <c r="D126" s="7">
        <v>69.487142899999995</v>
      </c>
      <c r="E126" s="15">
        <v>7</v>
      </c>
      <c r="F126" s="19">
        <v>0.16999856088000001</v>
      </c>
      <c r="G126" s="44">
        <v>31000</v>
      </c>
      <c r="H126" s="50">
        <f t="shared" si="1"/>
        <v>31</v>
      </c>
    </row>
    <row r="127" spans="1:8" ht="25.5" x14ac:dyDescent="0.2">
      <c r="A127" s="14" t="s">
        <v>461</v>
      </c>
      <c r="B127" s="6" t="s">
        <v>462</v>
      </c>
      <c r="C127" s="16">
        <v>3</v>
      </c>
      <c r="D127" s="7">
        <v>78.08</v>
      </c>
      <c r="E127" s="15">
        <v>12</v>
      </c>
      <c r="F127" s="19">
        <v>0.17000085382999999</v>
      </c>
      <c r="G127" s="44">
        <v>31000</v>
      </c>
      <c r="H127" s="50">
        <f t="shared" si="1"/>
        <v>31</v>
      </c>
    </row>
    <row r="128" spans="1:8" ht="25.5" x14ac:dyDescent="0.2">
      <c r="A128" s="14" t="s">
        <v>461</v>
      </c>
      <c r="B128" s="6" t="s">
        <v>469</v>
      </c>
      <c r="C128" s="12">
        <v>3</v>
      </c>
      <c r="D128" s="7">
        <v>86.314285699999999</v>
      </c>
      <c r="E128" s="15">
        <v>13</v>
      </c>
      <c r="F128" s="19">
        <v>0.17</v>
      </c>
      <c r="G128" s="44">
        <v>31000</v>
      </c>
      <c r="H128" s="50">
        <f t="shared" si="1"/>
        <v>31</v>
      </c>
    </row>
    <row r="129" spans="1:8" ht="38.25" x14ac:dyDescent="0.2">
      <c r="A129" s="14" t="s">
        <v>461</v>
      </c>
      <c r="B129" s="6" t="s">
        <v>473</v>
      </c>
      <c r="C129" s="12">
        <v>3</v>
      </c>
      <c r="D129" s="7">
        <v>117.205</v>
      </c>
      <c r="E129" s="15">
        <v>2</v>
      </c>
      <c r="F129" s="19">
        <v>0.16999701378000001</v>
      </c>
      <c r="G129" s="44">
        <v>31000</v>
      </c>
      <c r="H129" s="50">
        <f t="shared" si="1"/>
        <v>31</v>
      </c>
    </row>
    <row r="130" spans="1:8" ht="38.25" x14ac:dyDescent="0.2">
      <c r="A130" s="14" t="s">
        <v>461</v>
      </c>
      <c r="B130" s="6" t="s">
        <v>472</v>
      </c>
      <c r="C130" s="16">
        <v>3</v>
      </c>
      <c r="D130" s="7">
        <v>119.9490909</v>
      </c>
      <c r="E130" s="15">
        <v>11</v>
      </c>
      <c r="F130" s="19">
        <v>0.17000015158000001</v>
      </c>
      <c r="G130" s="44">
        <v>31000</v>
      </c>
      <c r="H130" s="50">
        <f t="shared" si="1"/>
        <v>31</v>
      </c>
    </row>
    <row r="131" spans="1:8" ht="25.5" x14ac:dyDescent="0.2">
      <c r="A131" s="14" t="s">
        <v>461</v>
      </c>
      <c r="B131" s="6" t="s">
        <v>483</v>
      </c>
      <c r="C131" s="12">
        <v>3</v>
      </c>
      <c r="D131" s="7">
        <v>148.90625</v>
      </c>
      <c r="E131" s="15">
        <v>16</v>
      </c>
      <c r="F131" s="19">
        <v>0.17</v>
      </c>
      <c r="G131" s="44">
        <v>31000</v>
      </c>
      <c r="H131" s="50">
        <f t="shared" ref="H131:H194" si="2">IF(LEN(G131)=4,VALUE(LEFT(G131,1)),VALUE(LEFT(G131,2)))</f>
        <v>31</v>
      </c>
    </row>
    <row r="132" spans="1:8" ht="38.25" x14ac:dyDescent="0.2">
      <c r="A132" s="14" t="s">
        <v>461</v>
      </c>
      <c r="B132" s="6" t="s">
        <v>475</v>
      </c>
      <c r="C132" s="12">
        <v>3</v>
      </c>
      <c r="D132" s="7">
        <v>152.84809519999999</v>
      </c>
      <c r="E132" s="15">
        <v>21</v>
      </c>
      <c r="F132" s="19">
        <v>0.17000009346</v>
      </c>
      <c r="G132" s="44">
        <v>31000</v>
      </c>
      <c r="H132" s="50">
        <f t="shared" si="2"/>
        <v>31</v>
      </c>
    </row>
    <row r="133" spans="1:8" ht="25.5" x14ac:dyDescent="0.2">
      <c r="A133" s="14" t="s">
        <v>461</v>
      </c>
      <c r="B133" s="6" t="s">
        <v>471</v>
      </c>
      <c r="C133" s="12">
        <v>3</v>
      </c>
      <c r="D133" s="7">
        <v>157.65</v>
      </c>
      <c r="E133" s="15">
        <v>16</v>
      </c>
      <c r="F133" s="19">
        <v>0.17</v>
      </c>
      <c r="G133" s="44">
        <v>31000</v>
      </c>
      <c r="H133" s="50">
        <f t="shared" si="2"/>
        <v>31</v>
      </c>
    </row>
    <row r="134" spans="1:8" ht="25.5" x14ac:dyDescent="0.2">
      <c r="A134" s="14" t="s">
        <v>461</v>
      </c>
      <c r="B134" s="6" t="s">
        <v>463</v>
      </c>
      <c r="C134" s="12">
        <v>3</v>
      </c>
      <c r="D134" s="7">
        <v>190.23043480000001</v>
      </c>
      <c r="E134" s="15">
        <v>23</v>
      </c>
      <c r="F134" s="19">
        <v>0.17</v>
      </c>
      <c r="G134" s="44">
        <v>31000</v>
      </c>
      <c r="H134" s="50">
        <f t="shared" si="2"/>
        <v>31</v>
      </c>
    </row>
    <row r="135" spans="1:8" ht="25.5" x14ac:dyDescent="0.2">
      <c r="A135" s="14" t="s">
        <v>489</v>
      </c>
      <c r="B135" s="6" t="s">
        <v>530</v>
      </c>
      <c r="C135" s="16">
        <v>3</v>
      </c>
      <c r="D135" s="7">
        <v>219.96125000000001</v>
      </c>
      <c r="E135" s="15">
        <v>8</v>
      </c>
      <c r="F135" s="19">
        <v>0.16999982952000001</v>
      </c>
      <c r="G135" s="44">
        <v>31000</v>
      </c>
      <c r="H135" s="50">
        <f t="shared" si="2"/>
        <v>31</v>
      </c>
    </row>
    <row r="136" spans="1:8" ht="25.5" x14ac:dyDescent="0.2">
      <c r="A136" s="14" t="s">
        <v>461</v>
      </c>
      <c r="B136" s="6" t="s">
        <v>482</v>
      </c>
      <c r="C136" s="16">
        <v>3</v>
      </c>
      <c r="D136" s="7">
        <v>230.95217389999999</v>
      </c>
      <c r="E136" s="15">
        <v>23</v>
      </c>
      <c r="F136" s="19">
        <v>0.17</v>
      </c>
      <c r="G136" s="44">
        <v>31000</v>
      </c>
      <c r="H136" s="50">
        <f t="shared" si="2"/>
        <v>31</v>
      </c>
    </row>
    <row r="137" spans="1:8" ht="38.25" x14ac:dyDescent="0.2">
      <c r="A137" s="14" t="s">
        <v>308</v>
      </c>
      <c r="B137" s="6" t="s">
        <v>431</v>
      </c>
      <c r="C137" s="12">
        <v>3</v>
      </c>
      <c r="D137" s="7">
        <v>319.02193549999998</v>
      </c>
      <c r="E137" s="15">
        <v>31</v>
      </c>
      <c r="F137" s="19">
        <v>0.21908959643000001</v>
      </c>
      <c r="G137" s="44">
        <v>31000</v>
      </c>
      <c r="H137" s="50">
        <f t="shared" si="2"/>
        <v>31</v>
      </c>
    </row>
    <row r="138" spans="1:8" ht="25.5" x14ac:dyDescent="0.2">
      <c r="A138" s="14" t="s">
        <v>461</v>
      </c>
      <c r="B138" s="6" t="s">
        <v>466</v>
      </c>
      <c r="C138" s="12">
        <v>3</v>
      </c>
      <c r="D138" s="7">
        <v>434.88499999999999</v>
      </c>
      <c r="E138" s="15">
        <v>20</v>
      </c>
      <c r="F138" s="19">
        <v>0.17</v>
      </c>
      <c r="G138" s="44">
        <v>31000</v>
      </c>
      <c r="H138" s="50">
        <f t="shared" si="2"/>
        <v>31</v>
      </c>
    </row>
    <row r="139" spans="1:8" x14ac:dyDescent="0.2">
      <c r="A139" s="14" t="s">
        <v>461</v>
      </c>
      <c r="B139" s="6" t="s">
        <v>477</v>
      </c>
      <c r="C139" s="16">
        <v>3</v>
      </c>
      <c r="D139" s="7">
        <v>41.013333299999999</v>
      </c>
      <c r="E139" s="15">
        <v>3</v>
      </c>
      <c r="F139" s="19">
        <v>0.17000162549</v>
      </c>
      <c r="G139" s="44">
        <v>31100</v>
      </c>
      <c r="H139" s="50">
        <f t="shared" si="2"/>
        <v>31</v>
      </c>
    </row>
    <row r="140" spans="1:8" x14ac:dyDescent="0.2">
      <c r="A140" s="14" t="s">
        <v>461</v>
      </c>
      <c r="B140" s="6" t="s">
        <v>480</v>
      </c>
      <c r="C140" s="12">
        <v>3</v>
      </c>
      <c r="D140" s="7">
        <v>52.178571400000003</v>
      </c>
      <c r="E140" s="15">
        <v>13</v>
      </c>
      <c r="F140" s="19">
        <v>0.17</v>
      </c>
      <c r="G140" s="44">
        <v>31100</v>
      </c>
      <c r="H140" s="50">
        <f t="shared" si="2"/>
        <v>31</v>
      </c>
    </row>
    <row r="141" spans="1:8" ht="25.5" x14ac:dyDescent="0.2">
      <c r="A141" s="14" t="s">
        <v>461</v>
      </c>
      <c r="B141" s="6" t="s">
        <v>481</v>
      </c>
      <c r="C141" s="12">
        <v>3</v>
      </c>
      <c r="D141" s="7">
        <v>52.456249999999997</v>
      </c>
      <c r="E141" s="15">
        <v>16</v>
      </c>
      <c r="F141" s="19">
        <v>0.17</v>
      </c>
      <c r="G141" s="44">
        <v>31100</v>
      </c>
      <c r="H141" s="50">
        <f t="shared" si="2"/>
        <v>31</v>
      </c>
    </row>
    <row r="142" spans="1:8" x14ac:dyDescent="0.2">
      <c r="A142" s="14" t="s">
        <v>461</v>
      </c>
      <c r="B142" s="6" t="s">
        <v>488</v>
      </c>
      <c r="C142" s="12">
        <v>3</v>
      </c>
      <c r="D142" s="7">
        <v>316.71249999999998</v>
      </c>
      <c r="E142" s="15">
        <v>8</v>
      </c>
      <c r="F142" s="19">
        <v>0.17</v>
      </c>
      <c r="G142" s="44">
        <v>31100</v>
      </c>
      <c r="H142" s="50">
        <f t="shared" si="2"/>
        <v>31</v>
      </c>
    </row>
    <row r="143" spans="1:8" x14ac:dyDescent="0.2">
      <c r="A143" s="14" t="s">
        <v>489</v>
      </c>
      <c r="B143" s="6" t="s">
        <v>490</v>
      </c>
      <c r="C143" s="12">
        <v>3</v>
      </c>
      <c r="D143" s="7">
        <v>30.0833333</v>
      </c>
      <c r="E143" s="15">
        <v>6</v>
      </c>
      <c r="F143" s="19">
        <v>0.17</v>
      </c>
      <c r="G143" s="44">
        <v>31130</v>
      </c>
      <c r="H143" s="50">
        <f t="shared" si="2"/>
        <v>31</v>
      </c>
    </row>
    <row r="144" spans="1:8" ht="25.5" x14ac:dyDescent="0.2">
      <c r="A144" s="14" t="s">
        <v>489</v>
      </c>
      <c r="B144" s="6" t="s">
        <v>516</v>
      </c>
      <c r="C144" s="12">
        <v>3</v>
      </c>
      <c r="D144" s="7">
        <v>30.305</v>
      </c>
      <c r="E144" s="15">
        <v>8</v>
      </c>
      <c r="F144" s="19">
        <v>0.17000082494999999</v>
      </c>
      <c r="G144" s="44">
        <v>31150</v>
      </c>
      <c r="H144" s="50">
        <f t="shared" si="2"/>
        <v>31</v>
      </c>
    </row>
    <row r="145" spans="1:8" ht="38.25" x14ac:dyDescent="0.2">
      <c r="A145" s="14" t="s">
        <v>489</v>
      </c>
      <c r="B145" s="6" t="s">
        <v>528</v>
      </c>
      <c r="C145" s="12">
        <v>3</v>
      </c>
      <c r="D145" s="7">
        <v>2246.2199999999998</v>
      </c>
      <c r="E145" s="15">
        <v>10</v>
      </c>
      <c r="F145" s="19">
        <v>0.17</v>
      </c>
      <c r="G145" s="44">
        <v>31150</v>
      </c>
      <c r="H145" s="50">
        <f t="shared" si="2"/>
        <v>31</v>
      </c>
    </row>
    <row r="146" spans="1:8" ht="25.5" x14ac:dyDescent="0.2">
      <c r="A146" s="14" t="s">
        <v>489</v>
      </c>
      <c r="B146" s="6" t="s">
        <v>494</v>
      </c>
      <c r="C146" s="12">
        <v>3</v>
      </c>
      <c r="D146" s="7">
        <v>146</v>
      </c>
      <c r="E146" s="15">
        <v>1</v>
      </c>
      <c r="F146" s="19">
        <v>0.17</v>
      </c>
      <c r="G146" s="44">
        <v>31250</v>
      </c>
      <c r="H146" s="50">
        <f t="shared" si="2"/>
        <v>31</v>
      </c>
    </row>
    <row r="147" spans="1:8" ht="38.25" x14ac:dyDescent="0.2">
      <c r="A147" s="14" t="s">
        <v>461</v>
      </c>
      <c r="B147" s="6" t="s">
        <v>476</v>
      </c>
      <c r="C147" s="12">
        <v>3</v>
      </c>
      <c r="D147" s="7">
        <v>54.25</v>
      </c>
      <c r="E147" s="15">
        <v>16</v>
      </c>
      <c r="F147" s="19">
        <v>0.17</v>
      </c>
      <c r="G147" s="44">
        <v>31300</v>
      </c>
      <c r="H147" s="50">
        <f t="shared" si="2"/>
        <v>31</v>
      </c>
    </row>
    <row r="148" spans="1:8" ht="25.5" x14ac:dyDescent="0.2">
      <c r="A148" s="14" t="s">
        <v>461</v>
      </c>
      <c r="B148" s="6" t="s">
        <v>484</v>
      </c>
      <c r="C148" s="12">
        <v>3</v>
      </c>
      <c r="D148" s="7">
        <v>111.7252941</v>
      </c>
      <c r="E148" s="15">
        <v>17</v>
      </c>
      <c r="F148" s="19">
        <v>0.17000047385</v>
      </c>
      <c r="G148" s="44">
        <v>31300</v>
      </c>
      <c r="H148" s="50">
        <f t="shared" si="2"/>
        <v>31</v>
      </c>
    </row>
    <row r="149" spans="1:8" ht="25.5" x14ac:dyDescent="0.2">
      <c r="A149" s="14" t="s">
        <v>461</v>
      </c>
      <c r="B149" s="6" t="s">
        <v>465</v>
      </c>
      <c r="C149" s="12">
        <v>3</v>
      </c>
      <c r="D149" s="7">
        <v>266.81</v>
      </c>
      <c r="E149" s="15">
        <v>20</v>
      </c>
      <c r="F149" s="19">
        <v>0.17000037479999999</v>
      </c>
      <c r="G149" s="44">
        <v>31300</v>
      </c>
      <c r="H149" s="50">
        <f t="shared" si="2"/>
        <v>31</v>
      </c>
    </row>
    <row r="150" spans="1:8" ht="25.5" x14ac:dyDescent="0.2">
      <c r="A150" s="14" t="s">
        <v>461</v>
      </c>
      <c r="B150" s="6" t="s">
        <v>487</v>
      </c>
      <c r="C150" s="12">
        <v>3</v>
      </c>
      <c r="D150" s="7">
        <v>456.73157889999999</v>
      </c>
      <c r="E150" s="15">
        <v>19</v>
      </c>
      <c r="F150" s="19">
        <v>0.17</v>
      </c>
      <c r="G150" s="44">
        <v>31400</v>
      </c>
      <c r="H150" s="50">
        <f t="shared" si="2"/>
        <v>31</v>
      </c>
    </row>
    <row r="151" spans="1:8" x14ac:dyDescent="0.2">
      <c r="A151" s="14" t="s">
        <v>461</v>
      </c>
      <c r="B151" s="6" t="s">
        <v>470</v>
      </c>
      <c r="C151" s="12">
        <v>3</v>
      </c>
      <c r="D151" s="7">
        <v>139.72999999999999</v>
      </c>
      <c r="E151" s="15">
        <v>4</v>
      </c>
      <c r="F151" s="19">
        <v>0.16999928433</v>
      </c>
      <c r="G151" s="44">
        <v>31600</v>
      </c>
      <c r="H151" s="50">
        <f t="shared" si="2"/>
        <v>31</v>
      </c>
    </row>
    <row r="152" spans="1:8" ht="25.5" x14ac:dyDescent="0.2">
      <c r="A152" s="14" t="s">
        <v>461</v>
      </c>
      <c r="B152" s="6" t="s">
        <v>464</v>
      </c>
      <c r="C152" s="12">
        <v>3</v>
      </c>
      <c r="D152" s="7">
        <v>205.01111109999999</v>
      </c>
      <c r="E152" s="15">
        <v>9</v>
      </c>
      <c r="F152" s="19">
        <v>0.17</v>
      </c>
      <c r="G152" s="44">
        <v>31700</v>
      </c>
      <c r="H152" s="50">
        <f t="shared" si="2"/>
        <v>31</v>
      </c>
    </row>
    <row r="153" spans="1:8" ht="25.5" x14ac:dyDescent="0.2">
      <c r="A153" s="14" t="s">
        <v>489</v>
      </c>
      <c r="B153" s="6" t="s">
        <v>531</v>
      </c>
      <c r="C153" s="12">
        <v>3</v>
      </c>
      <c r="D153" s="7">
        <v>66.366666699999996</v>
      </c>
      <c r="E153" s="15">
        <v>3</v>
      </c>
      <c r="F153" s="19">
        <v>0.17</v>
      </c>
      <c r="G153" s="44">
        <v>31880</v>
      </c>
      <c r="H153" s="50">
        <f t="shared" si="2"/>
        <v>31</v>
      </c>
    </row>
    <row r="154" spans="1:8" x14ac:dyDescent="0.2">
      <c r="A154" s="14" t="s">
        <v>308</v>
      </c>
      <c r="B154" s="6" t="s">
        <v>438</v>
      </c>
      <c r="C154" s="12">
        <v>3</v>
      </c>
      <c r="D154" s="7">
        <v>61.524999999999999</v>
      </c>
      <c r="E154" s="15">
        <v>4</v>
      </c>
      <c r="F154" s="19">
        <v>0.42112962209999999</v>
      </c>
      <c r="G154" s="44">
        <v>32000</v>
      </c>
      <c r="H154" s="50">
        <f t="shared" si="2"/>
        <v>32</v>
      </c>
    </row>
    <row r="155" spans="1:8" x14ac:dyDescent="0.2">
      <c r="A155" s="14" t="s">
        <v>489</v>
      </c>
      <c r="B155" s="6" t="s">
        <v>47</v>
      </c>
      <c r="C155" s="12">
        <v>3</v>
      </c>
      <c r="D155" s="7">
        <v>158.62666669999999</v>
      </c>
      <c r="E155" s="15">
        <v>9</v>
      </c>
      <c r="F155" s="19">
        <v>0.16999943963</v>
      </c>
      <c r="G155" s="44">
        <v>32000</v>
      </c>
      <c r="H155" s="50">
        <f t="shared" si="2"/>
        <v>32</v>
      </c>
    </row>
    <row r="156" spans="1:8" x14ac:dyDescent="0.2">
      <c r="A156" s="14" t="s">
        <v>593</v>
      </c>
      <c r="B156" s="6" t="s">
        <v>47</v>
      </c>
      <c r="C156" s="12">
        <v>3</v>
      </c>
      <c r="D156" s="7">
        <v>174.5</v>
      </c>
      <c r="E156" s="15">
        <v>2</v>
      </c>
      <c r="F156" s="19">
        <v>0.21426934097</v>
      </c>
      <c r="G156" s="44">
        <v>32000</v>
      </c>
      <c r="H156" s="50">
        <f t="shared" si="2"/>
        <v>32</v>
      </c>
    </row>
    <row r="157" spans="1:8" x14ac:dyDescent="0.2">
      <c r="A157" s="14" t="s">
        <v>308</v>
      </c>
      <c r="B157" s="6" t="s">
        <v>47</v>
      </c>
      <c r="C157" s="12">
        <v>3</v>
      </c>
      <c r="D157" s="7">
        <v>191.32</v>
      </c>
      <c r="E157" s="15">
        <v>1</v>
      </c>
      <c r="F157" s="19">
        <v>0.22065649173999999</v>
      </c>
      <c r="G157" s="44">
        <v>32000</v>
      </c>
      <c r="H157" s="50">
        <f t="shared" si="2"/>
        <v>32</v>
      </c>
    </row>
    <row r="158" spans="1:8" ht="25.5" x14ac:dyDescent="0.2">
      <c r="A158" s="14" t="s">
        <v>8</v>
      </c>
      <c r="B158" s="6" t="s">
        <v>36</v>
      </c>
      <c r="C158" s="12">
        <v>3</v>
      </c>
      <c r="D158" s="7">
        <v>19.524999999999999</v>
      </c>
      <c r="E158" s="15">
        <v>2</v>
      </c>
      <c r="F158" s="19">
        <v>2.1341869398200002</v>
      </c>
      <c r="G158" s="44">
        <v>33000</v>
      </c>
      <c r="H158" s="50">
        <f t="shared" si="2"/>
        <v>33</v>
      </c>
    </row>
    <row r="159" spans="1:8" ht="38.25" x14ac:dyDescent="0.2">
      <c r="A159" s="14" t="s">
        <v>489</v>
      </c>
      <c r="B159" s="6" t="s">
        <v>32</v>
      </c>
      <c r="C159" s="12">
        <v>3</v>
      </c>
      <c r="D159" s="7">
        <v>18.355</v>
      </c>
      <c r="E159" s="15">
        <v>2</v>
      </c>
      <c r="F159" s="19">
        <v>0.17000817216</v>
      </c>
      <c r="G159" s="44">
        <v>33120</v>
      </c>
      <c r="H159" s="50">
        <f t="shared" si="2"/>
        <v>33</v>
      </c>
    </row>
    <row r="160" spans="1:8" ht="38.25" x14ac:dyDescent="0.2">
      <c r="A160" s="14" t="s">
        <v>8</v>
      </c>
      <c r="B160" s="6" t="s">
        <v>32</v>
      </c>
      <c r="C160" s="12">
        <v>3</v>
      </c>
      <c r="D160" s="7">
        <v>19.524999999999999</v>
      </c>
      <c r="E160" s="15">
        <v>2</v>
      </c>
      <c r="F160" s="19">
        <v>0.33889884763</v>
      </c>
      <c r="G160" s="44">
        <v>33120</v>
      </c>
      <c r="H160" s="50">
        <f t="shared" si="2"/>
        <v>33</v>
      </c>
    </row>
    <row r="161" spans="1:8" ht="25.5" x14ac:dyDescent="0.2">
      <c r="A161" s="14" t="s">
        <v>604</v>
      </c>
      <c r="B161" s="6" t="s">
        <v>41</v>
      </c>
      <c r="C161" s="12">
        <v>3</v>
      </c>
      <c r="D161" s="7">
        <v>18.188888899999998</v>
      </c>
      <c r="E161" s="15">
        <v>6</v>
      </c>
      <c r="F161" s="19">
        <v>1.3168417837499999</v>
      </c>
      <c r="G161" s="44">
        <v>33450</v>
      </c>
      <c r="H161" s="50">
        <f t="shared" si="2"/>
        <v>33</v>
      </c>
    </row>
    <row r="162" spans="1:8" x14ac:dyDescent="0.2">
      <c r="A162" s="14" t="s">
        <v>8</v>
      </c>
      <c r="B162" s="6" t="s">
        <v>42</v>
      </c>
      <c r="C162" s="12">
        <v>3</v>
      </c>
      <c r="D162" s="7">
        <v>18.82</v>
      </c>
      <c r="E162" s="15">
        <v>1</v>
      </c>
      <c r="F162" s="19">
        <v>2.2141339001100002</v>
      </c>
      <c r="G162" s="44">
        <v>33450</v>
      </c>
      <c r="H162" s="50">
        <f t="shared" si="2"/>
        <v>33</v>
      </c>
    </row>
    <row r="163" spans="1:8" x14ac:dyDescent="0.2">
      <c r="A163" s="14" t="s">
        <v>604</v>
      </c>
      <c r="B163" s="6" t="s">
        <v>42</v>
      </c>
      <c r="C163" s="12">
        <v>3</v>
      </c>
      <c r="D163" s="7">
        <v>19.1883333</v>
      </c>
      <c r="E163" s="15">
        <v>7</v>
      </c>
      <c r="F163" s="19">
        <v>1.25696169547</v>
      </c>
      <c r="G163" s="44">
        <v>33450</v>
      </c>
      <c r="H163" s="50">
        <f t="shared" si="2"/>
        <v>33</v>
      </c>
    </row>
    <row r="164" spans="1:8" ht="38.25" x14ac:dyDescent="0.2">
      <c r="A164" s="14" t="s">
        <v>8</v>
      </c>
      <c r="B164" s="6" t="s">
        <v>92</v>
      </c>
      <c r="C164" s="12">
        <v>3</v>
      </c>
      <c r="D164" s="7">
        <v>48.02</v>
      </c>
      <c r="E164" s="15">
        <v>1</v>
      </c>
      <c r="F164" s="19">
        <v>0.78862973760999999</v>
      </c>
      <c r="G164" s="44">
        <v>33480</v>
      </c>
      <c r="H164" s="50">
        <f t="shared" si="2"/>
        <v>33</v>
      </c>
    </row>
    <row r="165" spans="1:8" ht="25.5" x14ac:dyDescent="0.2">
      <c r="A165" s="14" t="s">
        <v>489</v>
      </c>
      <c r="B165" s="6" t="s">
        <v>501</v>
      </c>
      <c r="C165" s="12">
        <v>3</v>
      </c>
      <c r="D165" s="7">
        <v>19.391428600000001</v>
      </c>
      <c r="E165" s="15">
        <v>7</v>
      </c>
      <c r="F165" s="19">
        <v>0.16999410638000001</v>
      </c>
      <c r="G165" s="44">
        <v>33510</v>
      </c>
      <c r="H165" s="50">
        <f t="shared" si="2"/>
        <v>33</v>
      </c>
    </row>
    <row r="166" spans="1:8" ht="25.5" x14ac:dyDescent="0.2">
      <c r="A166" s="14" t="s">
        <v>8</v>
      </c>
      <c r="B166" s="6" t="s">
        <v>31</v>
      </c>
      <c r="C166" s="12">
        <v>3</v>
      </c>
      <c r="D166" s="7">
        <v>20.13</v>
      </c>
      <c r="E166" s="15">
        <v>1</v>
      </c>
      <c r="F166" s="19">
        <v>2.0700447093899998</v>
      </c>
      <c r="G166" s="44">
        <v>33689</v>
      </c>
      <c r="H166" s="50">
        <f t="shared" si="2"/>
        <v>33</v>
      </c>
    </row>
    <row r="167" spans="1:8" ht="25.5" x14ac:dyDescent="0.2">
      <c r="A167" s="14" t="s">
        <v>604</v>
      </c>
      <c r="B167" s="6" t="s">
        <v>31</v>
      </c>
      <c r="C167" s="12">
        <v>3</v>
      </c>
      <c r="D167" s="7">
        <v>23.7688889</v>
      </c>
      <c r="E167" s="15">
        <v>7</v>
      </c>
      <c r="F167" s="19">
        <v>0.83620044876999999</v>
      </c>
      <c r="G167" s="44">
        <v>33689</v>
      </c>
      <c r="H167" s="50">
        <f t="shared" si="2"/>
        <v>33</v>
      </c>
    </row>
    <row r="168" spans="1:8" ht="25.5" x14ac:dyDescent="0.2">
      <c r="A168" s="14" t="s">
        <v>112</v>
      </c>
      <c r="B168" s="6" t="s">
        <v>116</v>
      </c>
      <c r="C168" s="16">
        <v>3</v>
      </c>
      <c r="D168" s="7">
        <v>175.24090910000001</v>
      </c>
      <c r="E168" s="15">
        <v>13</v>
      </c>
      <c r="F168" s="19">
        <v>0.19251069956</v>
      </c>
      <c r="G168" s="44">
        <v>33800</v>
      </c>
      <c r="H168" s="50">
        <f t="shared" si="2"/>
        <v>33</v>
      </c>
    </row>
    <row r="169" spans="1:8" x14ac:dyDescent="0.2">
      <c r="A169" s="14" t="s">
        <v>308</v>
      </c>
      <c r="B169" s="6" t="s">
        <v>400</v>
      </c>
      <c r="C169" s="12">
        <v>3</v>
      </c>
      <c r="D169" s="7">
        <v>214.6</v>
      </c>
      <c r="E169" s="15">
        <v>2</v>
      </c>
      <c r="F169" s="19">
        <v>0.22006756757000001</v>
      </c>
      <c r="G169" s="44">
        <v>33800</v>
      </c>
      <c r="H169" s="50">
        <f t="shared" si="2"/>
        <v>33</v>
      </c>
    </row>
    <row r="170" spans="1:8" ht="38.25" x14ac:dyDescent="0.2">
      <c r="A170" s="14" t="s">
        <v>533</v>
      </c>
      <c r="B170" s="6" t="s">
        <v>534</v>
      </c>
      <c r="C170" s="12">
        <v>3</v>
      </c>
      <c r="D170" s="7">
        <v>17.123333299999999</v>
      </c>
      <c r="E170" s="15">
        <v>9</v>
      </c>
      <c r="F170" s="19">
        <v>0.91862955032000004</v>
      </c>
      <c r="G170" s="44">
        <v>34000</v>
      </c>
      <c r="H170" s="50">
        <f t="shared" si="2"/>
        <v>34</v>
      </c>
    </row>
    <row r="171" spans="1:8" ht="25.5" x14ac:dyDescent="0.2">
      <c r="A171" s="14" t="s">
        <v>533</v>
      </c>
      <c r="B171" s="6" t="s">
        <v>553</v>
      </c>
      <c r="C171" s="12">
        <v>3</v>
      </c>
      <c r="D171" s="7">
        <v>19.542857099999999</v>
      </c>
      <c r="E171" s="15">
        <v>7</v>
      </c>
      <c r="F171" s="19">
        <v>0.80489766082000003</v>
      </c>
      <c r="G171" s="44">
        <v>34000</v>
      </c>
      <c r="H171" s="50">
        <f t="shared" si="2"/>
        <v>34</v>
      </c>
    </row>
    <row r="172" spans="1:8" ht="25.5" x14ac:dyDescent="0.2">
      <c r="A172" s="14" t="s">
        <v>489</v>
      </c>
      <c r="B172" s="6" t="s">
        <v>503</v>
      </c>
      <c r="C172" s="12">
        <v>3</v>
      </c>
      <c r="D172" s="7">
        <v>19.670000000000002</v>
      </c>
      <c r="E172" s="15">
        <v>9</v>
      </c>
      <c r="F172" s="19">
        <v>0.17000508387999999</v>
      </c>
      <c r="G172" s="44">
        <v>34000</v>
      </c>
      <c r="H172" s="50">
        <f t="shared" si="2"/>
        <v>34</v>
      </c>
    </row>
    <row r="173" spans="1:8" ht="38.25" x14ac:dyDescent="0.2">
      <c r="A173" s="14" t="s">
        <v>533</v>
      </c>
      <c r="B173" s="6" t="s">
        <v>535</v>
      </c>
      <c r="C173" s="16">
        <v>3</v>
      </c>
      <c r="D173" s="7">
        <v>20.687727299999999</v>
      </c>
      <c r="E173" s="15">
        <v>22</v>
      </c>
      <c r="F173" s="19">
        <v>0.76035418452000003</v>
      </c>
      <c r="G173" s="44">
        <v>34000</v>
      </c>
      <c r="H173" s="50">
        <f t="shared" si="2"/>
        <v>34</v>
      </c>
    </row>
    <row r="174" spans="1:8" ht="25.5" x14ac:dyDescent="0.2">
      <c r="A174" s="14" t="s">
        <v>533</v>
      </c>
      <c r="B174" s="6" t="s">
        <v>542</v>
      </c>
      <c r="C174" s="12">
        <v>3</v>
      </c>
      <c r="D174" s="7">
        <v>21.724615400000001</v>
      </c>
      <c r="E174" s="15">
        <v>13</v>
      </c>
      <c r="F174" s="19">
        <v>0.74155513066000001</v>
      </c>
      <c r="G174" s="44">
        <v>34000</v>
      </c>
      <c r="H174" s="50">
        <f t="shared" si="2"/>
        <v>34</v>
      </c>
    </row>
    <row r="175" spans="1:8" ht="25.5" x14ac:dyDescent="0.2">
      <c r="A175" s="14" t="s">
        <v>533</v>
      </c>
      <c r="B175" s="6" t="s">
        <v>539</v>
      </c>
      <c r="C175" s="12">
        <v>3</v>
      </c>
      <c r="D175" s="7">
        <v>23.86</v>
      </c>
      <c r="E175" s="15">
        <v>8</v>
      </c>
      <c r="F175" s="19">
        <v>0.65926236379000003</v>
      </c>
      <c r="G175" s="44">
        <v>34000</v>
      </c>
      <c r="H175" s="50">
        <f t="shared" si="2"/>
        <v>34</v>
      </c>
    </row>
    <row r="176" spans="1:8" ht="25.5" x14ac:dyDescent="0.2">
      <c r="A176" s="14" t="s">
        <v>533</v>
      </c>
      <c r="B176" s="6" t="s">
        <v>546</v>
      </c>
      <c r="C176" s="12">
        <v>3</v>
      </c>
      <c r="D176" s="7">
        <v>24.453571400000001</v>
      </c>
      <c r="E176" s="15">
        <v>14</v>
      </c>
      <c r="F176" s="19">
        <v>0.65768949904999996</v>
      </c>
      <c r="G176" s="44">
        <v>34000</v>
      </c>
      <c r="H176" s="50">
        <f t="shared" si="2"/>
        <v>34</v>
      </c>
    </row>
    <row r="177" spans="1:8" ht="25.5" x14ac:dyDescent="0.2">
      <c r="A177" s="14" t="s">
        <v>489</v>
      </c>
      <c r="B177" s="6" t="s">
        <v>510</v>
      </c>
      <c r="C177" s="12">
        <v>3</v>
      </c>
      <c r="D177" s="7">
        <v>26.5657143</v>
      </c>
      <c r="E177" s="15">
        <v>7</v>
      </c>
      <c r="F177" s="19">
        <v>0.16999892450000001</v>
      </c>
      <c r="G177" s="44">
        <v>34000</v>
      </c>
      <c r="H177" s="50">
        <f t="shared" si="2"/>
        <v>34</v>
      </c>
    </row>
    <row r="178" spans="1:8" ht="38.25" x14ac:dyDescent="0.2">
      <c r="A178" s="14" t="s">
        <v>533</v>
      </c>
      <c r="B178" s="6" t="s">
        <v>84</v>
      </c>
      <c r="C178" s="12">
        <v>3</v>
      </c>
      <c r="D178" s="7">
        <v>29.701250000000002</v>
      </c>
      <c r="E178" s="15">
        <v>8</v>
      </c>
      <c r="F178" s="19">
        <v>0.55039771052999997</v>
      </c>
      <c r="G178" s="44">
        <v>34000</v>
      </c>
      <c r="H178" s="50">
        <f t="shared" si="2"/>
        <v>34</v>
      </c>
    </row>
    <row r="179" spans="1:8" ht="25.5" x14ac:dyDescent="0.2">
      <c r="A179" s="14" t="s">
        <v>308</v>
      </c>
      <c r="B179" s="6" t="s">
        <v>384</v>
      </c>
      <c r="C179" s="12">
        <v>3</v>
      </c>
      <c r="D179" s="7">
        <v>30.38</v>
      </c>
      <c r="E179" s="15">
        <v>1</v>
      </c>
      <c r="F179" s="19">
        <v>0.85286372613999994</v>
      </c>
      <c r="G179" s="44">
        <v>34000</v>
      </c>
      <c r="H179" s="50">
        <f t="shared" si="2"/>
        <v>34</v>
      </c>
    </row>
    <row r="180" spans="1:8" ht="38.25" x14ac:dyDescent="0.2">
      <c r="A180" s="14" t="s">
        <v>533</v>
      </c>
      <c r="B180" s="6" t="s">
        <v>536</v>
      </c>
      <c r="C180" s="12">
        <v>3</v>
      </c>
      <c r="D180" s="7">
        <v>35.757692300000002</v>
      </c>
      <c r="E180" s="15">
        <v>26</v>
      </c>
      <c r="F180" s="19">
        <v>0.47600301171999998</v>
      </c>
      <c r="G180" s="44">
        <v>34000</v>
      </c>
      <c r="H180" s="50">
        <f t="shared" si="2"/>
        <v>34</v>
      </c>
    </row>
    <row r="181" spans="1:8" ht="25.5" x14ac:dyDescent="0.2">
      <c r="A181" s="14" t="s">
        <v>533</v>
      </c>
      <c r="B181" s="6" t="s">
        <v>540</v>
      </c>
      <c r="C181" s="16">
        <v>3</v>
      </c>
      <c r="D181" s="7">
        <v>40.550465099999997</v>
      </c>
      <c r="E181" s="15">
        <v>43</v>
      </c>
      <c r="F181" s="19">
        <v>0.42528115984999998</v>
      </c>
      <c r="G181" s="44">
        <v>34000</v>
      </c>
      <c r="H181" s="50">
        <f t="shared" si="2"/>
        <v>34</v>
      </c>
    </row>
    <row r="182" spans="1:8" ht="38.25" x14ac:dyDescent="0.2">
      <c r="A182" s="14" t="s">
        <v>8</v>
      </c>
      <c r="B182" s="6" t="s">
        <v>62</v>
      </c>
      <c r="C182" s="12">
        <v>3</v>
      </c>
      <c r="D182" s="7">
        <v>41.86</v>
      </c>
      <c r="E182" s="15">
        <v>1</v>
      </c>
      <c r="F182" s="19">
        <v>0.66292403248999998</v>
      </c>
      <c r="G182" s="44">
        <v>34000</v>
      </c>
      <c r="H182" s="50">
        <f t="shared" si="2"/>
        <v>34</v>
      </c>
    </row>
    <row r="183" spans="1:8" ht="25.5" x14ac:dyDescent="0.2">
      <c r="A183" s="14" t="s">
        <v>533</v>
      </c>
      <c r="B183" s="6" t="s">
        <v>77</v>
      </c>
      <c r="C183" s="12">
        <v>3</v>
      </c>
      <c r="D183" s="7">
        <v>42.225000000000001</v>
      </c>
      <c r="E183" s="15">
        <v>6</v>
      </c>
      <c r="F183" s="19">
        <v>0.41539372409999997</v>
      </c>
      <c r="G183" s="44">
        <v>34000</v>
      </c>
      <c r="H183" s="50">
        <f t="shared" si="2"/>
        <v>34</v>
      </c>
    </row>
    <row r="184" spans="1:8" ht="25.5" x14ac:dyDescent="0.2">
      <c r="A184" s="14" t="s">
        <v>8</v>
      </c>
      <c r="B184" s="6" t="s">
        <v>21</v>
      </c>
      <c r="C184" s="12">
        <v>3</v>
      </c>
      <c r="D184" s="7">
        <v>44.23</v>
      </c>
      <c r="E184" s="15">
        <v>1</v>
      </c>
      <c r="F184" s="19">
        <v>0.99886954555999996</v>
      </c>
      <c r="G184" s="44">
        <v>34000</v>
      </c>
      <c r="H184" s="50">
        <f t="shared" si="2"/>
        <v>34</v>
      </c>
    </row>
    <row r="185" spans="1:8" ht="25.5" x14ac:dyDescent="0.2">
      <c r="A185" s="14" t="s">
        <v>604</v>
      </c>
      <c r="B185" s="6" t="s">
        <v>21</v>
      </c>
      <c r="C185" s="12">
        <v>3</v>
      </c>
      <c r="D185" s="7">
        <v>46.114545499999998</v>
      </c>
      <c r="E185" s="15">
        <v>8</v>
      </c>
      <c r="F185" s="19">
        <v>0.59900051255999998</v>
      </c>
      <c r="G185" s="44">
        <v>34000</v>
      </c>
      <c r="H185" s="50">
        <f t="shared" si="2"/>
        <v>34</v>
      </c>
    </row>
    <row r="186" spans="1:8" ht="25.5" x14ac:dyDescent="0.2">
      <c r="A186" s="14" t="s">
        <v>308</v>
      </c>
      <c r="B186" s="6" t="s">
        <v>322</v>
      </c>
      <c r="C186" s="16">
        <v>3</v>
      </c>
      <c r="D186" s="7">
        <v>126.5783333</v>
      </c>
      <c r="E186" s="15">
        <v>6</v>
      </c>
      <c r="F186" s="19">
        <v>0.23559324266000001</v>
      </c>
      <c r="G186" s="44">
        <v>34000</v>
      </c>
      <c r="H186" s="50">
        <f t="shared" si="2"/>
        <v>34</v>
      </c>
    </row>
    <row r="187" spans="1:8" ht="25.5" x14ac:dyDescent="0.2">
      <c r="A187" s="14" t="s">
        <v>308</v>
      </c>
      <c r="B187" s="6" t="s">
        <v>418</v>
      </c>
      <c r="C187" s="12">
        <v>3</v>
      </c>
      <c r="D187" s="7">
        <v>152.1777778</v>
      </c>
      <c r="E187" s="15">
        <v>9</v>
      </c>
      <c r="F187" s="19">
        <v>0.23226197430000001</v>
      </c>
      <c r="G187" s="44">
        <v>34000</v>
      </c>
      <c r="H187" s="50">
        <f t="shared" si="2"/>
        <v>34</v>
      </c>
    </row>
    <row r="188" spans="1:8" ht="25.5" x14ac:dyDescent="0.2">
      <c r="A188" s="14" t="s">
        <v>308</v>
      </c>
      <c r="B188" s="6" t="s">
        <v>357</v>
      </c>
      <c r="C188" s="16">
        <v>3</v>
      </c>
      <c r="D188" s="7">
        <v>152.66666670000001</v>
      </c>
      <c r="E188" s="15">
        <v>6</v>
      </c>
      <c r="F188" s="19">
        <v>0.2281419214</v>
      </c>
      <c r="G188" s="44">
        <v>34000</v>
      </c>
      <c r="H188" s="50">
        <f t="shared" si="2"/>
        <v>34</v>
      </c>
    </row>
    <row r="189" spans="1:8" ht="25.5" x14ac:dyDescent="0.2">
      <c r="A189" s="14" t="s">
        <v>308</v>
      </c>
      <c r="B189" s="6" t="s">
        <v>404</v>
      </c>
      <c r="C189" s="12">
        <v>3</v>
      </c>
      <c r="D189" s="7">
        <v>234.71285710000001</v>
      </c>
      <c r="E189" s="15">
        <v>7</v>
      </c>
      <c r="F189" s="19">
        <v>0.22379320628999999</v>
      </c>
      <c r="G189" s="44">
        <v>34000</v>
      </c>
      <c r="H189" s="50">
        <f t="shared" si="2"/>
        <v>34</v>
      </c>
    </row>
    <row r="190" spans="1:8" ht="25.5" x14ac:dyDescent="0.2">
      <c r="A190" s="14" t="s">
        <v>308</v>
      </c>
      <c r="B190" s="6" t="s">
        <v>360</v>
      </c>
      <c r="C190" s="12">
        <v>3</v>
      </c>
      <c r="D190" s="7">
        <v>251.86153849999999</v>
      </c>
      <c r="E190" s="15">
        <v>13</v>
      </c>
      <c r="F190" s="19">
        <v>0.21936014904000001</v>
      </c>
      <c r="G190" s="44">
        <v>34000</v>
      </c>
      <c r="H190" s="50">
        <f t="shared" si="2"/>
        <v>34</v>
      </c>
    </row>
    <row r="191" spans="1:8" ht="38.25" x14ac:dyDescent="0.2">
      <c r="A191" s="14" t="s">
        <v>308</v>
      </c>
      <c r="B191" s="6" t="s">
        <v>398</v>
      </c>
      <c r="C191" s="12">
        <v>3</v>
      </c>
      <c r="D191" s="7">
        <v>328.30647060000001</v>
      </c>
      <c r="E191" s="15">
        <v>17</v>
      </c>
      <c r="F191" s="19">
        <v>0.21967100324</v>
      </c>
      <c r="G191" s="44">
        <v>34000</v>
      </c>
      <c r="H191" s="50">
        <f t="shared" si="2"/>
        <v>34</v>
      </c>
    </row>
    <row r="192" spans="1:8" ht="25.5" x14ac:dyDescent="0.2">
      <c r="A192" s="14" t="s">
        <v>533</v>
      </c>
      <c r="B192" s="6" t="s">
        <v>537</v>
      </c>
      <c r="C192" s="12">
        <v>3</v>
      </c>
      <c r="D192" s="7">
        <v>4.83</v>
      </c>
      <c r="E192" s="15">
        <v>1</v>
      </c>
      <c r="F192" s="19">
        <v>3.2567287784699999</v>
      </c>
      <c r="G192" s="44">
        <v>34070</v>
      </c>
      <c r="H192" s="50">
        <f t="shared" si="2"/>
        <v>34</v>
      </c>
    </row>
    <row r="193" spans="1:8" ht="38.25" x14ac:dyDescent="0.2">
      <c r="A193" s="14" t="s">
        <v>308</v>
      </c>
      <c r="B193" s="6" t="s">
        <v>369</v>
      </c>
      <c r="C193" s="12">
        <v>3</v>
      </c>
      <c r="D193" s="7">
        <v>225.4375</v>
      </c>
      <c r="E193" s="15">
        <v>8</v>
      </c>
      <c r="F193" s="19">
        <v>0.22592237316</v>
      </c>
      <c r="G193" s="44">
        <v>34070</v>
      </c>
      <c r="H193" s="50">
        <f t="shared" si="2"/>
        <v>34</v>
      </c>
    </row>
    <row r="194" spans="1:8" ht="25.5" x14ac:dyDescent="0.2">
      <c r="A194" s="14" t="s">
        <v>308</v>
      </c>
      <c r="B194" s="6" t="s">
        <v>348</v>
      </c>
      <c r="C194" s="12">
        <v>3</v>
      </c>
      <c r="D194" s="7">
        <v>781.45</v>
      </c>
      <c r="E194" s="15">
        <v>2</v>
      </c>
      <c r="F194" s="19">
        <v>0.21658839336999999</v>
      </c>
      <c r="G194" s="44">
        <v>34070</v>
      </c>
      <c r="H194" s="50">
        <f t="shared" si="2"/>
        <v>34</v>
      </c>
    </row>
    <row r="195" spans="1:8" ht="25.5" x14ac:dyDescent="0.2">
      <c r="A195" s="14" t="s">
        <v>308</v>
      </c>
      <c r="B195" s="6" t="s">
        <v>366</v>
      </c>
      <c r="C195" s="12">
        <v>3</v>
      </c>
      <c r="D195" s="7">
        <v>135.87375</v>
      </c>
      <c r="E195" s="15">
        <v>16</v>
      </c>
      <c r="F195" s="19">
        <v>0.22653014287000001</v>
      </c>
      <c r="G195" s="44">
        <v>34080</v>
      </c>
      <c r="H195" s="50">
        <f t="shared" ref="H195:H258" si="3">IF(LEN(G195)=4,VALUE(LEFT(G195,1)),VALUE(LEFT(G195,2)))</f>
        <v>34</v>
      </c>
    </row>
    <row r="196" spans="1:8" ht="25.5" x14ac:dyDescent="0.2">
      <c r="A196" s="14" t="s">
        <v>308</v>
      </c>
      <c r="B196" s="6" t="s">
        <v>425</v>
      </c>
      <c r="C196" s="16">
        <v>3</v>
      </c>
      <c r="D196" s="7">
        <v>229.4272727</v>
      </c>
      <c r="E196" s="15">
        <v>22</v>
      </c>
      <c r="F196" s="19">
        <v>0.23248444743999999</v>
      </c>
      <c r="G196" s="44">
        <v>34080</v>
      </c>
      <c r="H196" s="50">
        <f t="shared" si="3"/>
        <v>34</v>
      </c>
    </row>
    <row r="197" spans="1:8" ht="38.25" x14ac:dyDescent="0.2">
      <c r="A197" s="14" t="s">
        <v>308</v>
      </c>
      <c r="B197" s="6" t="s">
        <v>370</v>
      </c>
      <c r="C197" s="12">
        <v>3</v>
      </c>
      <c r="D197" s="7">
        <v>409.0025</v>
      </c>
      <c r="E197" s="15">
        <v>8</v>
      </c>
      <c r="F197" s="19">
        <v>0.2177865661</v>
      </c>
      <c r="G197" s="44">
        <v>34080</v>
      </c>
      <c r="H197" s="50">
        <f t="shared" si="3"/>
        <v>34</v>
      </c>
    </row>
    <row r="198" spans="1:8" ht="25.5" x14ac:dyDescent="0.2">
      <c r="A198" s="14" t="s">
        <v>533</v>
      </c>
      <c r="B198" s="6" t="s">
        <v>545</v>
      </c>
      <c r="C198" s="16">
        <v>3</v>
      </c>
      <c r="D198" s="7">
        <v>31.327500000000001</v>
      </c>
      <c r="E198" s="15">
        <v>4</v>
      </c>
      <c r="F198" s="19">
        <v>0.52182587183999996</v>
      </c>
      <c r="G198" s="44">
        <v>34090</v>
      </c>
      <c r="H198" s="50">
        <f t="shared" si="3"/>
        <v>34</v>
      </c>
    </row>
    <row r="199" spans="1:8" ht="25.5" x14ac:dyDescent="0.2">
      <c r="A199" s="14" t="s">
        <v>533</v>
      </c>
      <c r="B199" s="6" t="s">
        <v>551</v>
      </c>
      <c r="C199" s="12">
        <v>3</v>
      </c>
      <c r="D199" s="7">
        <v>10.206250000000001</v>
      </c>
      <c r="E199" s="15">
        <v>8</v>
      </c>
      <c r="F199" s="19">
        <v>1.5412124923499999</v>
      </c>
      <c r="G199" s="44">
        <v>34200</v>
      </c>
      <c r="H199" s="50">
        <f t="shared" si="3"/>
        <v>34</v>
      </c>
    </row>
    <row r="200" spans="1:8" x14ac:dyDescent="0.2">
      <c r="A200" s="14" t="s">
        <v>533</v>
      </c>
      <c r="B200" s="6" t="s">
        <v>544</v>
      </c>
      <c r="C200" s="12">
        <v>3</v>
      </c>
      <c r="D200" s="7">
        <v>13.77</v>
      </c>
      <c r="E200" s="15">
        <v>1</v>
      </c>
      <c r="F200" s="19">
        <v>1.1423384168499999</v>
      </c>
      <c r="G200" s="44">
        <v>34200</v>
      </c>
      <c r="H200" s="50">
        <f t="shared" si="3"/>
        <v>34</v>
      </c>
    </row>
    <row r="201" spans="1:8" x14ac:dyDescent="0.2">
      <c r="A201" s="14" t="s">
        <v>308</v>
      </c>
      <c r="B201" s="6" t="s">
        <v>402</v>
      </c>
      <c r="C201" s="16">
        <v>3</v>
      </c>
      <c r="D201" s="7">
        <v>150.52555559999999</v>
      </c>
      <c r="E201" s="15">
        <v>9</v>
      </c>
      <c r="F201" s="19">
        <v>0.22541392012</v>
      </c>
      <c r="G201" s="44">
        <v>34200</v>
      </c>
      <c r="H201" s="50">
        <f t="shared" si="3"/>
        <v>34</v>
      </c>
    </row>
    <row r="202" spans="1:8" ht="25.5" x14ac:dyDescent="0.2">
      <c r="A202" s="14" t="s">
        <v>533</v>
      </c>
      <c r="B202" s="6" t="s">
        <v>538</v>
      </c>
      <c r="C202" s="12">
        <v>3</v>
      </c>
      <c r="D202" s="7">
        <v>153.66499999999999</v>
      </c>
      <c r="E202" s="15">
        <v>2</v>
      </c>
      <c r="F202" s="19">
        <v>0.15068493151000001</v>
      </c>
      <c r="G202" s="44">
        <v>34200</v>
      </c>
      <c r="H202" s="50">
        <f t="shared" si="3"/>
        <v>34</v>
      </c>
    </row>
    <row r="203" spans="1:8" x14ac:dyDescent="0.2">
      <c r="A203" s="14" t="s">
        <v>308</v>
      </c>
      <c r="B203" s="6" t="s">
        <v>453</v>
      </c>
      <c r="C203" s="12">
        <v>3</v>
      </c>
      <c r="D203" s="7">
        <v>402.64526319999999</v>
      </c>
      <c r="E203" s="15">
        <v>19</v>
      </c>
      <c r="F203" s="19">
        <v>0.21949136369</v>
      </c>
      <c r="G203" s="44">
        <v>34200</v>
      </c>
      <c r="H203" s="50">
        <f t="shared" si="3"/>
        <v>34</v>
      </c>
    </row>
    <row r="204" spans="1:8" ht="38.25" x14ac:dyDescent="0.2">
      <c r="A204" s="14" t="s">
        <v>533</v>
      </c>
      <c r="B204" s="6" t="s">
        <v>548</v>
      </c>
      <c r="C204" s="16">
        <v>3</v>
      </c>
      <c r="D204" s="7">
        <v>8.8320000000000007</v>
      </c>
      <c r="E204" s="15">
        <v>5</v>
      </c>
      <c r="F204" s="19">
        <v>1.7810235507200001</v>
      </c>
      <c r="G204" s="44">
        <v>34300</v>
      </c>
      <c r="H204" s="50">
        <f t="shared" si="3"/>
        <v>34</v>
      </c>
    </row>
    <row r="205" spans="1:8" x14ac:dyDescent="0.2">
      <c r="A205" s="14" t="s">
        <v>533</v>
      </c>
      <c r="B205" s="6" t="s">
        <v>547</v>
      </c>
      <c r="C205" s="12">
        <v>3</v>
      </c>
      <c r="D205" s="7">
        <v>30</v>
      </c>
      <c r="E205" s="15">
        <v>1</v>
      </c>
      <c r="F205" s="19">
        <v>0.52433333332999998</v>
      </c>
      <c r="G205" s="44">
        <v>34300</v>
      </c>
      <c r="H205" s="50">
        <f t="shared" si="3"/>
        <v>34</v>
      </c>
    </row>
    <row r="206" spans="1:8" ht="25.5" x14ac:dyDescent="0.2">
      <c r="A206" s="14" t="s">
        <v>308</v>
      </c>
      <c r="B206" s="6" t="s">
        <v>365</v>
      </c>
      <c r="C206" s="12">
        <v>3</v>
      </c>
      <c r="D206" s="7">
        <v>87.86</v>
      </c>
      <c r="E206" s="15">
        <v>1</v>
      </c>
      <c r="F206" s="19">
        <v>0.29490097882999999</v>
      </c>
      <c r="G206" s="44">
        <v>34400</v>
      </c>
      <c r="H206" s="50">
        <f t="shared" si="3"/>
        <v>34</v>
      </c>
    </row>
    <row r="207" spans="1:8" ht="25.5" x14ac:dyDescent="0.2">
      <c r="A207" s="14" t="s">
        <v>308</v>
      </c>
      <c r="B207" s="6" t="s">
        <v>412</v>
      </c>
      <c r="C207" s="12">
        <v>3</v>
      </c>
      <c r="D207" s="7">
        <v>192.00375</v>
      </c>
      <c r="E207" s="15">
        <v>8</v>
      </c>
      <c r="F207" s="19">
        <v>0.22063436261</v>
      </c>
      <c r="G207" s="44">
        <v>34400</v>
      </c>
      <c r="H207" s="50">
        <f t="shared" si="3"/>
        <v>34</v>
      </c>
    </row>
    <row r="208" spans="1:8" ht="38.25" x14ac:dyDescent="0.2">
      <c r="A208" s="14" t="s">
        <v>308</v>
      </c>
      <c r="B208" s="6" t="s">
        <v>373</v>
      </c>
      <c r="C208" s="12">
        <v>3</v>
      </c>
      <c r="D208" s="7">
        <v>488.05399999999997</v>
      </c>
      <c r="E208" s="15">
        <v>5</v>
      </c>
      <c r="F208" s="19">
        <v>0.21738045380000001</v>
      </c>
      <c r="G208" s="44">
        <v>34410</v>
      </c>
      <c r="H208" s="50">
        <f t="shared" si="3"/>
        <v>34</v>
      </c>
    </row>
    <row r="209" spans="1:8" ht="25.5" x14ac:dyDescent="0.2">
      <c r="A209" s="14" t="s">
        <v>489</v>
      </c>
      <c r="B209" s="6" t="s">
        <v>509</v>
      </c>
      <c r="C209" s="12">
        <v>3</v>
      </c>
      <c r="D209" s="7">
        <v>27.159090899999999</v>
      </c>
      <c r="E209" s="15">
        <v>11</v>
      </c>
      <c r="F209" s="19">
        <v>0.17000502092</v>
      </c>
      <c r="G209" s="44">
        <v>34500</v>
      </c>
      <c r="H209" s="50">
        <f t="shared" si="3"/>
        <v>34</v>
      </c>
    </row>
    <row r="210" spans="1:8" ht="25.5" x14ac:dyDescent="0.2">
      <c r="A210" s="14" t="s">
        <v>489</v>
      </c>
      <c r="B210" s="6" t="s">
        <v>513</v>
      </c>
      <c r="C210" s="12">
        <v>3</v>
      </c>
      <c r="D210" s="7">
        <v>27.4128571</v>
      </c>
      <c r="E210" s="15">
        <v>6</v>
      </c>
      <c r="F210" s="19">
        <v>0.17000364792</v>
      </c>
      <c r="G210" s="44">
        <v>34500</v>
      </c>
      <c r="H210" s="50">
        <f t="shared" si="3"/>
        <v>34</v>
      </c>
    </row>
    <row r="211" spans="1:8" ht="38.25" x14ac:dyDescent="0.2">
      <c r="A211" s="14" t="s">
        <v>489</v>
      </c>
      <c r="B211" s="6" t="s">
        <v>520</v>
      </c>
      <c r="C211" s="16">
        <v>3</v>
      </c>
      <c r="D211" s="7">
        <v>118.21250000000001</v>
      </c>
      <c r="E211" s="15">
        <v>4</v>
      </c>
      <c r="F211" s="19">
        <v>0.16999894258000001</v>
      </c>
      <c r="G211" s="44">
        <v>34500</v>
      </c>
      <c r="H211" s="50">
        <f t="shared" si="3"/>
        <v>34</v>
      </c>
    </row>
    <row r="212" spans="1:8" ht="38.25" x14ac:dyDescent="0.2">
      <c r="A212" s="14" t="s">
        <v>308</v>
      </c>
      <c r="B212" s="6" t="s">
        <v>374</v>
      </c>
      <c r="C212" s="12">
        <v>3</v>
      </c>
      <c r="D212" s="7">
        <v>138.8233333</v>
      </c>
      <c r="E212" s="15">
        <v>3</v>
      </c>
      <c r="F212" s="19">
        <v>0.23645880856000001</v>
      </c>
      <c r="G212" s="44">
        <v>34600</v>
      </c>
      <c r="H212" s="50">
        <f t="shared" si="3"/>
        <v>34</v>
      </c>
    </row>
    <row r="213" spans="1:8" ht="25.5" x14ac:dyDescent="0.2">
      <c r="A213" s="14" t="s">
        <v>308</v>
      </c>
      <c r="B213" s="6" t="s">
        <v>362</v>
      </c>
      <c r="C213" s="16">
        <v>3</v>
      </c>
      <c r="D213" s="7">
        <v>64.963999999999999</v>
      </c>
      <c r="E213" s="15">
        <v>10</v>
      </c>
      <c r="F213" s="19">
        <v>0.39192937627000002</v>
      </c>
      <c r="G213" s="44">
        <v>34830</v>
      </c>
      <c r="H213" s="50">
        <f t="shared" si="3"/>
        <v>34</v>
      </c>
    </row>
    <row r="214" spans="1:8" ht="38.25" x14ac:dyDescent="0.2">
      <c r="A214" s="14" t="s">
        <v>533</v>
      </c>
      <c r="B214" s="6" t="s">
        <v>550</v>
      </c>
      <c r="C214" s="12">
        <v>3</v>
      </c>
      <c r="D214" s="7">
        <v>15.67</v>
      </c>
      <c r="E214" s="15">
        <v>1</v>
      </c>
      <c r="F214" s="19">
        <v>1.00382897256</v>
      </c>
      <c r="G214" s="44">
        <v>34920</v>
      </c>
      <c r="H214" s="50">
        <f t="shared" si="3"/>
        <v>34</v>
      </c>
    </row>
    <row r="215" spans="1:8" ht="25.5" x14ac:dyDescent="0.2">
      <c r="A215" s="14" t="s">
        <v>184</v>
      </c>
      <c r="B215" s="6" t="s">
        <v>233</v>
      </c>
      <c r="C215" s="12">
        <v>3</v>
      </c>
      <c r="D215" s="7">
        <v>56.142222199999999</v>
      </c>
      <c r="E215" s="15">
        <v>9</v>
      </c>
      <c r="F215" s="19">
        <v>9.4866212790000001E-2</v>
      </c>
      <c r="G215" s="44">
        <v>37130</v>
      </c>
      <c r="H215" s="50">
        <f t="shared" si="3"/>
        <v>37</v>
      </c>
    </row>
    <row r="216" spans="1:8" ht="25.5" x14ac:dyDescent="0.2">
      <c r="A216" s="14" t="s">
        <v>489</v>
      </c>
      <c r="B216" s="6" t="s">
        <v>504</v>
      </c>
      <c r="C216" s="12">
        <v>3</v>
      </c>
      <c r="D216" s="7">
        <v>16.956</v>
      </c>
      <c r="E216" s="15">
        <v>5</v>
      </c>
      <c r="F216" s="19">
        <v>0.17001651333000001</v>
      </c>
      <c r="G216" s="44">
        <v>37520</v>
      </c>
      <c r="H216" s="50">
        <f t="shared" si="3"/>
        <v>37</v>
      </c>
    </row>
    <row r="217" spans="1:8" ht="25.5" x14ac:dyDescent="0.2">
      <c r="A217" s="14" t="s">
        <v>134</v>
      </c>
      <c r="B217" s="6" t="s">
        <v>139</v>
      </c>
      <c r="C217" s="12">
        <v>3</v>
      </c>
      <c r="D217" s="7">
        <v>119.5204444</v>
      </c>
      <c r="E217" s="15">
        <v>19</v>
      </c>
      <c r="F217" s="19">
        <v>0.22640980064999999</v>
      </c>
      <c r="G217" s="44">
        <v>38120</v>
      </c>
      <c r="H217" s="50">
        <f t="shared" si="3"/>
        <v>38</v>
      </c>
    </row>
    <row r="218" spans="1:8" ht="25.5" x14ac:dyDescent="0.2">
      <c r="A218" s="14" t="s">
        <v>556</v>
      </c>
      <c r="B218" s="6" t="s">
        <v>139</v>
      </c>
      <c r="C218" s="12">
        <v>3</v>
      </c>
      <c r="D218" s="7">
        <v>139.28749999999999</v>
      </c>
      <c r="E218" s="15">
        <v>23</v>
      </c>
      <c r="F218" s="19">
        <v>0.19483285471</v>
      </c>
      <c r="G218" s="44">
        <v>38120</v>
      </c>
      <c r="H218" s="50">
        <f t="shared" si="3"/>
        <v>38</v>
      </c>
    </row>
    <row r="219" spans="1:8" ht="25.5" x14ac:dyDescent="0.2">
      <c r="A219" s="14" t="s">
        <v>556</v>
      </c>
      <c r="B219" s="6" t="s">
        <v>150</v>
      </c>
      <c r="C219" s="12">
        <v>3</v>
      </c>
      <c r="D219" s="7">
        <v>43.280312500000001</v>
      </c>
      <c r="E219" s="15">
        <v>22</v>
      </c>
      <c r="F219" s="19">
        <v>0.21416276165000001</v>
      </c>
      <c r="G219" s="44">
        <v>38160</v>
      </c>
      <c r="H219" s="50">
        <f t="shared" si="3"/>
        <v>38</v>
      </c>
    </row>
    <row r="220" spans="1:8" ht="25.5" x14ac:dyDescent="0.2">
      <c r="A220" s="14" t="s">
        <v>556</v>
      </c>
      <c r="B220" s="6" t="s">
        <v>148</v>
      </c>
      <c r="C220" s="12">
        <v>3</v>
      </c>
      <c r="D220" s="7">
        <v>86.762631600000006</v>
      </c>
      <c r="E220" s="15">
        <v>28</v>
      </c>
      <c r="F220" s="19">
        <v>0.20887175535999999</v>
      </c>
      <c r="G220" s="44">
        <v>38160</v>
      </c>
      <c r="H220" s="50">
        <f t="shared" si="3"/>
        <v>38</v>
      </c>
    </row>
    <row r="221" spans="1:8" ht="25.5" x14ac:dyDescent="0.2">
      <c r="A221" s="14" t="s">
        <v>134</v>
      </c>
      <c r="B221" s="6" t="s">
        <v>145</v>
      </c>
      <c r="C221" s="12">
        <v>3</v>
      </c>
      <c r="D221" s="7">
        <v>104.0727273</v>
      </c>
      <c r="E221" s="15">
        <v>4</v>
      </c>
      <c r="F221" s="19">
        <v>0.19732092942000001</v>
      </c>
      <c r="G221" s="44">
        <v>38530</v>
      </c>
      <c r="H221" s="50">
        <f t="shared" si="3"/>
        <v>38</v>
      </c>
    </row>
    <row r="222" spans="1:8" ht="25.5" x14ac:dyDescent="0.2">
      <c r="A222" s="14" t="s">
        <v>556</v>
      </c>
      <c r="B222" s="6" t="s">
        <v>145</v>
      </c>
      <c r="C222" s="12">
        <v>3</v>
      </c>
      <c r="D222" s="7">
        <v>215.81923080000001</v>
      </c>
      <c r="E222" s="15">
        <v>10</v>
      </c>
      <c r="F222" s="19">
        <v>0.19580346800000001</v>
      </c>
      <c r="G222" s="44">
        <v>38530</v>
      </c>
      <c r="H222" s="50">
        <f t="shared" si="3"/>
        <v>38</v>
      </c>
    </row>
    <row r="223" spans="1:8" ht="25.5" x14ac:dyDescent="0.2">
      <c r="A223" s="14" t="s">
        <v>556</v>
      </c>
      <c r="B223" s="6" t="s">
        <v>136</v>
      </c>
      <c r="C223" s="12">
        <v>3</v>
      </c>
      <c r="D223" s="7">
        <v>127.215</v>
      </c>
      <c r="E223" s="15">
        <v>2</v>
      </c>
      <c r="F223" s="19">
        <v>0.21598475022999999</v>
      </c>
      <c r="G223" s="44">
        <v>38600</v>
      </c>
      <c r="H223" s="50">
        <f t="shared" si="3"/>
        <v>38</v>
      </c>
    </row>
    <row r="224" spans="1:8" ht="25.5" x14ac:dyDescent="0.2">
      <c r="A224" s="14" t="s">
        <v>134</v>
      </c>
      <c r="B224" s="6" t="s">
        <v>136</v>
      </c>
      <c r="C224" s="12">
        <v>3</v>
      </c>
      <c r="D224" s="7">
        <v>135.1557143</v>
      </c>
      <c r="E224" s="15">
        <v>11</v>
      </c>
      <c r="F224" s="19">
        <v>0.26370773394000002</v>
      </c>
      <c r="G224" s="44">
        <v>38600</v>
      </c>
      <c r="H224" s="50">
        <f t="shared" si="3"/>
        <v>38</v>
      </c>
    </row>
    <row r="225" spans="1:8" ht="38.25" x14ac:dyDescent="0.2">
      <c r="A225" s="14" t="s">
        <v>562</v>
      </c>
      <c r="B225" s="6" t="s">
        <v>584</v>
      </c>
      <c r="C225" s="12">
        <v>3</v>
      </c>
      <c r="D225" s="7">
        <v>1081.1077777999999</v>
      </c>
      <c r="E225" s="15">
        <v>9</v>
      </c>
      <c r="F225" s="19">
        <v>0.24663519004000001</v>
      </c>
      <c r="G225" s="44">
        <v>40054</v>
      </c>
      <c r="H225" s="50">
        <f t="shared" si="3"/>
        <v>40</v>
      </c>
    </row>
    <row r="226" spans="1:8" ht="25.5" x14ac:dyDescent="0.2">
      <c r="A226" s="14" t="s">
        <v>604</v>
      </c>
      <c r="B226" s="6" t="s">
        <v>132</v>
      </c>
      <c r="C226" s="12">
        <v>3</v>
      </c>
      <c r="D226" s="7">
        <v>19.940000000000001</v>
      </c>
      <c r="E226" s="15">
        <v>1</v>
      </c>
      <c r="F226" s="19">
        <v>1.60050150451</v>
      </c>
      <c r="G226" s="44">
        <v>42000</v>
      </c>
      <c r="H226" s="50">
        <f t="shared" si="3"/>
        <v>42</v>
      </c>
    </row>
    <row r="227" spans="1:8" ht="25.5" x14ac:dyDescent="0.2">
      <c r="A227" s="14" t="s">
        <v>489</v>
      </c>
      <c r="B227" s="6" t="s">
        <v>43</v>
      </c>
      <c r="C227" s="12">
        <v>3</v>
      </c>
      <c r="D227" s="7">
        <v>13.09</v>
      </c>
      <c r="E227" s="15">
        <v>1</v>
      </c>
      <c r="F227" s="19">
        <v>0.16997708174000001</v>
      </c>
      <c r="G227" s="44">
        <v>42008</v>
      </c>
      <c r="H227" s="50">
        <f t="shared" si="3"/>
        <v>42</v>
      </c>
    </row>
    <row r="228" spans="1:8" ht="25.5" x14ac:dyDescent="0.2">
      <c r="A228" s="14" t="s">
        <v>489</v>
      </c>
      <c r="B228" s="6" t="s">
        <v>496</v>
      </c>
      <c r="C228" s="12">
        <v>3</v>
      </c>
      <c r="D228" s="7">
        <v>13.9657143</v>
      </c>
      <c r="E228" s="15">
        <v>7</v>
      </c>
      <c r="F228" s="19">
        <v>0.16999795416999999</v>
      </c>
      <c r="G228" s="44">
        <v>42008</v>
      </c>
      <c r="H228" s="50">
        <f t="shared" si="3"/>
        <v>42</v>
      </c>
    </row>
    <row r="229" spans="1:8" ht="25.5" x14ac:dyDescent="0.2">
      <c r="A229" s="14" t="s">
        <v>489</v>
      </c>
      <c r="B229" s="6" t="s">
        <v>24</v>
      </c>
      <c r="C229" s="12">
        <v>3</v>
      </c>
      <c r="D229" s="7">
        <v>14.55</v>
      </c>
      <c r="E229" s="15">
        <v>1</v>
      </c>
      <c r="F229" s="19">
        <v>0.17003436425999999</v>
      </c>
      <c r="G229" s="44">
        <v>42008</v>
      </c>
      <c r="H229" s="50">
        <f t="shared" si="3"/>
        <v>42</v>
      </c>
    </row>
    <row r="230" spans="1:8" ht="25.5" x14ac:dyDescent="0.2">
      <c r="A230" s="14" t="s">
        <v>604</v>
      </c>
      <c r="B230" s="6" t="s">
        <v>49</v>
      </c>
      <c r="C230" s="12">
        <v>3</v>
      </c>
      <c r="D230" s="7">
        <v>15.445</v>
      </c>
      <c r="E230" s="15">
        <v>4</v>
      </c>
      <c r="F230" s="19">
        <v>1.52132297399</v>
      </c>
      <c r="G230" s="44">
        <v>42008</v>
      </c>
      <c r="H230" s="50">
        <f t="shared" si="3"/>
        <v>42</v>
      </c>
    </row>
    <row r="231" spans="1:8" ht="25.5" x14ac:dyDescent="0.2">
      <c r="A231" s="14" t="s">
        <v>8</v>
      </c>
      <c r="B231" s="6" t="s">
        <v>49</v>
      </c>
      <c r="C231" s="16">
        <v>3</v>
      </c>
      <c r="D231" s="7">
        <v>16.46</v>
      </c>
      <c r="E231" s="15">
        <v>1</v>
      </c>
      <c r="F231" s="19">
        <v>2.5315917375499999</v>
      </c>
      <c r="G231" s="44">
        <v>42008</v>
      </c>
      <c r="H231" s="50">
        <f t="shared" si="3"/>
        <v>42</v>
      </c>
    </row>
    <row r="232" spans="1:8" ht="25.5" x14ac:dyDescent="0.2">
      <c r="A232" s="14" t="s">
        <v>489</v>
      </c>
      <c r="B232" s="6" t="s">
        <v>515</v>
      </c>
      <c r="C232" s="16">
        <v>3</v>
      </c>
      <c r="D232" s="7">
        <v>19.703333300000001</v>
      </c>
      <c r="E232" s="15">
        <v>12</v>
      </c>
      <c r="F232" s="19">
        <v>0.17000084588</v>
      </c>
      <c r="G232" s="44">
        <v>42008</v>
      </c>
      <c r="H232" s="50">
        <f t="shared" si="3"/>
        <v>42</v>
      </c>
    </row>
    <row r="233" spans="1:8" ht="38.25" x14ac:dyDescent="0.2">
      <c r="A233" s="14" t="s">
        <v>120</v>
      </c>
      <c r="B233" s="6" t="s">
        <v>121</v>
      </c>
      <c r="C233" s="16">
        <v>3</v>
      </c>
      <c r="D233" s="7">
        <v>20.498181800000001</v>
      </c>
      <c r="E233" s="15">
        <v>13</v>
      </c>
      <c r="F233" s="19">
        <v>1.16146443144</v>
      </c>
      <c r="G233" s="44">
        <v>42008</v>
      </c>
      <c r="H233" s="50">
        <f t="shared" si="3"/>
        <v>42</v>
      </c>
    </row>
    <row r="234" spans="1:8" ht="38.25" x14ac:dyDescent="0.2">
      <c r="A234" s="14" t="s">
        <v>604</v>
      </c>
      <c r="B234" s="6" t="s">
        <v>131</v>
      </c>
      <c r="C234" s="12">
        <v>3</v>
      </c>
      <c r="D234" s="7">
        <v>23.335833300000001</v>
      </c>
      <c r="E234" s="15">
        <v>9</v>
      </c>
      <c r="F234" s="19">
        <v>0.90603149663000004</v>
      </c>
      <c r="G234" s="44">
        <v>42008</v>
      </c>
      <c r="H234" s="50">
        <f t="shared" si="3"/>
        <v>42</v>
      </c>
    </row>
    <row r="235" spans="1:8" ht="38.25" x14ac:dyDescent="0.2">
      <c r="A235" s="14" t="s">
        <v>308</v>
      </c>
      <c r="B235" s="6" t="s">
        <v>378</v>
      </c>
      <c r="C235" s="12">
        <v>3</v>
      </c>
      <c r="D235" s="7">
        <v>26.152916699999999</v>
      </c>
      <c r="E235" s="15">
        <v>23</v>
      </c>
      <c r="F235" s="19">
        <v>0.99071167969999996</v>
      </c>
      <c r="G235" s="44">
        <v>42008</v>
      </c>
      <c r="H235" s="50">
        <f t="shared" si="3"/>
        <v>42</v>
      </c>
    </row>
    <row r="236" spans="1:8" ht="38.25" x14ac:dyDescent="0.2">
      <c r="A236" s="14" t="s">
        <v>604</v>
      </c>
      <c r="B236" s="6" t="s">
        <v>109</v>
      </c>
      <c r="C236" s="12">
        <v>3</v>
      </c>
      <c r="D236" s="7">
        <v>33.377000000000002</v>
      </c>
      <c r="E236" s="15">
        <v>7</v>
      </c>
      <c r="F236" s="19">
        <v>0.78187674146999997</v>
      </c>
      <c r="G236" s="44">
        <v>42008</v>
      </c>
      <c r="H236" s="50">
        <f t="shared" si="3"/>
        <v>42</v>
      </c>
    </row>
    <row r="237" spans="1:8" ht="25.5" x14ac:dyDescent="0.2">
      <c r="A237" s="14" t="s">
        <v>8</v>
      </c>
      <c r="B237" s="6" t="s">
        <v>43</v>
      </c>
      <c r="C237" s="12">
        <v>3</v>
      </c>
      <c r="D237" s="7">
        <v>33.380000000000003</v>
      </c>
      <c r="E237" s="15">
        <v>1</v>
      </c>
      <c r="F237" s="19">
        <v>0.90293588975000005</v>
      </c>
      <c r="G237" s="44">
        <v>42008</v>
      </c>
      <c r="H237" s="50">
        <f t="shared" si="3"/>
        <v>42</v>
      </c>
    </row>
    <row r="238" spans="1:8" ht="25.5" x14ac:dyDescent="0.2">
      <c r="A238" s="14" t="s">
        <v>604</v>
      </c>
      <c r="B238" s="6" t="s">
        <v>50</v>
      </c>
      <c r="C238" s="16">
        <v>3</v>
      </c>
      <c r="D238" s="7">
        <v>36.656666700000002</v>
      </c>
      <c r="E238" s="15">
        <v>8</v>
      </c>
      <c r="F238" s="19">
        <v>0.79213194507999996</v>
      </c>
      <c r="G238" s="44">
        <v>42008</v>
      </c>
      <c r="H238" s="50">
        <f t="shared" si="3"/>
        <v>42</v>
      </c>
    </row>
    <row r="239" spans="1:8" ht="38.25" x14ac:dyDescent="0.2">
      <c r="A239" s="14" t="s">
        <v>308</v>
      </c>
      <c r="B239" s="6" t="s">
        <v>375</v>
      </c>
      <c r="C239" s="12">
        <v>3</v>
      </c>
      <c r="D239" s="7">
        <v>81.538749999999993</v>
      </c>
      <c r="E239" s="15">
        <v>24</v>
      </c>
      <c r="F239" s="19">
        <v>0.34666441824999999</v>
      </c>
      <c r="G239" s="44">
        <v>42008</v>
      </c>
      <c r="H239" s="50">
        <f t="shared" si="3"/>
        <v>42</v>
      </c>
    </row>
    <row r="240" spans="1:8" ht="25.5" x14ac:dyDescent="0.2">
      <c r="A240" s="14" t="s">
        <v>308</v>
      </c>
      <c r="B240" s="6" t="s">
        <v>396</v>
      </c>
      <c r="C240" s="12">
        <v>3</v>
      </c>
      <c r="D240" s="7">
        <v>127.2445455</v>
      </c>
      <c r="E240" s="15">
        <v>22</v>
      </c>
      <c r="F240" s="19">
        <v>0.24085511792</v>
      </c>
      <c r="G240" s="44">
        <v>42008</v>
      </c>
      <c r="H240" s="50">
        <f t="shared" si="3"/>
        <v>42</v>
      </c>
    </row>
    <row r="241" spans="1:8" ht="25.5" x14ac:dyDescent="0.2">
      <c r="A241" s="14" t="s">
        <v>112</v>
      </c>
      <c r="B241" s="6" t="s">
        <v>117</v>
      </c>
      <c r="C241" s="12">
        <v>3</v>
      </c>
      <c r="D241" s="7">
        <v>252.03333330000001</v>
      </c>
      <c r="E241" s="15">
        <v>2</v>
      </c>
      <c r="F241" s="19">
        <v>0.15087422299</v>
      </c>
      <c r="G241" s="44">
        <v>42008</v>
      </c>
      <c r="H241" s="50">
        <f t="shared" si="3"/>
        <v>42</v>
      </c>
    </row>
    <row r="242" spans="1:8" ht="25.5" x14ac:dyDescent="0.2">
      <c r="A242" s="14" t="s">
        <v>604</v>
      </c>
      <c r="B242" s="6" t="s">
        <v>106</v>
      </c>
      <c r="C242" s="12">
        <v>3</v>
      </c>
      <c r="D242" s="7">
        <v>18.329999999999998</v>
      </c>
      <c r="E242" s="15">
        <v>1</v>
      </c>
      <c r="F242" s="19">
        <v>0.42291325695999998</v>
      </c>
      <c r="G242" s="44">
        <v>43100</v>
      </c>
      <c r="H242" s="50">
        <f t="shared" si="3"/>
        <v>43</v>
      </c>
    </row>
    <row r="243" spans="1:8" ht="25.5" x14ac:dyDescent="0.2">
      <c r="A243" s="14" t="s">
        <v>103</v>
      </c>
      <c r="B243" s="6" t="s">
        <v>106</v>
      </c>
      <c r="C243" s="12">
        <v>3</v>
      </c>
      <c r="D243" s="7">
        <v>18.507272700000001</v>
      </c>
      <c r="E243" s="15">
        <v>9</v>
      </c>
      <c r="F243" s="19">
        <v>0.16848413400000001</v>
      </c>
      <c r="G243" s="44">
        <v>43100</v>
      </c>
      <c r="H243" s="50">
        <f t="shared" si="3"/>
        <v>43</v>
      </c>
    </row>
    <row r="244" spans="1:8" ht="25.5" x14ac:dyDescent="0.2">
      <c r="A244" s="14" t="s">
        <v>184</v>
      </c>
      <c r="B244" s="6" t="s">
        <v>267</v>
      </c>
      <c r="C244" s="12">
        <v>3</v>
      </c>
      <c r="D244" s="7">
        <v>152.30000000000001</v>
      </c>
      <c r="E244" s="15">
        <v>1</v>
      </c>
      <c r="F244" s="19">
        <v>0.13554169401999999</v>
      </c>
      <c r="G244" s="44">
        <v>45300</v>
      </c>
      <c r="H244" s="50">
        <f t="shared" si="3"/>
        <v>45</v>
      </c>
    </row>
    <row r="245" spans="1:8" ht="25.5" x14ac:dyDescent="0.2">
      <c r="A245" s="14" t="s">
        <v>297</v>
      </c>
      <c r="B245" s="6" t="s">
        <v>267</v>
      </c>
      <c r="C245" s="12">
        <v>3</v>
      </c>
      <c r="D245" s="7">
        <v>412.16142860000002</v>
      </c>
      <c r="E245" s="15">
        <v>9</v>
      </c>
      <c r="F245" s="19">
        <v>0.32462644664000001</v>
      </c>
      <c r="G245" s="44">
        <v>45300</v>
      </c>
      <c r="H245" s="50">
        <f t="shared" si="3"/>
        <v>45</v>
      </c>
    </row>
    <row r="246" spans="1:8" ht="25.5" x14ac:dyDescent="0.2">
      <c r="A246" s="14" t="s">
        <v>160</v>
      </c>
      <c r="B246" s="6" t="s">
        <v>167</v>
      </c>
      <c r="C246" s="16">
        <v>3</v>
      </c>
      <c r="D246" s="7">
        <v>247.16666670000001</v>
      </c>
      <c r="E246" s="15">
        <v>3</v>
      </c>
      <c r="F246" s="19">
        <v>0.18443155764999999</v>
      </c>
      <c r="G246" s="44">
        <v>46400</v>
      </c>
      <c r="H246" s="50">
        <f t="shared" si="3"/>
        <v>46</v>
      </c>
    </row>
    <row r="247" spans="1:8" ht="38.25" x14ac:dyDescent="0.2">
      <c r="A247" s="14" t="s">
        <v>489</v>
      </c>
      <c r="B247" s="6" t="s">
        <v>26</v>
      </c>
      <c r="C247" s="12">
        <v>3</v>
      </c>
      <c r="D247" s="7">
        <v>14.57</v>
      </c>
      <c r="E247" s="15">
        <v>2</v>
      </c>
      <c r="F247" s="19">
        <v>0.17000686341999999</v>
      </c>
      <c r="G247" s="44">
        <v>47000</v>
      </c>
      <c r="H247" s="50">
        <f t="shared" si="3"/>
        <v>47</v>
      </c>
    </row>
    <row r="248" spans="1:8" ht="25.5" x14ac:dyDescent="0.2">
      <c r="A248" s="14" t="s">
        <v>489</v>
      </c>
      <c r="B248" s="6" t="s">
        <v>33</v>
      </c>
      <c r="C248" s="12">
        <v>3</v>
      </c>
      <c r="D248" s="7">
        <v>18.38</v>
      </c>
      <c r="E248" s="15">
        <v>2</v>
      </c>
      <c r="F248" s="19">
        <v>0.17002176279</v>
      </c>
      <c r="G248" s="44">
        <v>47000</v>
      </c>
      <c r="H248" s="50">
        <f t="shared" si="3"/>
        <v>47</v>
      </c>
    </row>
    <row r="249" spans="1:8" ht="25.5" x14ac:dyDescent="0.2">
      <c r="A249" s="14" t="s">
        <v>8</v>
      </c>
      <c r="B249" s="6" t="s">
        <v>25</v>
      </c>
      <c r="C249" s="12">
        <v>3</v>
      </c>
      <c r="D249" s="7">
        <v>18.96</v>
      </c>
      <c r="E249" s="15">
        <v>1</v>
      </c>
      <c r="F249" s="19">
        <v>0.33897679325000002</v>
      </c>
      <c r="G249" s="44">
        <v>47000</v>
      </c>
      <c r="H249" s="50">
        <f t="shared" si="3"/>
        <v>47</v>
      </c>
    </row>
    <row r="250" spans="1:8" ht="38.25" x14ac:dyDescent="0.2">
      <c r="A250" s="14" t="s">
        <v>489</v>
      </c>
      <c r="B250" s="6" t="s">
        <v>500</v>
      </c>
      <c r="C250" s="12">
        <v>3</v>
      </c>
      <c r="D250" s="7">
        <v>21.02375</v>
      </c>
      <c r="E250" s="15">
        <v>7</v>
      </c>
      <c r="F250" s="19">
        <v>0.1699982163</v>
      </c>
      <c r="G250" s="44">
        <v>47000</v>
      </c>
      <c r="H250" s="50">
        <f t="shared" si="3"/>
        <v>47</v>
      </c>
    </row>
    <row r="251" spans="1:8" x14ac:dyDescent="0.2">
      <c r="A251" s="14" t="s">
        <v>562</v>
      </c>
      <c r="B251" s="6" t="s">
        <v>573</v>
      </c>
      <c r="C251" s="16">
        <v>3</v>
      </c>
      <c r="D251" s="7">
        <v>575.44444439999995</v>
      </c>
      <c r="E251" s="15">
        <v>9</v>
      </c>
      <c r="F251" s="19">
        <v>0.27797644332999999</v>
      </c>
      <c r="G251" s="44">
        <v>47035</v>
      </c>
      <c r="H251" s="50">
        <f t="shared" si="3"/>
        <v>47</v>
      </c>
    </row>
    <row r="252" spans="1:8" ht="38.25" x14ac:dyDescent="0.2">
      <c r="A252" s="14" t="s">
        <v>489</v>
      </c>
      <c r="B252" s="6" t="s">
        <v>502</v>
      </c>
      <c r="C252" s="16">
        <v>3</v>
      </c>
      <c r="D252" s="7">
        <v>19.356666700000002</v>
      </c>
      <c r="E252" s="15">
        <v>6</v>
      </c>
      <c r="F252" s="19">
        <v>0.17000172206</v>
      </c>
      <c r="G252" s="44">
        <v>47150</v>
      </c>
      <c r="H252" s="50">
        <f t="shared" si="3"/>
        <v>47</v>
      </c>
    </row>
    <row r="253" spans="1:8" x14ac:dyDescent="0.2">
      <c r="A253" s="14" t="s">
        <v>562</v>
      </c>
      <c r="B253" s="6" t="s">
        <v>578</v>
      </c>
      <c r="C253" s="16">
        <v>3</v>
      </c>
      <c r="D253" s="7">
        <v>1066.8111111000001</v>
      </c>
      <c r="E253" s="15">
        <v>9</v>
      </c>
      <c r="F253" s="19">
        <v>0.24666055638000001</v>
      </c>
      <c r="G253" s="44">
        <v>47900</v>
      </c>
      <c r="H253" s="50">
        <f t="shared" si="3"/>
        <v>47</v>
      </c>
    </row>
    <row r="254" spans="1:8" ht="38.25" x14ac:dyDescent="0.2">
      <c r="A254" s="14" t="s">
        <v>287</v>
      </c>
      <c r="B254" s="6" t="s">
        <v>288</v>
      </c>
      <c r="C254" s="12">
        <v>3</v>
      </c>
      <c r="D254" s="7">
        <v>172.48374999999999</v>
      </c>
      <c r="E254" s="15">
        <v>39</v>
      </c>
      <c r="F254" s="19">
        <v>0.23508997224</v>
      </c>
      <c r="G254" s="44">
        <v>49124</v>
      </c>
      <c r="H254" s="50">
        <f t="shared" si="3"/>
        <v>49</v>
      </c>
    </row>
    <row r="255" spans="1:8" ht="38.25" x14ac:dyDescent="0.2">
      <c r="A255" s="14" t="s">
        <v>562</v>
      </c>
      <c r="B255" s="6" t="s">
        <v>583</v>
      </c>
      <c r="C255" s="16">
        <v>3</v>
      </c>
      <c r="D255" s="7">
        <v>731.7</v>
      </c>
      <c r="E255" s="15">
        <v>2</v>
      </c>
      <c r="F255" s="19">
        <v>0.24724340577000001</v>
      </c>
      <c r="G255" s="44">
        <v>50065</v>
      </c>
      <c r="H255" s="50">
        <f t="shared" si="3"/>
        <v>50</v>
      </c>
    </row>
    <row r="256" spans="1:8" ht="38.25" x14ac:dyDescent="0.2">
      <c r="A256" s="14" t="s">
        <v>562</v>
      </c>
      <c r="B256" s="6" t="s">
        <v>587</v>
      </c>
      <c r="C256" s="12">
        <v>3</v>
      </c>
      <c r="D256" s="7">
        <v>528.6</v>
      </c>
      <c r="E256" s="15">
        <v>1</v>
      </c>
      <c r="F256" s="19">
        <v>0.28461975027999997</v>
      </c>
      <c r="G256" s="44">
        <v>52022</v>
      </c>
      <c r="H256" s="50">
        <f t="shared" si="3"/>
        <v>52</v>
      </c>
    </row>
    <row r="257" spans="1:8" ht="38.25" x14ac:dyDescent="0.2">
      <c r="A257" s="14" t="s">
        <v>8</v>
      </c>
      <c r="B257" s="6" t="s">
        <v>74</v>
      </c>
      <c r="C257" s="16">
        <v>3</v>
      </c>
      <c r="D257" s="7">
        <v>915.02</v>
      </c>
      <c r="E257" s="15">
        <v>1</v>
      </c>
      <c r="F257" s="19">
        <v>0.38967454263000001</v>
      </c>
      <c r="G257" s="44">
        <v>53204</v>
      </c>
      <c r="H257" s="50">
        <f t="shared" si="3"/>
        <v>53</v>
      </c>
    </row>
    <row r="258" spans="1:8" ht="25.5" x14ac:dyDescent="0.2">
      <c r="A258" s="14" t="s">
        <v>112</v>
      </c>
      <c r="B258" s="6" t="s">
        <v>118</v>
      </c>
      <c r="C258" s="12">
        <v>3</v>
      </c>
      <c r="D258" s="7">
        <v>164.2306897</v>
      </c>
      <c r="E258" s="15">
        <v>10</v>
      </c>
      <c r="F258" s="19">
        <v>0.24407551194999999</v>
      </c>
      <c r="G258" s="48">
        <v>54000</v>
      </c>
      <c r="H258" s="50">
        <f t="shared" si="3"/>
        <v>54</v>
      </c>
    </row>
    <row r="259" spans="1:8" ht="25.5" x14ac:dyDescent="0.2">
      <c r="A259" s="14" t="s">
        <v>112</v>
      </c>
      <c r="B259" s="6" t="s">
        <v>119</v>
      </c>
      <c r="C259" s="12">
        <v>3</v>
      </c>
      <c r="D259" s="7">
        <v>182.72148150000001</v>
      </c>
      <c r="E259" s="15">
        <v>9</v>
      </c>
      <c r="F259" s="19">
        <v>0.23368433641</v>
      </c>
      <c r="G259" s="44">
        <v>54000</v>
      </c>
      <c r="H259" s="50">
        <f t="shared" ref="H259:H322" si="4">IF(LEN(G259)=4,VALUE(LEFT(G259,1)),VALUE(LEFT(G259,2)))</f>
        <v>54</v>
      </c>
    </row>
    <row r="260" spans="1:8" ht="38.25" x14ac:dyDescent="0.2">
      <c r="A260" s="14" t="s">
        <v>562</v>
      </c>
      <c r="B260" s="6" t="s">
        <v>570</v>
      </c>
      <c r="C260" s="12">
        <v>3</v>
      </c>
      <c r="D260" s="7">
        <v>217.9833333</v>
      </c>
      <c r="E260" s="15">
        <v>6</v>
      </c>
      <c r="F260" s="19">
        <v>0.68473124857000001</v>
      </c>
      <c r="G260" s="44">
        <v>55025</v>
      </c>
      <c r="H260" s="50">
        <f t="shared" si="4"/>
        <v>55</v>
      </c>
    </row>
    <row r="261" spans="1:8" ht="38.25" x14ac:dyDescent="0.2">
      <c r="A261" s="14" t="s">
        <v>562</v>
      </c>
      <c r="B261" s="6" t="s">
        <v>577</v>
      </c>
      <c r="C261" s="12">
        <v>3</v>
      </c>
      <c r="D261" s="7">
        <v>713.01111109999999</v>
      </c>
      <c r="E261" s="15">
        <v>9</v>
      </c>
      <c r="F261" s="19">
        <v>0.27648065324999999</v>
      </c>
      <c r="G261" s="44">
        <v>55053</v>
      </c>
      <c r="H261" s="50">
        <f t="shared" si="4"/>
        <v>55</v>
      </c>
    </row>
    <row r="262" spans="1:8" ht="25.5" x14ac:dyDescent="0.2">
      <c r="A262" s="14" t="s">
        <v>562</v>
      </c>
      <c r="B262" s="6" t="s">
        <v>588</v>
      </c>
      <c r="C262" s="16">
        <v>3</v>
      </c>
      <c r="D262" s="7">
        <v>569.68888890000005</v>
      </c>
      <c r="E262" s="15">
        <v>9</v>
      </c>
      <c r="F262" s="19">
        <v>0.27864682478000002</v>
      </c>
      <c r="G262" s="44">
        <v>56035</v>
      </c>
      <c r="H262" s="50">
        <f t="shared" si="4"/>
        <v>56</v>
      </c>
    </row>
    <row r="263" spans="1:8" ht="25.5" x14ac:dyDescent="0.2">
      <c r="A263" s="14" t="s">
        <v>562</v>
      </c>
      <c r="B263" s="6" t="s">
        <v>575</v>
      </c>
      <c r="C263" s="12">
        <v>3</v>
      </c>
      <c r="D263" s="7">
        <v>364.2622222</v>
      </c>
      <c r="E263" s="15">
        <v>9</v>
      </c>
      <c r="F263" s="19">
        <v>0.40867079881000001</v>
      </c>
      <c r="G263" s="44">
        <v>59013</v>
      </c>
      <c r="H263" s="50">
        <f t="shared" si="4"/>
        <v>59</v>
      </c>
    </row>
    <row r="264" spans="1:8" ht="25.5" x14ac:dyDescent="0.2">
      <c r="A264" s="14" t="s">
        <v>562</v>
      </c>
      <c r="B264" s="6" t="s">
        <v>574</v>
      </c>
      <c r="C264" s="12">
        <v>3</v>
      </c>
      <c r="D264" s="7">
        <v>1154.9733332999999</v>
      </c>
      <c r="E264" s="15">
        <v>9</v>
      </c>
      <c r="F264" s="19">
        <v>0.25160051794999999</v>
      </c>
      <c r="G264" s="44">
        <v>59013</v>
      </c>
      <c r="H264" s="50">
        <f t="shared" si="4"/>
        <v>59</v>
      </c>
    </row>
    <row r="265" spans="1:8" ht="25.5" x14ac:dyDescent="0.2">
      <c r="A265" s="14" t="s">
        <v>298</v>
      </c>
      <c r="B265" s="6" t="s">
        <v>301</v>
      </c>
      <c r="C265" s="12">
        <v>3</v>
      </c>
      <c r="D265" s="7">
        <v>193.93962959999999</v>
      </c>
      <c r="E265" s="15">
        <v>10</v>
      </c>
      <c r="F265" s="19">
        <v>0.28954733909000002</v>
      </c>
      <c r="G265" s="44">
        <v>59147</v>
      </c>
      <c r="H265" s="50">
        <f t="shared" si="4"/>
        <v>59</v>
      </c>
    </row>
    <row r="266" spans="1:8" ht="25.5" x14ac:dyDescent="0.2">
      <c r="A266" s="14" t="s">
        <v>298</v>
      </c>
      <c r="B266" s="6" t="s">
        <v>300</v>
      </c>
      <c r="C266" s="12">
        <v>3</v>
      </c>
      <c r="D266" s="7">
        <v>35.062727299999999</v>
      </c>
      <c r="E266" s="15">
        <v>4</v>
      </c>
      <c r="F266" s="19">
        <v>1.80743602375</v>
      </c>
      <c r="G266" s="44">
        <v>59166</v>
      </c>
      <c r="H266" s="50">
        <f t="shared" si="4"/>
        <v>59</v>
      </c>
    </row>
    <row r="267" spans="1:8" ht="38.25" x14ac:dyDescent="0.2">
      <c r="A267" s="14" t="s">
        <v>8</v>
      </c>
      <c r="B267" s="6" t="s">
        <v>38</v>
      </c>
      <c r="C267" s="12">
        <v>3</v>
      </c>
      <c r="D267" s="7">
        <v>170.94</v>
      </c>
      <c r="E267" s="15">
        <v>1</v>
      </c>
      <c r="F267" s="19">
        <v>0.57661752661999999</v>
      </c>
      <c r="G267" s="44">
        <v>60126</v>
      </c>
      <c r="H267" s="50">
        <f t="shared" si="4"/>
        <v>60</v>
      </c>
    </row>
    <row r="268" spans="1:8" ht="38.25" x14ac:dyDescent="0.2">
      <c r="A268" s="14" t="s">
        <v>291</v>
      </c>
      <c r="B268" s="6" t="s">
        <v>292</v>
      </c>
      <c r="C268" s="12">
        <v>3</v>
      </c>
      <c r="D268" s="7">
        <v>27.894666699999998</v>
      </c>
      <c r="E268" s="15">
        <v>10</v>
      </c>
      <c r="F268" s="19">
        <v>0.70687347640999998</v>
      </c>
      <c r="G268" s="44">
        <v>63000</v>
      </c>
      <c r="H268" s="50">
        <f t="shared" si="4"/>
        <v>63</v>
      </c>
    </row>
    <row r="269" spans="1:8" ht="38.25" x14ac:dyDescent="0.2">
      <c r="A269" s="14" t="s">
        <v>8</v>
      </c>
      <c r="B269" s="6" t="s">
        <v>30</v>
      </c>
      <c r="C269" s="12">
        <v>3</v>
      </c>
      <c r="D269" s="7">
        <v>28.86</v>
      </c>
      <c r="E269" s="15">
        <v>2</v>
      </c>
      <c r="F269" s="19">
        <v>0.33906791406999998</v>
      </c>
      <c r="G269" s="44">
        <v>63000</v>
      </c>
      <c r="H269" s="50">
        <f t="shared" si="4"/>
        <v>63</v>
      </c>
    </row>
    <row r="270" spans="1:8" ht="25.5" x14ac:dyDescent="0.2">
      <c r="A270" s="14" t="s">
        <v>291</v>
      </c>
      <c r="B270" s="6" t="s">
        <v>296</v>
      </c>
      <c r="C270" s="12">
        <v>3</v>
      </c>
      <c r="D270" s="7">
        <v>99.221818200000001</v>
      </c>
      <c r="E270" s="15">
        <v>14</v>
      </c>
      <c r="F270" s="19">
        <v>0.42840650882999998</v>
      </c>
      <c r="G270" s="44">
        <v>63000</v>
      </c>
      <c r="H270" s="50">
        <f t="shared" si="4"/>
        <v>63</v>
      </c>
    </row>
    <row r="271" spans="1:8" ht="38.25" x14ac:dyDescent="0.2">
      <c r="A271" s="14" t="s">
        <v>291</v>
      </c>
      <c r="B271" s="6" t="s">
        <v>295</v>
      </c>
      <c r="C271" s="12">
        <v>3</v>
      </c>
      <c r="D271" s="7">
        <v>106.23520000000001</v>
      </c>
      <c r="E271" s="15">
        <v>17</v>
      </c>
      <c r="F271" s="19">
        <v>0.38410357396</v>
      </c>
      <c r="G271" s="44">
        <v>63000</v>
      </c>
      <c r="H271" s="50">
        <f t="shared" si="4"/>
        <v>63</v>
      </c>
    </row>
    <row r="272" spans="1:8" ht="25.5" x14ac:dyDescent="0.2">
      <c r="A272" s="14" t="s">
        <v>460</v>
      </c>
      <c r="B272" s="6" t="s">
        <v>296</v>
      </c>
      <c r="C272" s="12">
        <v>3</v>
      </c>
      <c r="D272" s="7">
        <v>118.24</v>
      </c>
      <c r="E272" s="15">
        <v>1</v>
      </c>
      <c r="F272" s="19">
        <v>0.53535182679000004</v>
      </c>
      <c r="G272" s="44">
        <v>63000</v>
      </c>
      <c r="H272" s="50">
        <f t="shared" si="4"/>
        <v>63</v>
      </c>
    </row>
    <row r="273" spans="1:8" ht="38.25" x14ac:dyDescent="0.2">
      <c r="A273" s="14" t="s">
        <v>460</v>
      </c>
      <c r="B273" s="6" t="s">
        <v>295</v>
      </c>
      <c r="C273" s="12">
        <v>3</v>
      </c>
      <c r="D273" s="7">
        <v>218.47</v>
      </c>
      <c r="E273" s="15">
        <v>1</v>
      </c>
      <c r="F273" s="19">
        <v>0.28974229871000001</v>
      </c>
      <c r="G273" s="44">
        <v>63000</v>
      </c>
      <c r="H273" s="50">
        <f t="shared" si="4"/>
        <v>63</v>
      </c>
    </row>
    <row r="274" spans="1:8" ht="25.5" x14ac:dyDescent="0.2">
      <c r="A274" s="14" t="s">
        <v>291</v>
      </c>
      <c r="B274" s="6" t="s">
        <v>133</v>
      </c>
      <c r="C274" s="12">
        <v>3</v>
      </c>
      <c r="D274" s="7">
        <v>316.72000000000003</v>
      </c>
      <c r="E274" s="15">
        <v>1</v>
      </c>
      <c r="F274" s="19">
        <v>0.24033373326999999</v>
      </c>
      <c r="G274" s="44">
        <v>63000</v>
      </c>
      <c r="H274" s="50">
        <f t="shared" si="4"/>
        <v>63</v>
      </c>
    </row>
    <row r="275" spans="1:8" ht="38.25" x14ac:dyDescent="0.2">
      <c r="A275" s="14" t="s">
        <v>460</v>
      </c>
      <c r="B275" s="6" t="s">
        <v>293</v>
      </c>
      <c r="C275" s="12">
        <v>3</v>
      </c>
      <c r="D275" s="7">
        <v>77.44</v>
      </c>
      <c r="E275" s="15">
        <v>1</v>
      </c>
      <c r="F275" s="19">
        <v>0.81740702479000005</v>
      </c>
      <c r="G275" s="44">
        <v>63400</v>
      </c>
      <c r="H275" s="50">
        <f t="shared" si="4"/>
        <v>63</v>
      </c>
    </row>
    <row r="276" spans="1:8" ht="38.25" x14ac:dyDescent="0.2">
      <c r="A276" s="14" t="s">
        <v>291</v>
      </c>
      <c r="B276" s="6" t="s">
        <v>293</v>
      </c>
      <c r="C276" s="12">
        <v>3</v>
      </c>
      <c r="D276" s="7">
        <v>81.228800000000007</v>
      </c>
      <c r="E276" s="15">
        <v>17</v>
      </c>
      <c r="F276" s="19">
        <v>0.24936968169000001</v>
      </c>
      <c r="G276" s="44">
        <v>63400</v>
      </c>
      <c r="H276" s="50">
        <f t="shared" si="4"/>
        <v>63</v>
      </c>
    </row>
    <row r="277" spans="1:8" ht="25.5" x14ac:dyDescent="0.2">
      <c r="A277" s="14" t="s">
        <v>489</v>
      </c>
      <c r="B277" s="6" t="s">
        <v>523</v>
      </c>
      <c r="C277" s="12">
        <v>3</v>
      </c>
      <c r="D277" s="7">
        <v>16.78</v>
      </c>
      <c r="E277" s="15">
        <v>7</v>
      </c>
      <c r="F277" s="19">
        <v>0.16999829728999999</v>
      </c>
      <c r="G277" s="44">
        <v>64000</v>
      </c>
      <c r="H277" s="50">
        <f t="shared" si="4"/>
        <v>64</v>
      </c>
    </row>
    <row r="278" spans="1:8" ht="38.25" x14ac:dyDescent="0.2">
      <c r="A278" s="14" t="s">
        <v>8</v>
      </c>
      <c r="B278" s="6" t="s">
        <v>35</v>
      </c>
      <c r="C278" s="12">
        <v>3</v>
      </c>
      <c r="D278" s="7">
        <v>19.059999999999999</v>
      </c>
      <c r="E278" s="15">
        <v>1</v>
      </c>
      <c r="F278" s="19">
        <v>0.33882476389999999</v>
      </c>
      <c r="G278" s="44">
        <v>64000</v>
      </c>
      <c r="H278" s="50">
        <f t="shared" si="4"/>
        <v>64</v>
      </c>
    </row>
    <row r="279" spans="1:8" ht="38.25" x14ac:dyDescent="0.2">
      <c r="A279" s="14" t="s">
        <v>489</v>
      </c>
      <c r="B279" s="6" t="s">
        <v>35</v>
      </c>
      <c r="C279" s="12">
        <v>3</v>
      </c>
      <c r="D279" s="7">
        <v>23.754999999999999</v>
      </c>
      <c r="E279" s="15">
        <v>4</v>
      </c>
      <c r="F279" s="19">
        <v>0.17000631446</v>
      </c>
      <c r="G279" s="44">
        <v>64000</v>
      </c>
      <c r="H279" s="50">
        <f t="shared" si="4"/>
        <v>64</v>
      </c>
    </row>
    <row r="280" spans="1:8" ht="38.25" x14ac:dyDescent="0.2">
      <c r="A280" s="14" t="s">
        <v>489</v>
      </c>
      <c r="B280" s="6" t="s">
        <v>524</v>
      </c>
      <c r="C280" s="12">
        <v>3</v>
      </c>
      <c r="D280" s="7">
        <v>15.165714299999999</v>
      </c>
      <c r="E280" s="15">
        <v>7</v>
      </c>
      <c r="F280" s="19">
        <v>0.16999811605000001</v>
      </c>
      <c r="G280" s="44">
        <v>64600</v>
      </c>
      <c r="H280" s="50">
        <f t="shared" si="4"/>
        <v>64</v>
      </c>
    </row>
    <row r="281" spans="1:8" ht="25.5" x14ac:dyDescent="0.2">
      <c r="A281" s="14" t="s">
        <v>593</v>
      </c>
      <c r="B281" s="6" t="s">
        <v>595</v>
      </c>
      <c r="C281" s="12">
        <v>3</v>
      </c>
      <c r="D281" s="7">
        <v>424.75</v>
      </c>
      <c r="E281" s="15">
        <v>8</v>
      </c>
      <c r="F281" s="19">
        <v>0.20220718068999999</v>
      </c>
      <c r="G281" s="44">
        <v>65000</v>
      </c>
      <c r="H281" s="50">
        <f t="shared" si="4"/>
        <v>65</v>
      </c>
    </row>
    <row r="282" spans="1:8" ht="25.5" x14ac:dyDescent="0.2">
      <c r="A282" s="14" t="s">
        <v>489</v>
      </c>
      <c r="B282" s="6" t="s">
        <v>497</v>
      </c>
      <c r="C282" s="16">
        <v>3</v>
      </c>
      <c r="D282" s="7">
        <v>47.057499999999997</v>
      </c>
      <c r="E282" s="15">
        <v>4</v>
      </c>
      <c r="F282" s="19">
        <v>0.17000478138</v>
      </c>
      <c r="G282" s="44">
        <v>66210</v>
      </c>
      <c r="H282" s="50">
        <f t="shared" si="4"/>
        <v>66</v>
      </c>
    </row>
    <row r="283" spans="1:8" ht="25.5" x14ac:dyDescent="0.2">
      <c r="A283" s="14" t="s">
        <v>112</v>
      </c>
      <c r="B283" s="6" t="s">
        <v>97</v>
      </c>
      <c r="C283" s="12">
        <v>3</v>
      </c>
      <c r="D283" s="7">
        <v>526.47611110000003</v>
      </c>
      <c r="E283" s="15">
        <v>5</v>
      </c>
      <c r="F283" s="19">
        <v>9.2209312020000003E-2</v>
      </c>
      <c r="G283" s="44">
        <v>68000</v>
      </c>
      <c r="H283" s="50">
        <f t="shared" si="4"/>
        <v>68</v>
      </c>
    </row>
    <row r="284" spans="1:8" ht="38.25" x14ac:dyDescent="0.2">
      <c r="A284" s="14" t="s">
        <v>604</v>
      </c>
      <c r="B284" s="6" t="s">
        <v>126</v>
      </c>
      <c r="C284" s="12">
        <v>3</v>
      </c>
      <c r="D284" s="7">
        <v>22.831428599999999</v>
      </c>
      <c r="E284" s="15">
        <v>14</v>
      </c>
      <c r="F284" s="19">
        <v>1.0969361364900001</v>
      </c>
      <c r="G284" s="44">
        <v>69000</v>
      </c>
      <c r="H284" s="50">
        <f t="shared" si="4"/>
        <v>69</v>
      </c>
    </row>
    <row r="285" spans="1:8" ht="38.25" x14ac:dyDescent="0.2">
      <c r="A285" s="14" t="s">
        <v>556</v>
      </c>
      <c r="B285" s="6" t="s">
        <v>137</v>
      </c>
      <c r="C285" s="16">
        <v>3</v>
      </c>
      <c r="D285" s="7">
        <v>36.159999999999997</v>
      </c>
      <c r="E285" s="15">
        <v>2</v>
      </c>
      <c r="F285" s="19">
        <v>0.29051438053</v>
      </c>
      <c r="G285" s="44">
        <v>69000</v>
      </c>
      <c r="H285" s="50">
        <f t="shared" si="4"/>
        <v>69</v>
      </c>
    </row>
    <row r="286" spans="1:8" ht="38.25" x14ac:dyDescent="0.2">
      <c r="A286" s="14" t="s">
        <v>134</v>
      </c>
      <c r="B286" s="6" t="s">
        <v>137</v>
      </c>
      <c r="C286" s="16">
        <v>3</v>
      </c>
      <c r="D286" s="7">
        <v>43.361538500000002</v>
      </c>
      <c r="E286" s="15">
        <v>5</v>
      </c>
      <c r="F286" s="19">
        <v>0.34964874933000001</v>
      </c>
      <c r="G286" s="44">
        <v>69000</v>
      </c>
      <c r="H286" s="50">
        <f t="shared" si="4"/>
        <v>69</v>
      </c>
    </row>
    <row r="287" spans="1:8" x14ac:dyDescent="0.2">
      <c r="A287" s="14" t="s">
        <v>556</v>
      </c>
      <c r="B287" s="6" t="s">
        <v>143</v>
      </c>
      <c r="C287" s="12">
        <v>3</v>
      </c>
      <c r="D287" s="7">
        <v>257.15466670000001</v>
      </c>
      <c r="E287" s="15">
        <v>12</v>
      </c>
      <c r="F287" s="19">
        <v>0.19551605778</v>
      </c>
      <c r="G287" s="44">
        <v>69002</v>
      </c>
      <c r="H287" s="50">
        <f t="shared" si="4"/>
        <v>69</v>
      </c>
    </row>
    <row r="288" spans="1:8" x14ac:dyDescent="0.2">
      <c r="A288" s="14" t="s">
        <v>134</v>
      </c>
      <c r="B288" s="6" t="s">
        <v>143</v>
      </c>
      <c r="C288" s="12">
        <v>3</v>
      </c>
      <c r="D288" s="7">
        <v>261.30428569999998</v>
      </c>
      <c r="E288" s="15">
        <v>3</v>
      </c>
      <c r="F288" s="19">
        <v>0.18042402671999999</v>
      </c>
      <c r="G288" s="44">
        <v>69002</v>
      </c>
      <c r="H288" s="50">
        <f t="shared" si="4"/>
        <v>69</v>
      </c>
    </row>
    <row r="289" spans="1:8" x14ac:dyDescent="0.2">
      <c r="A289" s="14" t="s">
        <v>134</v>
      </c>
      <c r="B289" s="6" t="s">
        <v>152</v>
      </c>
      <c r="C289" s="16">
        <v>3</v>
      </c>
      <c r="D289" s="7">
        <v>45.466666699999998</v>
      </c>
      <c r="E289" s="15">
        <v>6</v>
      </c>
      <c r="F289" s="19">
        <v>0.36056744868000001</v>
      </c>
      <c r="G289" s="44">
        <v>69006</v>
      </c>
      <c r="H289" s="50">
        <f t="shared" si="4"/>
        <v>69</v>
      </c>
    </row>
    <row r="290" spans="1:8" ht="38.25" x14ac:dyDescent="0.2">
      <c r="A290" s="14" t="s">
        <v>134</v>
      </c>
      <c r="B290" s="6" t="s">
        <v>153</v>
      </c>
      <c r="C290" s="12">
        <v>3</v>
      </c>
      <c r="D290" s="7">
        <v>117.19</v>
      </c>
      <c r="E290" s="15">
        <v>1</v>
      </c>
      <c r="F290" s="19">
        <v>0.22654663367</v>
      </c>
      <c r="G290" s="44">
        <v>69100</v>
      </c>
      <c r="H290" s="50">
        <f t="shared" si="4"/>
        <v>69</v>
      </c>
    </row>
    <row r="291" spans="1:8" ht="38.25" x14ac:dyDescent="0.2">
      <c r="A291" s="14" t="s">
        <v>134</v>
      </c>
      <c r="B291" s="6" t="s">
        <v>159</v>
      </c>
      <c r="C291" s="12">
        <v>3</v>
      </c>
      <c r="D291" s="7">
        <v>268.8</v>
      </c>
      <c r="E291" s="15">
        <v>1</v>
      </c>
      <c r="F291" s="19">
        <v>0.21901971726</v>
      </c>
      <c r="G291" s="44">
        <v>69490</v>
      </c>
      <c r="H291" s="50">
        <f t="shared" si="4"/>
        <v>69</v>
      </c>
    </row>
    <row r="292" spans="1:8" ht="38.25" x14ac:dyDescent="0.2">
      <c r="A292" s="14" t="s">
        <v>160</v>
      </c>
      <c r="B292" s="6" t="s">
        <v>159</v>
      </c>
      <c r="C292" s="16">
        <v>3</v>
      </c>
      <c r="D292" s="7">
        <v>405.65</v>
      </c>
      <c r="E292" s="15">
        <v>2</v>
      </c>
      <c r="F292" s="19">
        <v>0.22401207938000001</v>
      </c>
      <c r="G292" s="44">
        <v>69490</v>
      </c>
      <c r="H292" s="50">
        <f t="shared" si="4"/>
        <v>69</v>
      </c>
    </row>
    <row r="293" spans="1:8" ht="25.5" x14ac:dyDescent="0.2">
      <c r="A293" s="14" t="s">
        <v>160</v>
      </c>
      <c r="B293" s="6" t="s">
        <v>158</v>
      </c>
      <c r="C293" s="12">
        <v>3</v>
      </c>
      <c r="D293" s="7">
        <v>394.12</v>
      </c>
      <c r="E293" s="15">
        <v>30</v>
      </c>
      <c r="F293" s="19">
        <v>0.2242395717</v>
      </c>
      <c r="G293" s="44">
        <v>69530</v>
      </c>
      <c r="H293" s="50">
        <f t="shared" si="4"/>
        <v>69</v>
      </c>
    </row>
    <row r="294" spans="1:8" ht="25.5" x14ac:dyDescent="0.2">
      <c r="A294" s="14" t="s">
        <v>134</v>
      </c>
      <c r="B294" s="6" t="s">
        <v>158</v>
      </c>
      <c r="C294" s="12">
        <v>3</v>
      </c>
      <c r="D294" s="7">
        <v>470.21</v>
      </c>
      <c r="E294" s="15">
        <v>1</v>
      </c>
      <c r="F294" s="19">
        <v>0.21652559495000001</v>
      </c>
      <c r="G294" s="44">
        <v>69530</v>
      </c>
      <c r="H294" s="50">
        <f t="shared" si="4"/>
        <v>69</v>
      </c>
    </row>
    <row r="295" spans="1:8" ht="25.5" x14ac:dyDescent="0.2">
      <c r="A295" s="14" t="s">
        <v>556</v>
      </c>
      <c r="B295" s="6" t="s">
        <v>557</v>
      </c>
      <c r="C295" s="12">
        <v>3</v>
      </c>
      <c r="D295" s="7">
        <v>37.006666699999997</v>
      </c>
      <c r="E295" s="15">
        <v>2</v>
      </c>
      <c r="F295" s="19">
        <v>0.37849036209999998</v>
      </c>
      <c r="G295" s="44">
        <v>69890</v>
      </c>
      <c r="H295" s="50">
        <f t="shared" si="4"/>
        <v>69</v>
      </c>
    </row>
    <row r="296" spans="1:8" x14ac:dyDescent="0.2">
      <c r="A296" s="14" t="s">
        <v>134</v>
      </c>
      <c r="B296" s="6" t="s">
        <v>142</v>
      </c>
      <c r="C296" s="16">
        <v>3</v>
      </c>
      <c r="D296" s="7">
        <v>20.1166667</v>
      </c>
      <c r="E296" s="15">
        <v>4</v>
      </c>
      <c r="F296" s="19">
        <v>0.74829605080999995</v>
      </c>
      <c r="G296" s="44">
        <v>69960</v>
      </c>
      <c r="H296" s="50">
        <f t="shared" si="4"/>
        <v>69</v>
      </c>
    </row>
    <row r="297" spans="1:8" x14ac:dyDescent="0.2">
      <c r="A297" s="14" t="s">
        <v>556</v>
      </c>
      <c r="B297" s="6" t="s">
        <v>142</v>
      </c>
      <c r="C297" s="12">
        <v>3</v>
      </c>
      <c r="D297" s="7">
        <v>28.702000000000002</v>
      </c>
      <c r="E297" s="15">
        <v>12</v>
      </c>
      <c r="F297" s="19">
        <v>0.56494320952999999</v>
      </c>
      <c r="G297" s="44">
        <v>69960</v>
      </c>
      <c r="H297" s="50">
        <f t="shared" si="4"/>
        <v>69</v>
      </c>
    </row>
    <row r="298" spans="1:8" ht="25.5" x14ac:dyDescent="0.2">
      <c r="A298" s="14" t="s">
        <v>160</v>
      </c>
      <c r="B298" s="6" t="s">
        <v>138</v>
      </c>
      <c r="C298" s="16">
        <v>3</v>
      </c>
      <c r="D298" s="7">
        <v>127.83666669999999</v>
      </c>
      <c r="E298" s="15">
        <v>9</v>
      </c>
      <c r="F298" s="19">
        <v>0.24072470947999999</v>
      </c>
      <c r="G298" s="44">
        <v>69960</v>
      </c>
      <c r="H298" s="50">
        <f t="shared" si="4"/>
        <v>69</v>
      </c>
    </row>
    <row r="299" spans="1:8" ht="25.5" x14ac:dyDescent="0.2">
      <c r="A299" s="14" t="s">
        <v>604</v>
      </c>
      <c r="B299" s="6" t="s">
        <v>124</v>
      </c>
      <c r="C299" s="12">
        <v>3</v>
      </c>
      <c r="D299" s="7">
        <v>19.3704</v>
      </c>
      <c r="E299" s="15">
        <v>17</v>
      </c>
      <c r="F299" s="19">
        <v>1.2149238012600001</v>
      </c>
      <c r="G299" s="44">
        <v>71000</v>
      </c>
      <c r="H299" s="50">
        <f t="shared" si="4"/>
        <v>71</v>
      </c>
    </row>
    <row r="300" spans="1:8" ht="38.25" x14ac:dyDescent="0.2">
      <c r="A300" s="14" t="s">
        <v>291</v>
      </c>
      <c r="B300" s="6" t="s">
        <v>181</v>
      </c>
      <c r="C300" s="12">
        <v>3</v>
      </c>
      <c r="D300" s="7">
        <v>136.96250000000001</v>
      </c>
      <c r="E300" s="15">
        <v>3</v>
      </c>
      <c r="F300" s="19">
        <v>0.37653919869000002</v>
      </c>
      <c r="G300" s="44">
        <v>71000</v>
      </c>
      <c r="H300" s="50">
        <f t="shared" si="4"/>
        <v>71</v>
      </c>
    </row>
    <row r="301" spans="1:8" ht="38.25" x14ac:dyDescent="0.2">
      <c r="A301" s="14" t="s">
        <v>160</v>
      </c>
      <c r="B301" s="6" t="s">
        <v>181</v>
      </c>
      <c r="C301" s="12">
        <v>3</v>
      </c>
      <c r="D301" s="7">
        <v>192.8</v>
      </c>
      <c r="E301" s="15">
        <v>4</v>
      </c>
      <c r="F301" s="19">
        <v>0.34523729253000002</v>
      </c>
      <c r="G301" s="44">
        <v>71000</v>
      </c>
      <c r="H301" s="50">
        <f t="shared" si="4"/>
        <v>71</v>
      </c>
    </row>
    <row r="302" spans="1:8" ht="25.5" x14ac:dyDescent="0.2">
      <c r="A302" s="14" t="s">
        <v>134</v>
      </c>
      <c r="B302" s="6" t="s">
        <v>157</v>
      </c>
      <c r="C302" s="16">
        <v>3</v>
      </c>
      <c r="D302" s="7">
        <v>201.15937500000001</v>
      </c>
      <c r="E302" s="15">
        <v>7</v>
      </c>
      <c r="F302" s="19">
        <v>9.2861692379999999E-2</v>
      </c>
      <c r="G302" s="44">
        <v>73000</v>
      </c>
      <c r="H302" s="50">
        <f t="shared" si="4"/>
        <v>73</v>
      </c>
    </row>
    <row r="303" spans="1:8" ht="25.5" x14ac:dyDescent="0.2">
      <c r="A303" s="14" t="s">
        <v>556</v>
      </c>
      <c r="B303" s="6" t="s">
        <v>140</v>
      </c>
      <c r="C303" s="12">
        <v>3</v>
      </c>
      <c r="D303" s="7">
        <v>207.28555560000001</v>
      </c>
      <c r="E303" s="15">
        <v>19</v>
      </c>
      <c r="F303" s="19">
        <v>0.18085446627999999</v>
      </c>
      <c r="G303" s="44">
        <v>73000</v>
      </c>
      <c r="H303" s="50">
        <f t="shared" si="4"/>
        <v>73</v>
      </c>
    </row>
    <row r="304" spans="1:8" ht="25.5" x14ac:dyDescent="0.2">
      <c r="A304" s="5" t="s">
        <v>556</v>
      </c>
      <c r="B304" s="6" t="s">
        <v>157</v>
      </c>
      <c r="C304" s="12">
        <v>3</v>
      </c>
      <c r="D304" s="7">
        <v>239.39388890000001</v>
      </c>
      <c r="E304" s="15">
        <v>14</v>
      </c>
      <c r="F304" s="19">
        <v>0.17800695739</v>
      </c>
      <c r="G304" s="44">
        <v>73000</v>
      </c>
      <c r="H304" s="50">
        <f t="shared" si="4"/>
        <v>73</v>
      </c>
    </row>
    <row r="305" spans="1:8" ht="25.5" x14ac:dyDescent="0.2">
      <c r="A305" s="14" t="s">
        <v>134</v>
      </c>
      <c r="B305" s="6" t="s">
        <v>140</v>
      </c>
      <c r="C305" s="12">
        <v>3</v>
      </c>
      <c r="D305" s="7">
        <v>245.00388889999999</v>
      </c>
      <c r="E305" s="15">
        <v>7</v>
      </c>
      <c r="F305" s="19">
        <v>0.18865188081000001</v>
      </c>
      <c r="G305" s="44">
        <v>73000</v>
      </c>
      <c r="H305" s="50">
        <f t="shared" si="4"/>
        <v>73</v>
      </c>
    </row>
    <row r="306" spans="1:8" ht="25.5" x14ac:dyDescent="0.2">
      <c r="A306" s="14" t="s">
        <v>8</v>
      </c>
      <c r="B306" s="6" t="s">
        <v>14</v>
      </c>
      <c r="C306" s="16">
        <v>3</v>
      </c>
      <c r="D306" s="7">
        <v>51.42</v>
      </c>
      <c r="E306" s="15">
        <v>1</v>
      </c>
      <c r="F306" s="19">
        <v>1.0184753014400001</v>
      </c>
      <c r="G306" s="44">
        <v>73120</v>
      </c>
      <c r="H306" s="50">
        <f t="shared" si="4"/>
        <v>73</v>
      </c>
    </row>
    <row r="307" spans="1:8" ht="38.25" x14ac:dyDescent="0.2">
      <c r="A307" s="14" t="s">
        <v>8</v>
      </c>
      <c r="B307" s="6" t="s">
        <v>81</v>
      </c>
      <c r="C307" s="12">
        <v>3</v>
      </c>
      <c r="D307" s="7">
        <v>73.239999999999995</v>
      </c>
      <c r="E307" s="15">
        <v>1</v>
      </c>
      <c r="F307" s="19">
        <v>0.54423812125000004</v>
      </c>
      <c r="G307" s="44">
        <v>73440</v>
      </c>
      <c r="H307" s="50">
        <f t="shared" si="4"/>
        <v>73</v>
      </c>
    </row>
    <row r="308" spans="1:8" ht="25.5" x14ac:dyDescent="0.2">
      <c r="A308" s="14" t="s">
        <v>556</v>
      </c>
      <c r="B308" s="6" t="s">
        <v>149</v>
      </c>
      <c r="C308" s="16">
        <v>3</v>
      </c>
      <c r="D308" s="7">
        <v>41.123181799999998</v>
      </c>
      <c r="E308" s="15">
        <v>13</v>
      </c>
      <c r="F308" s="19">
        <v>0.37796642017999998</v>
      </c>
      <c r="G308" s="44">
        <v>74000</v>
      </c>
      <c r="H308" s="50">
        <f t="shared" si="4"/>
        <v>74</v>
      </c>
    </row>
    <row r="309" spans="1:8" ht="38.25" x14ac:dyDescent="0.2">
      <c r="A309" s="14" t="s">
        <v>103</v>
      </c>
      <c r="B309" s="6" t="s">
        <v>108</v>
      </c>
      <c r="C309" s="12">
        <v>3</v>
      </c>
      <c r="D309" s="7">
        <v>19.758749999999999</v>
      </c>
      <c r="E309" s="15">
        <v>14</v>
      </c>
      <c r="F309" s="19">
        <v>0.30885050927000002</v>
      </c>
      <c r="G309" s="44">
        <v>75000</v>
      </c>
      <c r="H309" s="50">
        <f t="shared" si="4"/>
        <v>75</v>
      </c>
    </row>
    <row r="310" spans="1:8" ht="38.25" x14ac:dyDescent="0.2">
      <c r="A310" s="14" t="s">
        <v>103</v>
      </c>
      <c r="B310" s="6" t="s">
        <v>105</v>
      </c>
      <c r="C310" s="16">
        <v>3</v>
      </c>
      <c r="D310" s="7">
        <v>19.891666699999998</v>
      </c>
      <c r="E310" s="15">
        <v>4</v>
      </c>
      <c r="F310" s="19">
        <v>0.818098031</v>
      </c>
      <c r="G310" s="44">
        <v>75000</v>
      </c>
      <c r="H310" s="50">
        <f t="shared" si="4"/>
        <v>75</v>
      </c>
    </row>
    <row r="311" spans="1:8" ht="38.25" x14ac:dyDescent="0.2">
      <c r="A311" s="14" t="s">
        <v>604</v>
      </c>
      <c r="B311" s="6" t="s">
        <v>105</v>
      </c>
      <c r="C311" s="12">
        <v>3</v>
      </c>
      <c r="D311" s="7">
        <v>20.34</v>
      </c>
      <c r="E311" s="15">
        <v>3</v>
      </c>
      <c r="F311" s="19">
        <v>1.3517600786599999</v>
      </c>
      <c r="G311" s="44">
        <v>75000</v>
      </c>
      <c r="H311" s="50">
        <f t="shared" si="4"/>
        <v>75</v>
      </c>
    </row>
    <row r="312" spans="1:8" ht="38.25" x14ac:dyDescent="0.2">
      <c r="A312" s="14" t="s">
        <v>604</v>
      </c>
      <c r="B312" s="6" t="s">
        <v>108</v>
      </c>
      <c r="C312" s="16">
        <v>3</v>
      </c>
      <c r="D312" s="7">
        <v>26.832000000000001</v>
      </c>
      <c r="E312" s="15">
        <v>7</v>
      </c>
      <c r="F312" s="19">
        <v>0.92123956470000001</v>
      </c>
      <c r="G312" s="44">
        <v>75000</v>
      </c>
      <c r="H312" s="50">
        <f t="shared" si="4"/>
        <v>75</v>
      </c>
    </row>
    <row r="313" spans="1:8" ht="25.5" x14ac:dyDescent="0.2">
      <c r="A313" s="14" t="s">
        <v>604</v>
      </c>
      <c r="B313" s="6" t="s">
        <v>130</v>
      </c>
      <c r="C313" s="12">
        <v>3</v>
      </c>
      <c r="D313" s="7">
        <v>36.876666700000001</v>
      </c>
      <c r="E313" s="15">
        <v>18</v>
      </c>
      <c r="F313" s="19">
        <v>0.75910090692999999</v>
      </c>
      <c r="G313" s="44">
        <v>75000</v>
      </c>
      <c r="H313" s="50">
        <f t="shared" si="4"/>
        <v>75</v>
      </c>
    </row>
    <row r="314" spans="1:8" ht="25.5" x14ac:dyDescent="0.2">
      <c r="A314" s="14" t="s">
        <v>184</v>
      </c>
      <c r="B314" s="6" t="s">
        <v>238</v>
      </c>
      <c r="C314" s="12">
        <v>3</v>
      </c>
      <c r="D314" s="7">
        <v>42.385624999999997</v>
      </c>
      <c r="E314" s="15">
        <v>15</v>
      </c>
      <c r="F314" s="19">
        <v>0.11594241365000001</v>
      </c>
      <c r="G314" s="44">
        <v>75000</v>
      </c>
      <c r="H314" s="50">
        <f t="shared" si="4"/>
        <v>75</v>
      </c>
    </row>
    <row r="315" spans="1:8" ht="38.25" x14ac:dyDescent="0.2">
      <c r="A315" s="14" t="s">
        <v>184</v>
      </c>
      <c r="B315" s="6" t="s">
        <v>252</v>
      </c>
      <c r="C315" s="12">
        <v>3</v>
      </c>
      <c r="D315" s="7">
        <v>45.9755556</v>
      </c>
      <c r="E315" s="15">
        <v>9</v>
      </c>
      <c r="F315" s="19">
        <v>9.8952744610000004E-2</v>
      </c>
      <c r="G315" s="44">
        <v>75000</v>
      </c>
      <c r="H315" s="50">
        <f t="shared" si="4"/>
        <v>75</v>
      </c>
    </row>
    <row r="316" spans="1:8" ht="25.5" x14ac:dyDescent="0.2">
      <c r="A316" s="14" t="s">
        <v>184</v>
      </c>
      <c r="B316" s="6" t="s">
        <v>259</v>
      </c>
      <c r="C316" s="12">
        <v>3</v>
      </c>
      <c r="D316" s="7">
        <v>73.483636399999995</v>
      </c>
      <c r="E316" s="15">
        <v>17</v>
      </c>
      <c r="F316" s="19">
        <v>9.7265192E-2</v>
      </c>
      <c r="G316" s="44">
        <v>75000</v>
      </c>
      <c r="H316" s="50">
        <f t="shared" si="4"/>
        <v>75</v>
      </c>
    </row>
    <row r="317" spans="1:8" ht="25.5" x14ac:dyDescent="0.2">
      <c r="A317" s="14" t="s">
        <v>184</v>
      </c>
      <c r="B317" s="6" t="s">
        <v>258</v>
      </c>
      <c r="C317" s="12">
        <v>3</v>
      </c>
      <c r="D317" s="7">
        <v>87.320363599999993</v>
      </c>
      <c r="E317" s="15">
        <v>17</v>
      </c>
      <c r="F317" s="19">
        <v>9.1965427200000005E-2</v>
      </c>
      <c r="G317" s="44">
        <v>75000</v>
      </c>
      <c r="H317" s="50">
        <f t="shared" si="4"/>
        <v>75</v>
      </c>
    </row>
    <row r="318" spans="1:8" ht="38.25" x14ac:dyDescent="0.2">
      <c r="A318" s="14" t="s">
        <v>184</v>
      </c>
      <c r="B318" s="6" t="s">
        <v>247</v>
      </c>
      <c r="C318" s="12">
        <v>3</v>
      </c>
      <c r="D318" s="7">
        <v>158.8077778</v>
      </c>
      <c r="E318" s="15">
        <v>9</v>
      </c>
      <c r="F318" s="19">
        <v>8.2884969249999996E-2</v>
      </c>
      <c r="G318" s="44">
        <v>75000</v>
      </c>
      <c r="H318" s="50">
        <f t="shared" si="4"/>
        <v>75</v>
      </c>
    </row>
    <row r="319" spans="1:8" ht="25.5" x14ac:dyDescent="0.2">
      <c r="A319" s="14" t="s">
        <v>184</v>
      </c>
      <c r="B319" s="6" t="s">
        <v>277</v>
      </c>
      <c r="C319" s="12">
        <v>3</v>
      </c>
      <c r="D319" s="7">
        <v>261.3690909</v>
      </c>
      <c r="E319" s="15">
        <v>10</v>
      </c>
      <c r="F319" s="19">
        <v>8.0315889060000006E-2</v>
      </c>
      <c r="G319" s="44">
        <v>75000</v>
      </c>
      <c r="H319" s="50">
        <f t="shared" si="4"/>
        <v>75</v>
      </c>
    </row>
    <row r="320" spans="1:8" ht="38.25" x14ac:dyDescent="0.2">
      <c r="A320" s="14" t="s">
        <v>184</v>
      </c>
      <c r="B320" s="6" t="s">
        <v>265</v>
      </c>
      <c r="C320" s="12">
        <v>3</v>
      </c>
      <c r="D320" s="7">
        <v>276.89</v>
      </c>
      <c r="E320" s="15">
        <v>5</v>
      </c>
      <c r="F320" s="19">
        <v>8.5248515790000007E-2</v>
      </c>
      <c r="G320" s="44">
        <v>75000</v>
      </c>
      <c r="H320" s="50">
        <f t="shared" si="4"/>
        <v>75</v>
      </c>
    </row>
    <row r="321" spans="1:8" ht="38.25" x14ac:dyDescent="0.2">
      <c r="A321" s="14" t="s">
        <v>184</v>
      </c>
      <c r="B321" s="6" t="s">
        <v>203</v>
      </c>
      <c r="C321" s="12">
        <v>3</v>
      </c>
      <c r="D321" s="7">
        <v>97.4</v>
      </c>
      <c r="E321" s="15">
        <v>1</v>
      </c>
      <c r="F321" s="19">
        <v>8.7019164960000006E-2</v>
      </c>
      <c r="G321" s="44">
        <v>75005</v>
      </c>
      <c r="H321" s="50">
        <f t="shared" si="4"/>
        <v>75</v>
      </c>
    </row>
    <row r="322" spans="1:8" ht="38.25" x14ac:dyDescent="0.2">
      <c r="A322" s="14" t="s">
        <v>184</v>
      </c>
      <c r="B322" s="6" t="s">
        <v>223</v>
      </c>
      <c r="C322" s="12">
        <v>3</v>
      </c>
      <c r="D322" s="7">
        <v>183.5</v>
      </c>
      <c r="E322" s="15">
        <v>1</v>
      </c>
      <c r="F322" s="19">
        <v>8.2010899179999999E-2</v>
      </c>
      <c r="G322" s="44">
        <v>75005</v>
      </c>
      <c r="H322" s="50">
        <f t="shared" si="4"/>
        <v>75</v>
      </c>
    </row>
    <row r="323" spans="1:8" ht="25.5" x14ac:dyDescent="0.2">
      <c r="A323" s="14" t="s">
        <v>8</v>
      </c>
      <c r="B323" s="6" t="s">
        <v>11</v>
      </c>
      <c r="C323" s="12">
        <v>3</v>
      </c>
      <c r="D323" s="7">
        <v>32.21</v>
      </c>
      <c r="E323" s="15">
        <v>1</v>
      </c>
      <c r="F323" s="19">
        <v>1.7510090034200001</v>
      </c>
      <c r="G323" s="44">
        <v>75006</v>
      </c>
      <c r="H323" s="50">
        <f t="shared" ref="H323:H386" si="5">IF(LEN(G323)=4,VALUE(LEFT(G323,1)),VALUE(LEFT(G323,2)))</f>
        <v>75</v>
      </c>
    </row>
    <row r="324" spans="1:8" ht="38.25" x14ac:dyDescent="0.2">
      <c r="A324" s="14" t="s">
        <v>8</v>
      </c>
      <c r="B324" s="6" t="s">
        <v>20</v>
      </c>
      <c r="C324" s="12">
        <v>3</v>
      </c>
      <c r="D324" s="7">
        <v>48.56</v>
      </c>
      <c r="E324" s="15">
        <v>1</v>
      </c>
      <c r="F324" s="19">
        <v>1.2312602965399999</v>
      </c>
      <c r="G324" s="44">
        <v>75007</v>
      </c>
      <c r="H324" s="50">
        <f t="shared" si="5"/>
        <v>75</v>
      </c>
    </row>
    <row r="325" spans="1:8" ht="25.5" x14ac:dyDescent="0.2">
      <c r="A325" s="14" t="s">
        <v>184</v>
      </c>
      <c r="B325" s="6" t="s">
        <v>220</v>
      </c>
      <c r="C325" s="16">
        <v>3</v>
      </c>
      <c r="D325" s="7">
        <v>44.69</v>
      </c>
      <c r="E325" s="15">
        <v>4</v>
      </c>
      <c r="F325" s="19">
        <v>9.9617736999999998E-2</v>
      </c>
      <c r="G325" s="44">
        <v>75008</v>
      </c>
      <c r="H325" s="50">
        <f t="shared" si="5"/>
        <v>75</v>
      </c>
    </row>
    <row r="326" spans="1:8" ht="25.5" x14ac:dyDescent="0.2">
      <c r="A326" s="14" t="s">
        <v>184</v>
      </c>
      <c r="B326" s="6" t="s">
        <v>205</v>
      </c>
      <c r="C326" s="16">
        <v>3</v>
      </c>
      <c r="D326" s="7">
        <v>117.8</v>
      </c>
      <c r="E326" s="15">
        <v>8</v>
      </c>
      <c r="F326" s="19">
        <v>8.5164119979999994E-2</v>
      </c>
      <c r="G326" s="44">
        <v>75011</v>
      </c>
      <c r="H326" s="50">
        <f t="shared" si="5"/>
        <v>75</v>
      </c>
    </row>
    <row r="327" spans="1:8" ht="38.25" x14ac:dyDescent="0.2">
      <c r="A327" s="14" t="s">
        <v>184</v>
      </c>
      <c r="B327" s="6" t="s">
        <v>200</v>
      </c>
      <c r="C327" s="16">
        <v>3</v>
      </c>
      <c r="D327" s="7">
        <v>192.5</v>
      </c>
      <c r="E327" s="15">
        <v>1</v>
      </c>
      <c r="F327" s="19">
        <v>8.1747186149999998E-2</v>
      </c>
      <c r="G327" s="44">
        <v>75012</v>
      </c>
      <c r="H327" s="50">
        <f t="shared" si="5"/>
        <v>75</v>
      </c>
    </row>
    <row r="328" spans="1:8" ht="38.25" x14ac:dyDescent="0.2">
      <c r="A328" s="14" t="s">
        <v>184</v>
      </c>
      <c r="B328" s="6" t="s">
        <v>207</v>
      </c>
      <c r="C328" s="12">
        <v>3</v>
      </c>
      <c r="D328" s="7">
        <v>82.756799999999998</v>
      </c>
      <c r="E328" s="15">
        <v>9</v>
      </c>
      <c r="F328" s="19">
        <v>9.6499139649999996E-2</v>
      </c>
      <c r="G328" s="44">
        <v>75013</v>
      </c>
      <c r="H328" s="50">
        <f t="shared" si="5"/>
        <v>75</v>
      </c>
    </row>
    <row r="329" spans="1:8" ht="38.25" x14ac:dyDescent="0.2">
      <c r="A329" s="14" t="s">
        <v>184</v>
      </c>
      <c r="B329" s="6" t="s">
        <v>188</v>
      </c>
      <c r="C329" s="12">
        <v>3</v>
      </c>
      <c r="D329" s="7">
        <v>640.38466670000003</v>
      </c>
      <c r="E329" s="15">
        <v>15</v>
      </c>
      <c r="F329" s="19">
        <v>7.7960468899999996E-2</v>
      </c>
      <c r="G329" s="44">
        <v>75014</v>
      </c>
      <c r="H329" s="50">
        <f t="shared" si="5"/>
        <v>75</v>
      </c>
    </row>
    <row r="330" spans="1:8" ht="25.5" x14ac:dyDescent="0.2">
      <c r="A330" s="14" t="s">
        <v>8</v>
      </c>
      <c r="B330" s="6" t="s">
        <v>80</v>
      </c>
      <c r="C330" s="12">
        <v>3</v>
      </c>
      <c r="D330" s="7">
        <v>18.93</v>
      </c>
      <c r="E330" s="15">
        <v>1</v>
      </c>
      <c r="F330" s="19">
        <v>2.9793977812999999</v>
      </c>
      <c r="G330" s="44">
        <v>75015</v>
      </c>
      <c r="H330" s="50">
        <f t="shared" si="5"/>
        <v>75</v>
      </c>
    </row>
    <row r="331" spans="1:8" ht="38.25" x14ac:dyDescent="0.2">
      <c r="A331" s="14" t="s">
        <v>184</v>
      </c>
      <c r="B331" s="6" t="s">
        <v>195</v>
      </c>
      <c r="C331" s="16">
        <v>3</v>
      </c>
      <c r="D331" s="7">
        <v>94.8</v>
      </c>
      <c r="E331" s="15">
        <v>1</v>
      </c>
      <c r="F331" s="19">
        <v>8.7324191280000005E-2</v>
      </c>
      <c r="G331" s="44">
        <v>75015</v>
      </c>
      <c r="H331" s="50">
        <f t="shared" si="5"/>
        <v>75</v>
      </c>
    </row>
    <row r="332" spans="1:8" ht="38.25" x14ac:dyDescent="0.2">
      <c r="A332" s="14" t="s">
        <v>184</v>
      </c>
      <c r="B332" s="6" t="s">
        <v>222</v>
      </c>
      <c r="C332" s="12">
        <v>3</v>
      </c>
      <c r="D332" s="7">
        <v>95.4936364</v>
      </c>
      <c r="E332" s="15">
        <v>8</v>
      </c>
      <c r="F332" s="19">
        <v>9.8145045360000002E-2</v>
      </c>
      <c r="G332" s="44">
        <v>75015</v>
      </c>
      <c r="H332" s="50">
        <f t="shared" si="5"/>
        <v>75</v>
      </c>
    </row>
    <row r="333" spans="1:8" ht="25.5" x14ac:dyDescent="0.2">
      <c r="A333" s="14" t="s">
        <v>184</v>
      </c>
      <c r="B333" s="6" t="s">
        <v>213</v>
      </c>
      <c r="C333" s="12">
        <v>3</v>
      </c>
      <c r="D333" s="7">
        <v>249.8</v>
      </c>
      <c r="E333" s="15">
        <v>1</v>
      </c>
      <c r="F333" s="19">
        <v>8.0499065920000001E-2</v>
      </c>
      <c r="G333" s="44">
        <v>75015</v>
      </c>
      <c r="H333" s="50">
        <f t="shared" si="5"/>
        <v>75</v>
      </c>
    </row>
    <row r="334" spans="1:8" ht="38.25" x14ac:dyDescent="0.2">
      <c r="A334" s="14" t="s">
        <v>184</v>
      </c>
      <c r="B334" s="6" t="s">
        <v>186</v>
      </c>
      <c r="C334" s="12">
        <v>3</v>
      </c>
      <c r="D334" s="7">
        <v>92.253749999999997</v>
      </c>
      <c r="E334" s="15">
        <v>8</v>
      </c>
      <c r="F334" s="19">
        <v>8.7604388259999999E-2</v>
      </c>
      <c r="G334" s="44">
        <v>75016</v>
      </c>
      <c r="H334" s="50">
        <f t="shared" si="5"/>
        <v>75</v>
      </c>
    </row>
    <row r="335" spans="1:8" ht="38.25" x14ac:dyDescent="0.2">
      <c r="A335" s="14" t="s">
        <v>184</v>
      </c>
      <c r="B335" s="6" t="s">
        <v>210</v>
      </c>
      <c r="C335" s="16">
        <v>3</v>
      </c>
      <c r="D335" s="7">
        <v>57.018421099999998</v>
      </c>
      <c r="E335" s="15">
        <v>7</v>
      </c>
      <c r="F335" s="19">
        <v>0.11478192643</v>
      </c>
      <c r="G335" s="44">
        <v>75017</v>
      </c>
      <c r="H335" s="50">
        <f t="shared" si="5"/>
        <v>75</v>
      </c>
    </row>
    <row r="336" spans="1:8" ht="38.25" x14ac:dyDescent="0.2">
      <c r="A336" s="14" t="s">
        <v>184</v>
      </c>
      <c r="B336" s="6" t="s">
        <v>251</v>
      </c>
      <c r="C336" s="12">
        <v>3</v>
      </c>
      <c r="D336" s="7">
        <v>66.265000000000001</v>
      </c>
      <c r="E336" s="15">
        <v>17</v>
      </c>
      <c r="F336" s="19">
        <v>9.8440325179999996E-2</v>
      </c>
      <c r="G336" s="44">
        <v>75017</v>
      </c>
      <c r="H336" s="50">
        <f t="shared" si="5"/>
        <v>75</v>
      </c>
    </row>
    <row r="337" spans="1:8" ht="38.25" x14ac:dyDescent="0.2">
      <c r="A337" s="14" t="s">
        <v>280</v>
      </c>
      <c r="B337" s="6" t="s">
        <v>281</v>
      </c>
      <c r="C337" s="12">
        <v>3</v>
      </c>
      <c r="D337" s="7">
        <v>125.80214290000001</v>
      </c>
      <c r="E337" s="15">
        <v>20</v>
      </c>
      <c r="F337" s="19">
        <v>0.11593446058</v>
      </c>
      <c r="G337" s="44">
        <v>75017</v>
      </c>
      <c r="H337" s="50">
        <f t="shared" si="5"/>
        <v>75</v>
      </c>
    </row>
    <row r="338" spans="1:8" ht="25.5" x14ac:dyDescent="0.2">
      <c r="A338" s="14" t="s">
        <v>184</v>
      </c>
      <c r="B338" s="6" t="s">
        <v>214</v>
      </c>
      <c r="C338" s="12">
        <v>3</v>
      </c>
      <c r="D338" s="7">
        <v>27.12</v>
      </c>
      <c r="E338" s="15">
        <v>1</v>
      </c>
      <c r="F338" s="19">
        <v>0.73746312684000004</v>
      </c>
      <c r="G338" s="44">
        <v>75018</v>
      </c>
      <c r="H338" s="50">
        <f t="shared" si="5"/>
        <v>75</v>
      </c>
    </row>
    <row r="339" spans="1:8" ht="38.25" x14ac:dyDescent="0.2">
      <c r="A339" s="14" t="s">
        <v>184</v>
      </c>
      <c r="B339" s="6" t="s">
        <v>215</v>
      </c>
      <c r="C339" s="16">
        <v>3</v>
      </c>
      <c r="D339" s="7">
        <v>32.4332432</v>
      </c>
      <c r="E339" s="15">
        <v>12</v>
      </c>
      <c r="F339" s="19">
        <v>0.1058065215</v>
      </c>
      <c r="G339" s="44">
        <v>75018</v>
      </c>
      <c r="H339" s="50">
        <f t="shared" si="5"/>
        <v>75</v>
      </c>
    </row>
    <row r="340" spans="1:8" ht="25.5" x14ac:dyDescent="0.2">
      <c r="A340" s="14" t="s">
        <v>184</v>
      </c>
      <c r="B340" s="6" t="s">
        <v>243</v>
      </c>
      <c r="C340" s="12">
        <v>3</v>
      </c>
      <c r="D340" s="7">
        <v>932.72500000000002</v>
      </c>
      <c r="E340" s="15">
        <v>8</v>
      </c>
      <c r="F340" s="19">
        <v>7.7451285209999998E-2</v>
      </c>
      <c r="G340" s="44">
        <v>75019</v>
      </c>
      <c r="H340" s="50">
        <f t="shared" si="5"/>
        <v>75</v>
      </c>
    </row>
    <row r="341" spans="1:8" x14ac:dyDescent="0.2">
      <c r="A341" s="14" t="s">
        <v>556</v>
      </c>
      <c r="B341" s="6" t="s">
        <v>558</v>
      </c>
      <c r="C341" s="12">
        <v>3</v>
      </c>
      <c r="D341" s="7">
        <v>18.9733333</v>
      </c>
      <c r="E341" s="15">
        <v>2</v>
      </c>
      <c r="F341" s="19">
        <v>0.73822909345999999</v>
      </c>
      <c r="G341" s="44">
        <v>76000</v>
      </c>
      <c r="H341" s="50">
        <f t="shared" si="5"/>
        <v>76</v>
      </c>
    </row>
    <row r="342" spans="1:8" ht="25.5" x14ac:dyDescent="0.2">
      <c r="A342" s="14" t="s">
        <v>604</v>
      </c>
      <c r="B342" s="6" t="s">
        <v>125</v>
      </c>
      <c r="C342" s="16">
        <v>3</v>
      </c>
      <c r="D342" s="7">
        <v>18.9223529</v>
      </c>
      <c r="E342" s="15">
        <v>11</v>
      </c>
      <c r="F342" s="19">
        <v>1.1709462820200001</v>
      </c>
      <c r="G342" s="44">
        <v>77000</v>
      </c>
      <c r="H342" s="50">
        <f t="shared" si="5"/>
        <v>77</v>
      </c>
    </row>
    <row r="343" spans="1:8" ht="25.5" x14ac:dyDescent="0.2">
      <c r="A343" s="14" t="s">
        <v>604</v>
      </c>
      <c r="B343" s="6" t="s">
        <v>104</v>
      </c>
      <c r="C343" s="12">
        <v>3</v>
      </c>
      <c r="D343" s="7">
        <v>19.941428599999998</v>
      </c>
      <c r="E343" s="15">
        <v>5</v>
      </c>
      <c r="F343" s="19">
        <v>1.10392578265</v>
      </c>
      <c r="G343" s="44">
        <v>77000</v>
      </c>
      <c r="H343" s="50">
        <f t="shared" si="5"/>
        <v>77</v>
      </c>
    </row>
    <row r="344" spans="1:8" ht="25.5" x14ac:dyDescent="0.2">
      <c r="A344" s="14" t="s">
        <v>184</v>
      </c>
      <c r="B344" s="6" t="s">
        <v>194</v>
      </c>
      <c r="C344" s="12">
        <v>3</v>
      </c>
      <c r="D344" s="7">
        <v>52.952631599999997</v>
      </c>
      <c r="E344" s="15">
        <v>7</v>
      </c>
      <c r="F344" s="19">
        <v>0.11052778054</v>
      </c>
      <c r="G344" s="44">
        <v>77130</v>
      </c>
      <c r="H344" s="50">
        <f t="shared" si="5"/>
        <v>77</v>
      </c>
    </row>
    <row r="345" spans="1:8" ht="25.5" x14ac:dyDescent="0.2">
      <c r="A345" s="14" t="s">
        <v>280</v>
      </c>
      <c r="B345" s="6" t="s">
        <v>282</v>
      </c>
      <c r="C345" s="12">
        <v>3</v>
      </c>
      <c r="D345" s="7">
        <v>233.97575760000001</v>
      </c>
      <c r="E345" s="15">
        <v>12</v>
      </c>
      <c r="F345" s="19">
        <v>0.27515243744000001</v>
      </c>
      <c r="G345" s="44">
        <v>77181</v>
      </c>
      <c r="H345" s="50">
        <f t="shared" si="5"/>
        <v>77</v>
      </c>
    </row>
    <row r="346" spans="1:8" ht="38.25" x14ac:dyDescent="0.2">
      <c r="A346" s="14" t="s">
        <v>184</v>
      </c>
      <c r="B346" s="6" t="s">
        <v>261</v>
      </c>
      <c r="C346" s="12">
        <v>3</v>
      </c>
      <c r="D346" s="7">
        <v>80.305714300000005</v>
      </c>
      <c r="E346" s="15">
        <v>7</v>
      </c>
      <c r="F346" s="19">
        <v>8.9280250470000003E-2</v>
      </c>
      <c r="G346" s="44">
        <v>77500</v>
      </c>
      <c r="H346" s="50">
        <f t="shared" si="5"/>
        <v>77</v>
      </c>
    </row>
    <row r="347" spans="1:8" ht="25.5" x14ac:dyDescent="0.2">
      <c r="A347" s="14" t="s">
        <v>184</v>
      </c>
      <c r="B347" s="6" t="s">
        <v>187</v>
      </c>
      <c r="C347" s="12">
        <v>3</v>
      </c>
      <c r="D347" s="7">
        <v>41.911250000000003</v>
      </c>
      <c r="E347" s="15">
        <v>8</v>
      </c>
      <c r="F347" s="19">
        <v>0.10113632974</v>
      </c>
      <c r="G347" s="44">
        <v>77830</v>
      </c>
      <c r="H347" s="50">
        <f t="shared" si="5"/>
        <v>77</v>
      </c>
    </row>
    <row r="348" spans="1:8" ht="25.5" x14ac:dyDescent="0.2">
      <c r="A348" s="14" t="s">
        <v>184</v>
      </c>
      <c r="B348" s="6" t="s">
        <v>256</v>
      </c>
      <c r="C348" s="12">
        <v>3</v>
      </c>
      <c r="D348" s="7">
        <v>78.277500000000003</v>
      </c>
      <c r="E348" s="15">
        <v>8</v>
      </c>
      <c r="F348" s="19">
        <v>8.9619196659999997E-2</v>
      </c>
      <c r="G348" s="44">
        <v>78000</v>
      </c>
      <c r="H348" s="50">
        <f t="shared" si="5"/>
        <v>78</v>
      </c>
    </row>
    <row r="349" spans="1:8" ht="38.25" x14ac:dyDescent="0.2">
      <c r="A349" s="14" t="s">
        <v>184</v>
      </c>
      <c r="B349" s="6" t="s">
        <v>257</v>
      </c>
      <c r="C349" s="12">
        <v>3</v>
      </c>
      <c r="D349" s="7">
        <v>94.226666699999996</v>
      </c>
      <c r="E349" s="15">
        <v>9</v>
      </c>
      <c r="F349" s="19">
        <v>8.7374023240000001E-2</v>
      </c>
      <c r="G349" s="44">
        <v>78000</v>
      </c>
      <c r="H349" s="50">
        <f t="shared" si="5"/>
        <v>78</v>
      </c>
    </row>
    <row r="350" spans="1:8" ht="25.5" x14ac:dyDescent="0.2">
      <c r="A350" s="14" t="s">
        <v>184</v>
      </c>
      <c r="B350" s="6" t="s">
        <v>193</v>
      </c>
      <c r="C350" s="12">
        <v>3</v>
      </c>
      <c r="D350" s="7">
        <v>139.18777779999999</v>
      </c>
      <c r="E350" s="15">
        <v>9</v>
      </c>
      <c r="F350" s="19">
        <v>8.3807113759999996E-2</v>
      </c>
      <c r="G350" s="44">
        <v>78000</v>
      </c>
      <c r="H350" s="50">
        <f t="shared" si="5"/>
        <v>78</v>
      </c>
    </row>
    <row r="351" spans="1:8" ht="38.25" x14ac:dyDescent="0.2">
      <c r="A351" s="14" t="s">
        <v>184</v>
      </c>
      <c r="B351" s="6" t="s">
        <v>232</v>
      </c>
      <c r="C351" s="12">
        <v>3</v>
      </c>
      <c r="D351" s="7">
        <v>168.57285709999999</v>
      </c>
      <c r="E351" s="15">
        <v>7</v>
      </c>
      <c r="F351" s="19">
        <v>8.2510317710000003E-2</v>
      </c>
      <c r="G351" s="44">
        <v>78000</v>
      </c>
      <c r="H351" s="50">
        <f t="shared" si="5"/>
        <v>78</v>
      </c>
    </row>
    <row r="352" spans="1:8" ht="38.25" x14ac:dyDescent="0.2">
      <c r="A352" s="14" t="s">
        <v>184</v>
      </c>
      <c r="B352" s="6" t="s">
        <v>231</v>
      </c>
      <c r="C352" s="12">
        <v>3</v>
      </c>
      <c r="D352" s="7">
        <v>139.35</v>
      </c>
      <c r="E352" s="15">
        <v>8</v>
      </c>
      <c r="F352" s="19">
        <v>8.3797093650000001E-2</v>
      </c>
      <c r="G352" s="44">
        <v>78008</v>
      </c>
      <c r="H352" s="50">
        <f t="shared" si="5"/>
        <v>78</v>
      </c>
    </row>
    <row r="353" spans="1:8" ht="25.5" x14ac:dyDescent="0.2">
      <c r="A353" s="14" t="s">
        <v>160</v>
      </c>
      <c r="B353" s="6" t="s">
        <v>180</v>
      </c>
      <c r="C353" s="12">
        <v>3</v>
      </c>
      <c r="D353" s="7">
        <v>8.7633332999999993</v>
      </c>
      <c r="E353" s="15">
        <v>3</v>
      </c>
      <c r="F353" s="19">
        <v>0.52765310003999999</v>
      </c>
      <c r="G353" s="44">
        <v>78043</v>
      </c>
      <c r="H353" s="50">
        <f t="shared" si="5"/>
        <v>78</v>
      </c>
    </row>
    <row r="354" spans="1:8" ht="25.5" x14ac:dyDescent="0.2">
      <c r="A354" s="14" t="s">
        <v>184</v>
      </c>
      <c r="B354" s="6" t="s">
        <v>229</v>
      </c>
      <c r="C354" s="12">
        <v>3</v>
      </c>
      <c r="D354" s="7">
        <v>71.5485714</v>
      </c>
      <c r="E354" s="15">
        <v>6</v>
      </c>
      <c r="F354" s="19">
        <v>0.11033596891</v>
      </c>
      <c r="G354" s="44">
        <v>78120</v>
      </c>
      <c r="H354" s="50">
        <f t="shared" si="5"/>
        <v>78</v>
      </c>
    </row>
    <row r="355" spans="1:8" ht="38.25" x14ac:dyDescent="0.2">
      <c r="A355" s="14" t="s">
        <v>184</v>
      </c>
      <c r="B355" s="6" t="s">
        <v>230</v>
      </c>
      <c r="C355" s="16">
        <v>3</v>
      </c>
      <c r="D355" s="7">
        <v>124.1725</v>
      </c>
      <c r="E355" s="15">
        <v>12</v>
      </c>
      <c r="F355" s="19">
        <v>8.471257502E-2</v>
      </c>
      <c r="G355" s="44">
        <v>78158</v>
      </c>
      <c r="H355" s="50">
        <f t="shared" si="5"/>
        <v>78</v>
      </c>
    </row>
    <row r="356" spans="1:8" ht="38.25" x14ac:dyDescent="0.2">
      <c r="A356" s="14" t="s">
        <v>604</v>
      </c>
      <c r="B356" s="6" t="s">
        <v>128</v>
      </c>
      <c r="C356" s="12">
        <v>3</v>
      </c>
      <c r="D356" s="7">
        <v>16.5457143</v>
      </c>
      <c r="E356" s="15">
        <v>9</v>
      </c>
      <c r="F356" s="19">
        <v>1.5115480918699999</v>
      </c>
      <c r="G356" s="44">
        <v>78250</v>
      </c>
      <c r="H356" s="50">
        <f t="shared" si="5"/>
        <v>78</v>
      </c>
    </row>
    <row r="357" spans="1:8" ht="25.5" x14ac:dyDescent="0.2">
      <c r="A357" s="14" t="s">
        <v>8</v>
      </c>
      <c r="B357" s="6" t="s">
        <v>90</v>
      </c>
      <c r="C357" s="12">
        <v>3</v>
      </c>
      <c r="D357" s="7">
        <v>101.98</v>
      </c>
      <c r="E357" s="15">
        <v>1</v>
      </c>
      <c r="F357" s="19">
        <v>0.63426161992999996</v>
      </c>
      <c r="G357" s="44">
        <v>78360</v>
      </c>
      <c r="H357" s="50">
        <f t="shared" si="5"/>
        <v>78</v>
      </c>
    </row>
    <row r="358" spans="1:8" ht="25.5" x14ac:dyDescent="0.2">
      <c r="A358" s="14" t="s">
        <v>184</v>
      </c>
      <c r="B358" s="6" t="s">
        <v>244</v>
      </c>
      <c r="C358" s="12">
        <v>3</v>
      </c>
      <c r="D358" s="7">
        <v>60.963000000000001</v>
      </c>
      <c r="E358" s="15">
        <v>8</v>
      </c>
      <c r="F358" s="19">
        <v>0.10911919252000001</v>
      </c>
      <c r="G358" s="44">
        <v>78390</v>
      </c>
      <c r="H358" s="50">
        <f t="shared" si="5"/>
        <v>78</v>
      </c>
    </row>
    <row r="359" spans="1:8" ht="38.25" x14ac:dyDescent="0.2">
      <c r="A359" s="14" t="s">
        <v>184</v>
      </c>
      <c r="B359" s="6" t="s">
        <v>241</v>
      </c>
      <c r="C359" s="12">
        <v>3</v>
      </c>
      <c r="D359" s="7">
        <v>73.281111100000004</v>
      </c>
      <c r="E359" s="15">
        <v>17</v>
      </c>
      <c r="F359" s="19">
        <v>9.6928368180000002E-2</v>
      </c>
      <c r="G359" s="44">
        <v>78570</v>
      </c>
      <c r="H359" s="50">
        <f t="shared" si="5"/>
        <v>78</v>
      </c>
    </row>
    <row r="360" spans="1:8" ht="38.25" x14ac:dyDescent="0.2">
      <c r="A360" s="14" t="s">
        <v>184</v>
      </c>
      <c r="B360" s="6" t="s">
        <v>192</v>
      </c>
      <c r="C360" s="12">
        <v>3</v>
      </c>
      <c r="D360" s="7">
        <v>343.23277780000001</v>
      </c>
      <c r="E360" s="15">
        <v>17</v>
      </c>
      <c r="F360" s="19">
        <v>8.0017880099999994E-2</v>
      </c>
      <c r="G360" s="44">
        <v>78711</v>
      </c>
      <c r="H360" s="50">
        <f t="shared" si="5"/>
        <v>78</v>
      </c>
    </row>
    <row r="361" spans="1:8" ht="25.5" x14ac:dyDescent="0.2">
      <c r="A361" s="14" t="s">
        <v>280</v>
      </c>
      <c r="B361" s="6" t="s">
        <v>283</v>
      </c>
      <c r="C361" s="12">
        <v>3</v>
      </c>
      <c r="D361" s="7">
        <v>167.92372549999999</v>
      </c>
      <c r="E361" s="15">
        <v>18</v>
      </c>
      <c r="F361" s="19">
        <v>0.21828246017</v>
      </c>
      <c r="G361" s="44">
        <v>78800</v>
      </c>
      <c r="H361" s="50">
        <f t="shared" si="5"/>
        <v>78</v>
      </c>
    </row>
    <row r="362" spans="1:8" ht="25.5" x14ac:dyDescent="0.2">
      <c r="A362" s="14" t="s">
        <v>184</v>
      </c>
      <c r="B362" s="6" t="s">
        <v>275</v>
      </c>
      <c r="C362" s="12">
        <v>3</v>
      </c>
      <c r="D362" s="7">
        <v>92.936666700000004</v>
      </c>
      <c r="E362" s="15">
        <v>9</v>
      </c>
      <c r="F362" s="19">
        <v>8.7523562439999994E-2</v>
      </c>
      <c r="G362" s="44">
        <v>78960</v>
      </c>
      <c r="H362" s="50">
        <f t="shared" si="5"/>
        <v>78</v>
      </c>
    </row>
    <row r="363" spans="1:8" ht="25.5" x14ac:dyDescent="0.2">
      <c r="A363" s="14" t="s">
        <v>298</v>
      </c>
      <c r="B363" s="6" t="s">
        <v>168</v>
      </c>
      <c r="C363" s="12">
        <v>3</v>
      </c>
      <c r="D363" s="7">
        <v>123.9141379</v>
      </c>
      <c r="E363" s="15">
        <v>10</v>
      </c>
      <c r="F363" s="19">
        <v>0.63167404570999997</v>
      </c>
      <c r="G363" s="44">
        <v>80000</v>
      </c>
      <c r="H363" s="50">
        <f t="shared" si="5"/>
        <v>80</v>
      </c>
    </row>
    <row r="364" spans="1:8" ht="38.25" x14ac:dyDescent="0.2">
      <c r="A364" s="14" t="s">
        <v>298</v>
      </c>
      <c r="B364" s="6" t="s">
        <v>304</v>
      </c>
      <c r="C364" s="12">
        <v>3</v>
      </c>
      <c r="D364" s="7">
        <v>171.7743333</v>
      </c>
      <c r="E364" s="15">
        <v>11</v>
      </c>
      <c r="F364" s="19">
        <v>0.26887777181</v>
      </c>
      <c r="G364" s="44">
        <v>80000</v>
      </c>
      <c r="H364" s="50">
        <f t="shared" si="5"/>
        <v>80</v>
      </c>
    </row>
    <row r="365" spans="1:8" ht="25.5" x14ac:dyDescent="0.2">
      <c r="A365" s="14" t="s">
        <v>160</v>
      </c>
      <c r="B365" s="6" t="s">
        <v>168</v>
      </c>
      <c r="C365" s="12">
        <v>3</v>
      </c>
      <c r="D365" s="7">
        <v>172.01</v>
      </c>
      <c r="E365" s="15">
        <v>2</v>
      </c>
      <c r="F365" s="19">
        <v>0.40429335504000002</v>
      </c>
      <c r="G365" s="44">
        <v>80000</v>
      </c>
      <c r="H365" s="50">
        <f t="shared" si="5"/>
        <v>80</v>
      </c>
    </row>
    <row r="366" spans="1:8" ht="25.5" x14ac:dyDescent="0.2">
      <c r="A366" s="14" t="s">
        <v>298</v>
      </c>
      <c r="B366" s="6" t="s">
        <v>303</v>
      </c>
      <c r="C366" s="12">
        <v>3</v>
      </c>
      <c r="D366" s="7">
        <v>253.62700000000001</v>
      </c>
      <c r="E366" s="15">
        <v>11</v>
      </c>
      <c r="F366" s="19">
        <v>0.31142951395000001</v>
      </c>
      <c r="G366" s="44">
        <v>80000</v>
      </c>
      <c r="H366" s="50">
        <f t="shared" si="5"/>
        <v>80</v>
      </c>
    </row>
    <row r="367" spans="1:8" ht="25.5" x14ac:dyDescent="0.2">
      <c r="A367" s="14" t="s">
        <v>298</v>
      </c>
      <c r="B367" s="6" t="s">
        <v>305</v>
      </c>
      <c r="C367" s="16">
        <v>3</v>
      </c>
      <c r="D367" s="7">
        <v>254.40888889999999</v>
      </c>
      <c r="E367" s="15">
        <v>13</v>
      </c>
      <c r="F367" s="19">
        <v>0.30350420146000001</v>
      </c>
      <c r="G367" s="44">
        <v>80000</v>
      </c>
      <c r="H367" s="50">
        <f t="shared" si="5"/>
        <v>80</v>
      </c>
    </row>
    <row r="368" spans="1:8" ht="38.25" x14ac:dyDescent="0.2">
      <c r="A368" s="14" t="s">
        <v>160</v>
      </c>
      <c r="B368" s="6" t="s">
        <v>177</v>
      </c>
      <c r="C368" s="16">
        <v>3</v>
      </c>
      <c r="D368" s="7">
        <v>100.3</v>
      </c>
      <c r="E368" s="15">
        <v>1</v>
      </c>
      <c r="F368" s="19">
        <v>0.41725822532000001</v>
      </c>
      <c r="G368" s="44">
        <v>80210</v>
      </c>
      <c r="H368" s="50">
        <f t="shared" si="5"/>
        <v>80</v>
      </c>
    </row>
    <row r="369" spans="1:8" ht="38.25" x14ac:dyDescent="0.2">
      <c r="A369" s="14" t="s">
        <v>160</v>
      </c>
      <c r="B369" s="6" t="s">
        <v>178</v>
      </c>
      <c r="C369" s="12">
        <v>3</v>
      </c>
      <c r="D369" s="7">
        <v>156.59</v>
      </c>
      <c r="E369" s="15">
        <v>2</v>
      </c>
      <c r="F369" s="19">
        <v>0.40606999170000002</v>
      </c>
      <c r="G369" s="44">
        <v>80210</v>
      </c>
      <c r="H369" s="50">
        <f t="shared" si="5"/>
        <v>80</v>
      </c>
    </row>
    <row r="370" spans="1:8" ht="38.25" x14ac:dyDescent="0.2">
      <c r="A370" s="14" t="s">
        <v>160</v>
      </c>
      <c r="B370" s="6" t="s">
        <v>182</v>
      </c>
      <c r="C370" s="12">
        <v>3</v>
      </c>
      <c r="D370" s="7">
        <v>184.33333329999999</v>
      </c>
      <c r="E370" s="15">
        <v>3</v>
      </c>
      <c r="F370" s="19">
        <v>0.40307233272999998</v>
      </c>
      <c r="G370" s="44">
        <v>80940</v>
      </c>
      <c r="H370" s="50">
        <f t="shared" si="5"/>
        <v>80</v>
      </c>
    </row>
    <row r="371" spans="1:8" ht="38.25" x14ac:dyDescent="0.2">
      <c r="A371" s="14" t="s">
        <v>8</v>
      </c>
      <c r="B371" s="6" t="s">
        <v>22</v>
      </c>
      <c r="C371" s="12">
        <v>3</v>
      </c>
      <c r="D371" s="7">
        <v>19.260000000000002</v>
      </c>
      <c r="E371" s="15">
        <v>1</v>
      </c>
      <c r="F371" s="19">
        <v>0.33904465213000001</v>
      </c>
      <c r="G371" s="44">
        <v>81000</v>
      </c>
      <c r="H371" s="50">
        <f t="shared" si="5"/>
        <v>81</v>
      </c>
    </row>
    <row r="372" spans="1:8" ht="38.25" x14ac:dyDescent="0.2">
      <c r="A372" s="14" t="s">
        <v>489</v>
      </c>
      <c r="B372" s="6" t="s">
        <v>22</v>
      </c>
      <c r="C372" s="12">
        <v>3</v>
      </c>
      <c r="D372" s="7">
        <v>42.9</v>
      </c>
      <c r="E372" s="15">
        <v>2</v>
      </c>
      <c r="F372" s="19">
        <v>0.17</v>
      </c>
      <c r="G372" s="44">
        <v>81000</v>
      </c>
      <c r="H372" s="50">
        <f t="shared" si="5"/>
        <v>81</v>
      </c>
    </row>
    <row r="373" spans="1:8" ht="25.5" x14ac:dyDescent="0.2">
      <c r="A373" s="14" t="s">
        <v>489</v>
      </c>
      <c r="B373" s="6" t="s">
        <v>492</v>
      </c>
      <c r="C373" s="16">
        <v>3</v>
      </c>
      <c r="D373" s="7">
        <v>65.465555600000002</v>
      </c>
      <c r="E373" s="15">
        <v>9</v>
      </c>
      <c r="F373" s="19">
        <v>0.16999949082999999</v>
      </c>
      <c r="G373" s="44">
        <v>81000</v>
      </c>
      <c r="H373" s="50">
        <f t="shared" si="5"/>
        <v>81</v>
      </c>
    </row>
    <row r="374" spans="1:8" x14ac:dyDescent="0.2">
      <c r="A374" s="14" t="s">
        <v>489</v>
      </c>
      <c r="B374" s="6" t="s">
        <v>529</v>
      </c>
      <c r="C374" s="12">
        <v>3</v>
      </c>
      <c r="D374" s="7">
        <v>184.86692310000001</v>
      </c>
      <c r="E374" s="15">
        <v>13</v>
      </c>
      <c r="F374" s="19">
        <v>0.17000045771</v>
      </c>
      <c r="G374" s="44">
        <v>81000</v>
      </c>
      <c r="H374" s="50">
        <f t="shared" si="5"/>
        <v>81</v>
      </c>
    </row>
    <row r="375" spans="1:8" ht="25.5" x14ac:dyDescent="0.2">
      <c r="A375" s="14" t="s">
        <v>489</v>
      </c>
      <c r="B375" s="6" t="s">
        <v>522</v>
      </c>
      <c r="C375" s="12">
        <v>3</v>
      </c>
      <c r="D375" s="7">
        <v>185.50923080000001</v>
      </c>
      <c r="E375" s="15">
        <v>13</v>
      </c>
      <c r="F375" s="19">
        <v>0.1700002488</v>
      </c>
      <c r="G375" s="44">
        <v>81000</v>
      </c>
      <c r="H375" s="50">
        <f t="shared" si="5"/>
        <v>81</v>
      </c>
    </row>
    <row r="376" spans="1:8" x14ac:dyDescent="0.2">
      <c r="A376" s="14" t="s">
        <v>489</v>
      </c>
      <c r="B376" s="6" t="s">
        <v>512</v>
      </c>
      <c r="C376" s="16">
        <v>3</v>
      </c>
      <c r="D376" s="7">
        <v>207.73</v>
      </c>
      <c r="E376" s="15">
        <v>1</v>
      </c>
      <c r="F376" s="19">
        <v>0.16999951861000001</v>
      </c>
      <c r="G376" s="44">
        <v>81000</v>
      </c>
      <c r="H376" s="50">
        <f t="shared" si="5"/>
        <v>81</v>
      </c>
    </row>
    <row r="377" spans="1:8" ht="38.25" x14ac:dyDescent="0.2">
      <c r="A377" s="14" t="s">
        <v>489</v>
      </c>
      <c r="B377" s="6" t="s">
        <v>532</v>
      </c>
      <c r="C377" s="12">
        <v>3</v>
      </c>
      <c r="D377" s="7">
        <v>1260.7</v>
      </c>
      <c r="E377" s="15">
        <v>1</v>
      </c>
      <c r="F377" s="19">
        <v>0.17</v>
      </c>
      <c r="G377" s="44">
        <v>81000</v>
      </c>
      <c r="H377" s="50">
        <f t="shared" si="5"/>
        <v>81</v>
      </c>
    </row>
    <row r="378" spans="1:8" ht="25.5" x14ac:dyDescent="0.2">
      <c r="A378" s="14" t="s">
        <v>489</v>
      </c>
      <c r="B378" s="6" t="s">
        <v>493</v>
      </c>
      <c r="C378" s="12">
        <v>3</v>
      </c>
      <c r="D378" s="7">
        <v>257.3</v>
      </c>
      <c r="E378" s="15">
        <v>6</v>
      </c>
      <c r="F378" s="19">
        <v>0.17</v>
      </c>
      <c r="G378" s="44">
        <v>81300</v>
      </c>
      <c r="H378" s="50">
        <f t="shared" si="5"/>
        <v>81</v>
      </c>
    </row>
    <row r="379" spans="1:8" ht="25.5" x14ac:dyDescent="0.2">
      <c r="A379" s="14" t="s">
        <v>489</v>
      </c>
      <c r="B379" s="6" t="s">
        <v>518</v>
      </c>
      <c r="C379" s="12">
        <v>3</v>
      </c>
      <c r="D379" s="7">
        <v>15.31625</v>
      </c>
      <c r="E379" s="15">
        <v>8</v>
      </c>
      <c r="F379" s="19">
        <v>0.17000734513999999</v>
      </c>
      <c r="G379" s="44">
        <v>82000</v>
      </c>
      <c r="H379" s="50">
        <f t="shared" si="5"/>
        <v>82</v>
      </c>
    </row>
    <row r="380" spans="1:8" ht="25.5" x14ac:dyDescent="0.2">
      <c r="A380" s="14" t="s">
        <v>604</v>
      </c>
      <c r="B380" s="6" t="s">
        <v>123</v>
      </c>
      <c r="C380" s="12">
        <v>3</v>
      </c>
      <c r="D380" s="7">
        <v>28.792758599999999</v>
      </c>
      <c r="E380" s="15">
        <v>19</v>
      </c>
      <c r="F380" s="19">
        <v>0.90016407381999997</v>
      </c>
      <c r="G380" s="44">
        <v>82000</v>
      </c>
      <c r="H380" s="50">
        <f t="shared" si="5"/>
        <v>82</v>
      </c>
    </row>
    <row r="381" spans="1:8" ht="38.25" x14ac:dyDescent="0.2">
      <c r="A381" s="14" t="s">
        <v>308</v>
      </c>
      <c r="B381" s="6" t="s">
        <v>321</v>
      </c>
      <c r="C381" s="12">
        <v>3</v>
      </c>
      <c r="D381" s="7">
        <v>53.78</v>
      </c>
      <c r="E381" s="15">
        <v>5</v>
      </c>
      <c r="F381" s="19">
        <v>0.48177761250000001</v>
      </c>
      <c r="G381" s="44">
        <v>83000</v>
      </c>
      <c r="H381" s="50">
        <f t="shared" si="5"/>
        <v>83</v>
      </c>
    </row>
    <row r="382" spans="1:8" ht="38.25" x14ac:dyDescent="0.2">
      <c r="A382" s="14" t="s">
        <v>8</v>
      </c>
      <c r="B382" s="6" t="s">
        <v>96</v>
      </c>
      <c r="C382" s="12">
        <v>3</v>
      </c>
      <c r="D382" s="7">
        <v>87.04</v>
      </c>
      <c r="E382" s="15">
        <v>1</v>
      </c>
      <c r="F382" s="19">
        <v>0.32846966911999997</v>
      </c>
      <c r="G382" s="44">
        <v>83000</v>
      </c>
      <c r="H382" s="50">
        <f t="shared" si="5"/>
        <v>83</v>
      </c>
    </row>
    <row r="383" spans="1:8" ht="25.5" x14ac:dyDescent="0.2">
      <c r="A383" s="14" t="s">
        <v>308</v>
      </c>
      <c r="B383" s="6" t="s">
        <v>415</v>
      </c>
      <c r="C383" s="12">
        <v>3</v>
      </c>
      <c r="D383" s="7">
        <v>135.27925930000001</v>
      </c>
      <c r="E383" s="15">
        <v>27</v>
      </c>
      <c r="F383" s="19">
        <v>0.23140609001000001</v>
      </c>
      <c r="G383" s="44">
        <v>83000</v>
      </c>
      <c r="H383" s="50">
        <f t="shared" si="5"/>
        <v>83</v>
      </c>
    </row>
    <row r="384" spans="1:8" ht="38.25" x14ac:dyDescent="0.2">
      <c r="A384" s="14" t="s">
        <v>308</v>
      </c>
      <c r="B384" s="6" t="s">
        <v>345</v>
      </c>
      <c r="C384" s="12">
        <v>3</v>
      </c>
      <c r="D384" s="7">
        <v>186.95571430000001</v>
      </c>
      <c r="E384" s="15">
        <v>7</v>
      </c>
      <c r="F384" s="19">
        <v>0.22078337880000001</v>
      </c>
      <c r="G384" s="44">
        <v>83000</v>
      </c>
      <c r="H384" s="50">
        <f t="shared" si="5"/>
        <v>83</v>
      </c>
    </row>
    <row r="385" spans="1:8" ht="25.5" x14ac:dyDescent="0.2">
      <c r="A385" s="14" t="s">
        <v>308</v>
      </c>
      <c r="B385" s="6" t="s">
        <v>352</v>
      </c>
      <c r="C385" s="16">
        <v>3</v>
      </c>
      <c r="D385" s="7">
        <v>215.31</v>
      </c>
      <c r="E385" s="15">
        <v>22</v>
      </c>
      <c r="F385" s="19">
        <v>0.22441849173</v>
      </c>
      <c r="G385" s="44">
        <v>83000</v>
      </c>
      <c r="H385" s="50">
        <f t="shared" si="5"/>
        <v>83</v>
      </c>
    </row>
    <row r="386" spans="1:8" x14ac:dyDescent="0.2">
      <c r="A386" s="14" t="s">
        <v>308</v>
      </c>
      <c r="B386" s="6" t="s">
        <v>319</v>
      </c>
      <c r="C386" s="12">
        <v>3</v>
      </c>
      <c r="D386" s="7">
        <v>226.56</v>
      </c>
      <c r="E386" s="15">
        <v>23</v>
      </c>
      <c r="F386" s="19">
        <v>0.22342368275999999</v>
      </c>
      <c r="G386" s="44">
        <v>83000</v>
      </c>
      <c r="H386" s="50">
        <f t="shared" si="5"/>
        <v>83</v>
      </c>
    </row>
    <row r="387" spans="1:8" ht="38.25" x14ac:dyDescent="0.2">
      <c r="A387" s="14" t="s">
        <v>308</v>
      </c>
      <c r="B387" s="6" t="s">
        <v>399</v>
      </c>
      <c r="C387" s="12">
        <v>3</v>
      </c>
      <c r="D387" s="7">
        <v>250.2021622</v>
      </c>
      <c r="E387" s="15">
        <v>37</v>
      </c>
      <c r="F387" s="19">
        <v>0.22222483873000001</v>
      </c>
      <c r="G387" s="44">
        <v>83000</v>
      </c>
      <c r="H387" s="50">
        <f t="shared" ref="H387:H450" si="6">IF(LEN(G387)=4,VALUE(LEFT(G387,1)),VALUE(LEFT(G387,2)))</f>
        <v>83</v>
      </c>
    </row>
    <row r="388" spans="1:8" ht="38.25" x14ac:dyDescent="0.2">
      <c r="A388" s="14" t="s">
        <v>308</v>
      </c>
      <c r="B388" s="6" t="s">
        <v>350</v>
      </c>
      <c r="C388" s="12">
        <v>3</v>
      </c>
      <c r="D388" s="7">
        <v>140.06</v>
      </c>
      <c r="E388" s="15">
        <v>17</v>
      </c>
      <c r="F388" s="19">
        <v>0.23737599851999999</v>
      </c>
      <c r="G388" s="44">
        <v>83100</v>
      </c>
      <c r="H388" s="50">
        <f t="shared" si="6"/>
        <v>83</v>
      </c>
    </row>
    <row r="389" spans="1:8" ht="25.5" x14ac:dyDescent="0.2">
      <c r="A389" s="14" t="s">
        <v>308</v>
      </c>
      <c r="B389" s="6" t="s">
        <v>313</v>
      </c>
      <c r="C389" s="12">
        <v>3</v>
      </c>
      <c r="D389" s="7">
        <v>335.62777779999999</v>
      </c>
      <c r="E389" s="15">
        <v>9</v>
      </c>
      <c r="F389" s="19">
        <v>0.21833876815</v>
      </c>
      <c r="G389" s="44">
        <v>83100</v>
      </c>
      <c r="H389" s="50">
        <f t="shared" si="6"/>
        <v>83</v>
      </c>
    </row>
    <row r="390" spans="1:8" ht="25.5" x14ac:dyDescent="0.2">
      <c r="A390" s="14" t="s">
        <v>308</v>
      </c>
      <c r="B390" s="6" t="s">
        <v>371</v>
      </c>
      <c r="C390" s="12">
        <v>3</v>
      </c>
      <c r="D390" s="7">
        <v>73.703846200000001</v>
      </c>
      <c r="E390" s="15">
        <v>13</v>
      </c>
      <c r="F390" s="19">
        <v>0.35548296196000001</v>
      </c>
      <c r="G390" s="44">
        <v>83150</v>
      </c>
      <c r="H390" s="50">
        <f t="shared" si="6"/>
        <v>83</v>
      </c>
    </row>
    <row r="391" spans="1:8" ht="25.5" x14ac:dyDescent="0.2">
      <c r="A391" s="14" t="s">
        <v>308</v>
      </c>
      <c r="B391" s="6" t="s">
        <v>328</v>
      </c>
      <c r="C391" s="12">
        <v>3</v>
      </c>
      <c r="D391" s="7">
        <v>109.7404545</v>
      </c>
      <c r="E391" s="15">
        <v>22</v>
      </c>
      <c r="F391" s="19">
        <v>0.25384191626000002</v>
      </c>
      <c r="G391" s="44">
        <v>83200</v>
      </c>
      <c r="H391" s="50">
        <f t="shared" si="6"/>
        <v>83</v>
      </c>
    </row>
    <row r="392" spans="1:8" ht="25.5" x14ac:dyDescent="0.2">
      <c r="A392" s="14" t="s">
        <v>308</v>
      </c>
      <c r="B392" s="6" t="s">
        <v>340</v>
      </c>
      <c r="C392" s="12">
        <v>3</v>
      </c>
      <c r="D392" s="7">
        <v>121.057</v>
      </c>
      <c r="E392" s="15">
        <v>20</v>
      </c>
      <c r="F392" s="19">
        <v>0.24888730102000001</v>
      </c>
      <c r="G392" s="44">
        <v>83200</v>
      </c>
      <c r="H392" s="50">
        <f t="shared" si="6"/>
        <v>83</v>
      </c>
    </row>
    <row r="393" spans="1:8" ht="25.5" x14ac:dyDescent="0.2">
      <c r="A393" s="14" t="s">
        <v>308</v>
      </c>
      <c r="B393" s="6" t="s">
        <v>435</v>
      </c>
      <c r="C393" s="16">
        <v>3</v>
      </c>
      <c r="D393" s="7">
        <v>254.65600000000001</v>
      </c>
      <c r="E393" s="15">
        <v>5</v>
      </c>
      <c r="F393" s="19">
        <v>0.21931939557999999</v>
      </c>
      <c r="G393" s="44">
        <v>83240</v>
      </c>
      <c r="H393" s="50">
        <f t="shared" si="6"/>
        <v>83</v>
      </c>
    </row>
    <row r="394" spans="1:8" ht="38.25" x14ac:dyDescent="0.2">
      <c r="A394" s="14" t="s">
        <v>308</v>
      </c>
      <c r="B394" s="6" t="s">
        <v>457</v>
      </c>
      <c r="C394" s="12">
        <v>3</v>
      </c>
      <c r="D394" s="7">
        <v>213.44</v>
      </c>
      <c r="E394" s="15">
        <v>2</v>
      </c>
      <c r="F394" s="19">
        <v>0.22008058471</v>
      </c>
      <c r="G394" s="44">
        <v>83300</v>
      </c>
      <c r="H394" s="50">
        <f t="shared" si="6"/>
        <v>83</v>
      </c>
    </row>
    <row r="395" spans="1:8" ht="25.5" x14ac:dyDescent="0.2">
      <c r="A395" s="14" t="s">
        <v>308</v>
      </c>
      <c r="B395" s="6" t="s">
        <v>368</v>
      </c>
      <c r="C395" s="12">
        <v>3</v>
      </c>
      <c r="D395" s="7">
        <v>283.79928569999998</v>
      </c>
      <c r="E395" s="15">
        <v>14</v>
      </c>
      <c r="F395" s="19">
        <v>0.22061643163</v>
      </c>
      <c r="G395" s="44">
        <v>83310</v>
      </c>
      <c r="H395" s="50">
        <f t="shared" si="6"/>
        <v>83</v>
      </c>
    </row>
    <row r="396" spans="1:8" ht="25.5" x14ac:dyDescent="0.2">
      <c r="A396" s="14" t="s">
        <v>308</v>
      </c>
      <c r="B396" s="6" t="s">
        <v>449</v>
      </c>
      <c r="C396" s="12">
        <v>3</v>
      </c>
      <c r="D396" s="7">
        <v>131.59230769999999</v>
      </c>
      <c r="E396" s="15">
        <v>13</v>
      </c>
      <c r="F396" s="19">
        <v>0.25928099607999999</v>
      </c>
      <c r="G396" s="44">
        <v>83400</v>
      </c>
      <c r="H396" s="50">
        <f t="shared" si="6"/>
        <v>83</v>
      </c>
    </row>
    <row r="397" spans="1:8" x14ac:dyDescent="0.2">
      <c r="A397" s="14" t="s">
        <v>308</v>
      </c>
      <c r="B397" s="6" t="s">
        <v>450</v>
      </c>
      <c r="C397" s="16">
        <v>3</v>
      </c>
      <c r="D397" s="7">
        <v>220.6045</v>
      </c>
      <c r="E397" s="15">
        <v>20</v>
      </c>
      <c r="F397" s="19">
        <v>0.22154239827</v>
      </c>
      <c r="G397" s="44">
        <v>83400</v>
      </c>
      <c r="H397" s="50">
        <f t="shared" si="6"/>
        <v>83</v>
      </c>
    </row>
    <row r="398" spans="1:8" ht="25.5" x14ac:dyDescent="0.2">
      <c r="A398" s="14" t="s">
        <v>308</v>
      </c>
      <c r="B398" s="6" t="s">
        <v>330</v>
      </c>
      <c r="C398" s="12">
        <v>3</v>
      </c>
      <c r="D398" s="7">
        <v>271.36874999999998</v>
      </c>
      <c r="E398" s="15">
        <v>40</v>
      </c>
      <c r="F398" s="19">
        <v>0.21992565467</v>
      </c>
      <c r="G398" s="44">
        <v>83400</v>
      </c>
      <c r="H398" s="50">
        <f t="shared" si="6"/>
        <v>83</v>
      </c>
    </row>
    <row r="399" spans="1:8" ht="38.25" x14ac:dyDescent="0.2">
      <c r="A399" s="14" t="s">
        <v>308</v>
      </c>
      <c r="B399" s="6" t="s">
        <v>441</v>
      </c>
      <c r="C399" s="12">
        <v>3</v>
      </c>
      <c r="D399" s="7">
        <v>254.50800000000001</v>
      </c>
      <c r="E399" s="15">
        <v>20</v>
      </c>
      <c r="F399" s="19">
        <v>0.2199838512</v>
      </c>
      <c r="G399" s="44">
        <v>83420</v>
      </c>
      <c r="H399" s="50">
        <f t="shared" si="6"/>
        <v>83</v>
      </c>
    </row>
    <row r="400" spans="1:8" x14ac:dyDescent="0.2">
      <c r="A400" s="14" t="s">
        <v>308</v>
      </c>
      <c r="B400" s="6" t="s">
        <v>364</v>
      </c>
      <c r="C400" s="12">
        <v>3</v>
      </c>
      <c r="D400" s="7">
        <v>234.16</v>
      </c>
      <c r="E400" s="15">
        <v>10</v>
      </c>
      <c r="F400" s="19">
        <v>0.21967671677</v>
      </c>
      <c r="G400" s="44">
        <v>83470</v>
      </c>
      <c r="H400" s="50">
        <f t="shared" si="6"/>
        <v>83</v>
      </c>
    </row>
    <row r="401" spans="1:8" ht="25.5" x14ac:dyDescent="0.2">
      <c r="A401" s="14" t="s">
        <v>308</v>
      </c>
      <c r="B401" s="6" t="s">
        <v>334</v>
      </c>
      <c r="C401" s="12">
        <v>3</v>
      </c>
      <c r="D401" s="7">
        <v>194.49625</v>
      </c>
      <c r="E401" s="15">
        <v>8</v>
      </c>
      <c r="F401" s="19">
        <v>0.22056145041</v>
      </c>
      <c r="G401" s="44">
        <v>83490</v>
      </c>
      <c r="H401" s="50">
        <f t="shared" si="6"/>
        <v>83</v>
      </c>
    </row>
    <row r="402" spans="1:8" ht="25.5" x14ac:dyDescent="0.2">
      <c r="A402" s="14" t="s">
        <v>308</v>
      </c>
      <c r="B402" s="6" t="s">
        <v>343</v>
      </c>
      <c r="C402" s="12">
        <v>3</v>
      </c>
      <c r="D402" s="7">
        <v>360.48250000000002</v>
      </c>
      <c r="E402" s="15">
        <v>12</v>
      </c>
      <c r="F402" s="19">
        <v>0.21812686238000001</v>
      </c>
      <c r="G402" s="44">
        <v>83500</v>
      </c>
      <c r="H402" s="50">
        <f t="shared" si="6"/>
        <v>83</v>
      </c>
    </row>
    <row r="403" spans="1:8" ht="25.5" x14ac:dyDescent="0.2">
      <c r="A403" s="14" t="s">
        <v>8</v>
      </c>
      <c r="B403" s="6" t="s">
        <v>58</v>
      </c>
      <c r="C403" s="12">
        <v>3</v>
      </c>
      <c r="D403" s="7">
        <v>15.32</v>
      </c>
      <c r="E403" s="15">
        <v>1</v>
      </c>
      <c r="F403" s="19">
        <v>2.2389033942599998</v>
      </c>
      <c r="G403" s="44">
        <v>83510</v>
      </c>
      <c r="H403" s="50">
        <f t="shared" si="6"/>
        <v>83</v>
      </c>
    </row>
    <row r="404" spans="1:8" ht="25.5" x14ac:dyDescent="0.2">
      <c r="A404" s="14" t="s">
        <v>308</v>
      </c>
      <c r="B404" s="6" t="s">
        <v>448</v>
      </c>
      <c r="C404" s="12">
        <v>3</v>
      </c>
      <c r="D404" s="7">
        <v>532.80100000000004</v>
      </c>
      <c r="E404" s="15">
        <v>10</v>
      </c>
      <c r="F404" s="19">
        <v>0.21720379653999999</v>
      </c>
      <c r="G404" s="44">
        <v>83600</v>
      </c>
      <c r="H404" s="50">
        <f t="shared" si="6"/>
        <v>83</v>
      </c>
    </row>
    <row r="405" spans="1:8" ht="25.5" x14ac:dyDescent="0.2">
      <c r="A405" s="14" t="s">
        <v>308</v>
      </c>
      <c r="B405" s="6" t="s">
        <v>459</v>
      </c>
      <c r="C405" s="16">
        <v>3</v>
      </c>
      <c r="D405" s="7">
        <v>152.74833330000001</v>
      </c>
      <c r="E405" s="15">
        <v>12</v>
      </c>
      <c r="F405" s="19">
        <v>0.25031478794000001</v>
      </c>
      <c r="G405" s="44">
        <v>83704</v>
      </c>
      <c r="H405" s="50">
        <f t="shared" si="6"/>
        <v>83</v>
      </c>
    </row>
    <row r="406" spans="1:8" ht="25.5" x14ac:dyDescent="0.2">
      <c r="A406" s="14" t="s">
        <v>308</v>
      </c>
      <c r="B406" s="6" t="s">
        <v>386</v>
      </c>
      <c r="C406" s="12">
        <v>3</v>
      </c>
      <c r="D406" s="7">
        <v>96.9808333</v>
      </c>
      <c r="E406" s="15">
        <v>11</v>
      </c>
      <c r="F406" s="19">
        <v>0.26540381690999998</v>
      </c>
      <c r="G406" s="44">
        <v>84000</v>
      </c>
      <c r="H406" s="50">
        <f t="shared" si="6"/>
        <v>84</v>
      </c>
    </row>
    <row r="407" spans="1:8" ht="25.5" x14ac:dyDescent="0.2">
      <c r="A407" s="14" t="s">
        <v>308</v>
      </c>
      <c r="B407" s="6" t="s">
        <v>420</v>
      </c>
      <c r="C407" s="16">
        <v>3</v>
      </c>
      <c r="D407" s="7">
        <v>142.52090910000001</v>
      </c>
      <c r="E407" s="15">
        <v>11</v>
      </c>
      <c r="F407" s="19">
        <v>0.22573848813</v>
      </c>
      <c r="G407" s="44">
        <v>84000</v>
      </c>
      <c r="H407" s="50">
        <f t="shared" si="6"/>
        <v>84</v>
      </c>
    </row>
    <row r="408" spans="1:8" ht="25.5" x14ac:dyDescent="0.2">
      <c r="A408" s="14" t="s">
        <v>308</v>
      </c>
      <c r="B408" s="6" t="s">
        <v>452</v>
      </c>
      <c r="C408" s="12">
        <v>3</v>
      </c>
      <c r="D408" s="7">
        <v>144.515625</v>
      </c>
      <c r="E408" s="15">
        <v>16</v>
      </c>
      <c r="F408" s="19">
        <v>0.24252870580999999</v>
      </c>
      <c r="G408" s="44">
        <v>84000</v>
      </c>
      <c r="H408" s="50">
        <f t="shared" si="6"/>
        <v>84</v>
      </c>
    </row>
    <row r="409" spans="1:8" ht="25.5" x14ac:dyDescent="0.2">
      <c r="A409" s="14" t="s">
        <v>308</v>
      </c>
      <c r="B409" s="6" t="s">
        <v>341</v>
      </c>
      <c r="C409" s="12">
        <v>3</v>
      </c>
      <c r="D409" s="7">
        <v>209.62666669999999</v>
      </c>
      <c r="E409" s="15">
        <v>9</v>
      </c>
      <c r="F409" s="19">
        <v>0.23052251622</v>
      </c>
      <c r="G409" s="44">
        <v>84000</v>
      </c>
      <c r="H409" s="50">
        <f t="shared" si="6"/>
        <v>84</v>
      </c>
    </row>
    <row r="410" spans="1:8" ht="25.5" x14ac:dyDescent="0.2">
      <c r="A410" s="14" t="s">
        <v>308</v>
      </c>
      <c r="B410" s="6" t="s">
        <v>439</v>
      </c>
      <c r="C410" s="12">
        <v>3</v>
      </c>
      <c r="D410" s="7">
        <v>212.69</v>
      </c>
      <c r="E410" s="15">
        <v>5</v>
      </c>
      <c r="F410" s="19">
        <v>0.22010531759999999</v>
      </c>
      <c r="G410" s="44">
        <v>84000</v>
      </c>
      <c r="H410" s="50">
        <f t="shared" si="6"/>
        <v>84</v>
      </c>
    </row>
    <row r="411" spans="1:8" ht="25.5" x14ac:dyDescent="0.2">
      <c r="A411" s="14" t="s">
        <v>308</v>
      </c>
      <c r="B411" s="6" t="s">
        <v>403</v>
      </c>
      <c r="C411" s="12">
        <v>3</v>
      </c>
      <c r="D411" s="7">
        <v>258.72857140000002</v>
      </c>
      <c r="E411" s="15">
        <v>14</v>
      </c>
      <c r="F411" s="19">
        <v>0.22503036828</v>
      </c>
      <c r="G411" s="44">
        <v>84120</v>
      </c>
      <c r="H411" s="50">
        <f t="shared" si="6"/>
        <v>84</v>
      </c>
    </row>
    <row r="412" spans="1:8" ht="25.5" x14ac:dyDescent="0.2">
      <c r="A412" s="14" t="s">
        <v>308</v>
      </c>
      <c r="B412" s="6" t="s">
        <v>317</v>
      </c>
      <c r="C412" s="16">
        <v>3</v>
      </c>
      <c r="D412" s="7">
        <v>126.83374999999999</v>
      </c>
      <c r="E412" s="15">
        <v>8</v>
      </c>
      <c r="F412" s="19">
        <v>0.23995486217000001</v>
      </c>
      <c r="G412" s="44">
        <v>84130</v>
      </c>
      <c r="H412" s="50">
        <f t="shared" si="6"/>
        <v>84</v>
      </c>
    </row>
    <row r="413" spans="1:8" ht="25.5" x14ac:dyDescent="0.2">
      <c r="A413" s="14" t="s">
        <v>308</v>
      </c>
      <c r="B413" s="6" t="s">
        <v>314</v>
      </c>
      <c r="C413" s="12">
        <v>3</v>
      </c>
      <c r="D413" s="7">
        <v>88.297272699999994</v>
      </c>
      <c r="E413" s="15">
        <v>11</v>
      </c>
      <c r="F413" s="19">
        <v>0.29601552605999998</v>
      </c>
      <c r="G413" s="44">
        <v>84200</v>
      </c>
      <c r="H413" s="50">
        <f t="shared" si="6"/>
        <v>84</v>
      </c>
    </row>
    <row r="414" spans="1:8" ht="25.5" x14ac:dyDescent="0.2">
      <c r="A414" s="14" t="s">
        <v>308</v>
      </c>
      <c r="B414" s="6" t="s">
        <v>338</v>
      </c>
      <c r="C414" s="12">
        <v>3</v>
      </c>
      <c r="D414" s="7">
        <v>355.06222220000001</v>
      </c>
      <c r="E414" s="15">
        <v>9</v>
      </c>
      <c r="F414" s="19">
        <v>0.21817177584</v>
      </c>
      <c r="G414" s="44">
        <v>84200</v>
      </c>
      <c r="H414" s="50">
        <f t="shared" si="6"/>
        <v>84</v>
      </c>
    </row>
    <row r="415" spans="1:8" ht="25.5" x14ac:dyDescent="0.2">
      <c r="A415" s="14" t="s">
        <v>308</v>
      </c>
      <c r="B415" s="6" t="s">
        <v>417</v>
      </c>
      <c r="C415" s="12">
        <v>3</v>
      </c>
      <c r="D415" s="7">
        <v>45.32</v>
      </c>
      <c r="E415" s="15">
        <v>1</v>
      </c>
      <c r="F415" s="19">
        <v>0.57171226830999999</v>
      </c>
      <c r="G415" s="44">
        <v>84270</v>
      </c>
      <c r="H415" s="50">
        <f t="shared" si="6"/>
        <v>84</v>
      </c>
    </row>
    <row r="416" spans="1:8" ht="25.5" x14ac:dyDescent="0.2">
      <c r="A416" s="14" t="s">
        <v>308</v>
      </c>
      <c r="B416" s="6" t="s">
        <v>339</v>
      </c>
      <c r="C416" s="12">
        <v>3</v>
      </c>
      <c r="D416" s="7">
        <v>241.50555560000001</v>
      </c>
      <c r="E416" s="15">
        <v>18</v>
      </c>
      <c r="F416" s="19">
        <v>0.22630673322</v>
      </c>
      <c r="G416" s="44">
        <v>84300</v>
      </c>
      <c r="H416" s="50">
        <f t="shared" si="6"/>
        <v>84</v>
      </c>
    </row>
    <row r="417" spans="1:8" ht="25.5" x14ac:dyDescent="0.2">
      <c r="A417" s="14" t="s">
        <v>308</v>
      </c>
      <c r="B417" s="6" t="s">
        <v>444</v>
      </c>
      <c r="C417" s="12">
        <v>3</v>
      </c>
      <c r="D417" s="7">
        <v>217.05199999999999</v>
      </c>
      <c r="E417" s="15">
        <v>5</v>
      </c>
      <c r="F417" s="19">
        <v>0.22001179440999999</v>
      </c>
      <c r="G417" s="44">
        <v>84400</v>
      </c>
      <c r="H417" s="50">
        <f t="shared" si="6"/>
        <v>84</v>
      </c>
    </row>
    <row r="418" spans="1:8" ht="25.5" x14ac:dyDescent="0.2">
      <c r="A418" s="14" t="s">
        <v>308</v>
      </c>
      <c r="B418" s="6" t="s">
        <v>434</v>
      </c>
      <c r="C418" s="12">
        <v>3</v>
      </c>
      <c r="D418" s="7">
        <v>266.67</v>
      </c>
      <c r="E418" s="15">
        <v>6</v>
      </c>
      <c r="F418" s="19">
        <v>0.21913726078000001</v>
      </c>
      <c r="G418" s="44">
        <v>84700</v>
      </c>
      <c r="H418" s="50">
        <f t="shared" si="6"/>
        <v>84</v>
      </c>
    </row>
    <row r="419" spans="1:8" ht="25.5" x14ac:dyDescent="0.2">
      <c r="A419" s="14" t="s">
        <v>160</v>
      </c>
      <c r="B419" s="6" t="s">
        <v>164</v>
      </c>
      <c r="C419" s="12">
        <v>3</v>
      </c>
      <c r="D419" s="7">
        <v>241.42500000000001</v>
      </c>
      <c r="E419" s="15">
        <v>8</v>
      </c>
      <c r="F419" s="19">
        <v>0.20906751578999999</v>
      </c>
      <c r="G419" s="44">
        <v>87003</v>
      </c>
      <c r="H419" s="50">
        <f t="shared" si="6"/>
        <v>87</v>
      </c>
    </row>
    <row r="420" spans="1:8" ht="38.25" x14ac:dyDescent="0.2">
      <c r="A420" s="14" t="s">
        <v>160</v>
      </c>
      <c r="B420" s="6" t="s">
        <v>163</v>
      </c>
      <c r="C420" s="12">
        <v>3</v>
      </c>
      <c r="D420" s="7">
        <v>1842.1789474</v>
      </c>
      <c r="E420" s="15">
        <v>19</v>
      </c>
      <c r="F420" s="19">
        <v>0.19783762934999999</v>
      </c>
      <c r="G420" s="44">
        <v>87003</v>
      </c>
      <c r="H420" s="50">
        <f t="shared" si="6"/>
        <v>87</v>
      </c>
    </row>
    <row r="421" spans="1:8" ht="25.5" x14ac:dyDescent="0.2">
      <c r="A421" s="14" t="s">
        <v>291</v>
      </c>
      <c r="B421" s="6" t="s">
        <v>294</v>
      </c>
      <c r="C421" s="12">
        <v>3</v>
      </c>
      <c r="D421" s="7">
        <v>130.5907143</v>
      </c>
      <c r="E421" s="15">
        <v>9</v>
      </c>
      <c r="F421" s="19">
        <v>0.28941020746000001</v>
      </c>
      <c r="G421" s="44">
        <v>89630</v>
      </c>
      <c r="H421" s="50">
        <f t="shared" si="6"/>
        <v>89</v>
      </c>
    </row>
    <row r="422" spans="1:8" ht="38.25" x14ac:dyDescent="0.2">
      <c r="A422" s="14" t="s">
        <v>184</v>
      </c>
      <c r="B422" s="6" t="s">
        <v>185</v>
      </c>
      <c r="C422" s="16">
        <v>3</v>
      </c>
      <c r="D422" s="7">
        <v>68.1674194</v>
      </c>
      <c r="E422" s="15">
        <v>10</v>
      </c>
      <c r="F422" s="19">
        <v>0.11523336755999999</v>
      </c>
      <c r="G422" s="47">
        <v>91000</v>
      </c>
      <c r="H422" s="50">
        <f t="shared" si="6"/>
        <v>91</v>
      </c>
    </row>
    <row r="423" spans="1:8" ht="25.5" x14ac:dyDescent="0.2">
      <c r="A423" s="14" t="s">
        <v>184</v>
      </c>
      <c r="B423" s="6" t="s">
        <v>268</v>
      </c>
      <c r="C423" s="12">
        <v>3</v>
      </c>
      <c r="D423" s="7">
        <v>366.153211</v>
      </c>
      <c r="E423" s="15">
        <v>35</v>
      </c>
      <c r="F423" s="19">
        <v>7.7430137780000005E-2</v>
      </c>
      <c r="G423" s="44">
        <v>91000</v>
      </c>
      <c r="H423" s="50">
        <f t="shared" si="6"/>
        <v>91</v>
      </c>
    </row>
    <row r="424" spans="1:8" ht="25.5" x14ac:dyDescent="0.2">
      <c r="A424" s="14" t="s">
        <v>290</v>
      </c>
      <c r="B424" s="6" t="s">
        <v>268</v>
      </c>
      <c r="C424" s="16">
        <v>3</v>
      </c>
      <c r="D424" s="7">
        <v>655.92499999999995</v>
      </c>
      <c r="E424" s="15">
        <v>2</v>
      </c>
      <c r="F424" s="19">
        <v>7.2120288140000002E-2</v>
      </c>
      <c r="G424" s="44">
        <v>91000</v>
      </c>
      <c r="H424" s="50">
        <f t="shared" si="6"/>
        <v>91</v>
      </c>
    </row>
    <row r="425" spans="1:8" ht="38.25" x14ac:dyDescent="0.2">
      <c r="A425" s="14" t="s">
        <v>184</v>
      </c>
      <c r="B425" s="6" t="s">
        <v>208</v>
      </c>
      <c r="C425" s="12">
        <v>3</v>
      </c>
      <c r="D425" s="7">
        <v>31.836666699999999</v>
      </c>
      <c r="E425" s="15">
        <v>9</v>
      </c>
      <c r="F425" s="19">
        <v>0.10893332868</v>
      </c>
      <c r="G425" s="44">
        <v>91150</v>
      </c>
      <c r="H425" s="50">
        <f t="shared" si="6"/>
        <v>91</v>
      </c>
    </row>
    <row r="426" spans="1:8" ht="25.5" x14ac:dyDescent="0.2">
      <c r="A426" s="14" t="s">
        <v>184</v>
      </c>
      <c r="B426" s="6" t="s">
        <v>197</v>
      </c>
      <c r="C426" s="12">
        <v>3</v>
      </c>
      <c r="D426" s="7">
        <v>65.422142899999997</v>
      </c>
      <c r="E426" s="15">
        <v>12</v>
      </c>
      <c r="F426" s="19">
        <v>0.10265819422</v>
      </c>
      <c r="G426" s="44">
        <v>91190</v>
      </c>
      <c r="H426" s="50">
        <f t="shared" si="6"/>
        <v>91</v>
      </c>
    </row>
    <row r="427" spans="1:8" ht="38.25" x14ac:dyDescent="0.2">
      <c r="A427" s="14" t="s">
        <v>160</v>
      </c>
      <c r="B427" s="6" t="s">
        <v>174</v>
      </c>
      <c r="C427" s="12">
        <v>3</v>
      </c>
      <c r="D427" s="7">
        <v>254.44444440000001</v>
      </c>
      <c r="E427" s="15">
        <v>18</v>
      </c>
      <c r="F427" s="19">
        <v>0.39841812227000001</v>
      </c>
      <c r="G427" s="44">
        <v>91200</v>
      </c>
      <c r="H427" s="50">
        <f t="shared" si="6"/>
        <v>91</v>
      </c>
    </row>
    <row r="428" spans="1:8" ht="38.25" x14ac:dyDescent="0.2">
      <c r="A428" s="14" t="s">
        <v>298</v>
      </c>
      <c r="B428" s="6" t="s">
        <v>174</v>
      </c>
      <c r="C428" s="12">
        <v>3</v>
      </c>
      <c r="D428" s="7">
        <v>290.75920000000002</v>
      </c>
      <c r="E428" s="15">
        <v>9</v>
      </c>
      <c r="F428" s="19">
        <v>0.28349795981999998</v>
      </c>
      <c r="G428" s="44">
        <v>91200</v>
      </c>
      <c r="H428" s="50">
        <f t="shared" si="6"/>
        <v>91</v>
      </c>
    </row>
    <row r="429" spans="1:8" ht="25.5" x14ac:dyDescent="0.2">
      <c r="A429" s="14" t="s">
        <v>280</v>
      </c>
      <c r="B429" s="6" t="s">
        <v>286</v>
      </c>
      <c r="C429" s="12">
        <v>3</v>
      </c>
      <c r="D429" s="7">
        <v>56.980499999999999</v>
      </c>
      <c r="E429" s="15">
        <v>21</v>
      </c>
      <c r="F429" s="19">
        <v>0.29731019090999999</v>
      </c>
      <c r="G429" s="44">
        <v>91260</v>
      </c>
      <c r="H429" s="50">
        <f t="shared" si="6"/>
        <v>91</v>
      </c>
    </row>
    <row r="430" spans="1:8" ht="25.5" x14ac:dyDescent="0.2">
      <c r="A430" s="14" t="s">
        <v>184</v>
      </c>
      <c r="B430" s="6" t="s">
        <v>239</v>
      </c>
      <c r="C430" s="12">
        <v>3</v>
      </c>
      <c r="D430" s="7">
        <v>12.38</v>
      </c>
      <c r="E430" s="15">
        <v>1</v>
      </c>
      <c r="F430" s="19">
        <v>0.49404954226999998</v>
      </c>
      <c r="G430" s="44">
        <v>91420</v>
      </c>
      <c r="H430" s="50">
        <f t="shared" si="6"/>
        <v>91</v>
      </c>
    </row>
    <row r="431" spans="1:8" ht="25.5" x14ac:dyDescent="0.2">
      <c r="A431" s="14" t="s">
        <v>184</v>
      </c>
      <c r="B431" s="6" t="s">
        <v>191</v>
      </c>
      <c r="C431" s="12">
        <v>3</v>
      </c>
      <c r="D431" s="7">
        <v>174.19136359999999</v>
      </c>
      <c r="E431" s="15">
        <v>8</v>
      </c>
      <c r="F431" s="19">
        <v>9.0649259829999995E-2</v>
      </c>
      <c r="G431" s="44">
        <v>91420</v>
      </c>
      <c r="H431" s="50">
        <f t="shared" si="6"/>
        <v>91</v>
      </c>
    </row>
    <row r="432" spans="1:8" ht="25.5" x14ac:dyDescent="0.2">
      <c r="A432" s="14" t="s">
        <v>184</v>
      </c>
      <c r="B432" s="6" t="s">
        <v>212</v>
      </c>
      <c r="C432" s="12">
        <v>3</v>
      </c>
      <c r="D432" s="7">
        <v>88.773750000000007</v>
      </c>
      <c r="E432" s="15">
        <v>8</v>
      </c>
      <c r="F432" s="19">
        <v>8.7977395720000004E-2</v>
      </c>
      <c r="G432" s="44">
        <v>91460</v>
      </c>
      <c r="H432" s="50">
        <f t="shared" si="6"/>
        <v>91</v>
      </c>
    </row>
    <row r="433" spans="1:8" ht="25.5" x14ac:dyDescent="0.2">
      <c r="A433" s="14" t="s">
        <v>184</v>
      </c>
      <c r="B433" s="6" t="s">
        <v>270</v>
      </c>
      <c r="C433" s="12">
        <v>3</v>
      </c>
      <c r="D433" s="7">
        <v>68.757727299999999</v>
      </c>
      <c r="E433" s="15">
        <v>8</v>
      </c>
      <c r="F433" s="19">
        <v>0.10099294625000001</v>
      </c>
      <c r="G433" s="44">
        <v>91470</v>
      </c>
      <c r="H433" s="50">
        <f t="shared" si="6"/>
        <v>91</v>
      </c>
    </row>
    <row r="434" spans="1:8" ht="25.5" x14ac:dyDescent="0.2">
      <c r="A434" s="14" t="s">
        <v>184</v>
      </c>
      <c r="B434" s="6" t="s">
        <v>273</v>
      </c>
      <c r="C434" s="12">
        <v>3</v>
      </c>
      <c r="D434" s="7">
        <v>45.186428599999999</v>
      </c>
      <c r="E434" s="15">
        <v>14</v>
      </c>
      <c r="F434" s="19">
        <v>9.9346095280000005E-2</v>
      </c>
      <c r="G434" s="44">
        <v>92000</v>
      </c>
      <c r="H434" s="50">
        <f t="shared" si="6"/>
        <v>92</v>
      </c>
    </row>
    <row r="435" spans="1:8" ht="38.25" x14ac:dyDescent="0.2">
      <c r="A435" s="14" t="s">
        <v>184</v>
      </c>
      <c r="B435" s="6" t="s">
        <v>173</v>
      </c>
      <c r="C435" s="12">
        <v>3</v>
      </c>
      <c r="D435" s="7">
        <v>85.3</v>
      </c>
      <c r="E435" s="15">
        <v>1</v>
      </c>
      <c r="F435" s="19">
        <v>8.8522860489999994E-2</v>
      </c>
      <c r="G435" s="44">
        <v>92000</v>
      </c>
      <c r="H435" s="50">
        <f t="shared" si="6"/>
        <v>92</v>
      </c>
    </row>
    <row r="436" spans="1:8" ht="38.25" x14ac:dyDescent="0.2">
      <c r="A436" s="14" t="s">
        <v>160</v>
      </c>
      <c r="B436" s="6" t="s">
        <v>173</v>
      </c>
      <c r="C436" s="12">
        <v>3</v>
      </c>
      <c r="D436" s="7">
        <v>89.083333300000007</v>
      </c>
      <c r="E436" s="15">
        <v>9</v>
      </c>
      <c r="F436" s="19">
        <v>0.26405363267999998</v>
      </c>
      <c r="G436" s="44">
        <v>92000</v>
      </c>
      <c r="H436" s="50">
        <f t="shared" si="6"/>
        <v>92</v>
      </c>
    </row>
    <row r="437" spans="1:8" ht="25.5" x14ac:dyDescent="0.2">
      <c r="A437" s="14" t="s">
        <v>184</v>
      </c>
      <c r="B437" s="6" t="s">
        <v>209</v>
      </c>
      <c r="C437" s="12">
        <v>3</v>
      </c>
      <c r="D437" s="7">
        <v>46.301250000000003</v>
      </c>
      <c r="E437" s="15">
        <v>8</v>
      </c>
      <c r="F437" s="19">
        <v>9.8795028930000001E-2</v>
      </c>
      <c r="G437" s="44">
        <v>92100</v>
      </c>
      <c r="H437" s="50">
        <f t="shared" si="6"/>
        <v>92</v>
      </c>
    </row>
    <row r="438" spans="1:8" ht="25.5" x14ac:dyDescent="0.2">
      <c r="A438" s="14" t="s">
        <v>184</v>
      </c>
      <c r="B438" s="6" t="s">
        <v>226</v>
      </c>
      <c r="C438" s="12">
        <v>3</v>
      </c>
      <c r="D438" s="7">
        <v>51.508076899999999</v>
      </c>
      <c r="E438" s="15">
        <v>16</v>
      </c>
      <c r="F438" s="19">
        <v>0.11103635726</v>
      </c>
      <c r="G438" s="44">
        <v>92150</v>
      </c>
      <c r="H438" s="50">
        <f t="shared" si="6"/>
        <v>92</v>
      </c>
    </row>
    <row r="439" spans="1:8" x14ac:dyDescent="0.2">
      <c r="A439" s="14" t="s">
        <v>184</v>
      </c>
      <c r="B439" s="6" t="s">
        <v>248</v>
      </c>
      <c r="C439" s="12">
        <v>3</v>
      </c>
      <c r="D439" s="7">
        <v>119.22333329999999</v>
      </c>
      <c r="E439" s="15">
        <v>9</v>
      </c>
      <c r="F439" s="19">
        <v>8.5055125300000006E-2</v>
      </c>
      <c r="G439" s="44">
        <v>92150</v>
      </c>
      <c r="H439" s="50">
        <f t="shared" si="6"/>
        <v>92</v>
      </c>
    </row>
    <row r="440" spans="1:8" ht="38.25" x14ac:dyDescent="0.2">
      <c r="A440" s="14" t="s">
        <v>184</v>
      </c>
      <c r="B440" s="6" t="s">
        <v>189</v>
      </c>
      <c r="C440" s="12">
        <v>3</v>
      </c>
      <c r="D440" s="7">
        <v>74.311578900000001</v>
      </c>
      <c r="E440" s="15">
        <v>18</v>
      </c>
      <c r="F440" s="19">
        <v>9.7982416380000006E-2</v>
      </c>
      <c r="G440" s="44">
        <v>92190</v>
      </c>
      <c r="H440" s="50">
        <f t="shared" si="6"/>
        <v>92</v>
      </c>
    </row>
    <row r="441" spans="1:8" ht="25.5" x14ac:dyDescent="0.2">
      <c r="A441" s="14" t="s">
        <v>184</v>
      </c>
      <c r="B441" s="6" t="s">
        <v>271</v>
      </c>
      <c r="C441" s="12">
        <v>3</v>
      </c>
      <c r="D441" s="7">
        <v>54.831111100000001</v>
      </c>
      <c r="E441" s="15">
        <v>9</v>
      </c>
      <c r="F441" s="19">
        <v>9.5291940229999997E-2</v>
      </c>
      <c r="G441" s="44">
        <v>92200</v>
      </c>
      <c r="H441" s="50">
        <f t="shared" si="6"/>
        <v>92</v>
      </c>
    </row>
    <row r="442" spans="1:8" ht="25.5" x14ac:dyDescent="0.2">
      <c r="A442" s="14" t="s">
        <v>184</v>
      </c>
      <c r="B442" s="6" t="s">
        <v>263</v>
      </c>
      <c r="C442" s="12">
        <v>3</v>
      </c>
      <c r="D442" s="7">
        <v>155.22666670000001</v>
      </c>
      <c r="E442" s="15">
        <v>9</v>
      </c>
      <c r="F442" s="19">
        <v>8.3034606499999997E-2</v>
      </c>
      <c r="G442" s="44">
        <v>92210</v>
      </c>
      <c r="H442" s="50">
        <f t="shared" si="6"/>
        <v>92</v>
      </c>
    </row>
    <row r="443" spans="1:8" ht="25.5" x14ac:dyDescent="0.2">
      <c r="A443" s="14" t="s">
        <v>184</v>
      </c>
      <c r="B443" s="6" t="s">
        <v>240</v>
      </c>
      <c r="C443" s="16">
        <v>3</v>
      </c>
      <c r="D443" s="7">
        <v>75.364444399999996</v>
      </c>
      <c r="E443" s="15">
        <v>9</v>
      </c>
      <c r="F443" s="19">
        <v>9.0133376579999994E-2</v>
      </c>
      <c r="G443" s="44">
        <v>92600</v>
      </c>
      <c r="H443" s="50">
        <f t="shared" si="6"/>
        <v>92</v>
      </c>
    </row>
    <row r="444" spans="1:8" ht="38.25" x14ac:dyDescent="0.2">
      <c r="A444" s="14" t="s">
        <v>184</v>
      </c>
      <c r="B444" s="6" t="s">
        <v>249</v>
      </c>
      <c r="C444" s="12">
        <v>3</v>
      </c>
      <c r="D444" s="7">
        <v>92.1088235</v>
      </c>
      <c r="E444" s="15">
        <v>16</v>
      </c>
      <c r="F444" s="19">
        <v>9.1818288260000006E-2</v>
      </c>
      <c r="G444" s="44">
        <v>92600</v>
      </c>
      <c r="H444" s="50">
        <f t="shared" si="6"/>
        <v>92</v>
      </c>
    </row>
    <row r="445" spans="1:8" ht="25.5" x14ac:dyDescent="0.2">
      <c r="A445" s="14" t="s">
        <v>184</v>
      </c>
      <c r="B445" s="6" t="s">
        <v>246</v>
      </c>
      <c r="C445" s="12">
        <v>3</v>
      </c>
      <c r="D445" s="7">
        <v>152.63736840000001</v>
      </c>
      <c r="E445" s="15">
        <v>18</v>
      </c>
      <c r="F445" s="19">
        <v>8.351269435E-2</v>
      </c>
      <c r="G445" s="44">
        <v>92700</v>
      </c>
      <c r="H445" s="50">
        <f t="shared" si="6"/>
        <v>92</v>
      </c>
    </row>
    <row r="446" spans="1:8" ht="25.5" x14ac:dyDescent="0.2">
      <c r="A446" s="14" t="s">
        <v>604</v>
      </c>
      <c r="B446" s="6" t="s">
        <v>110</v>
      </c>
      <c r="C446" s="12">
        <v>3</v>
      </c>
      <c r="D446" s="7">
        <v>16.224736799999999</v>
      </c>
      <c r="E446" s="15">
        <v>12</v>
      </c>
      <c r="F446" s="19">
        <v>1.5592564959299999</v>
      </c>
      <c r="G446" s="44">
        <v>92730</v>
      </c>
      <c r="H446" s="50">
        <f t="shared" si="6"/>
        <v>92</v>
      </c>
    </row>
    <row r="447" spans="1:8" ht="38.25" x14ac:dyDescent="0.2">
      <c r="A447" s="14" t="s">
        <v>308</v>
      </c>
      <c r="B447" s="6" t="s">
        <v>284</v>
      </c>
      <c r="C447" s="12">
        <v>3</v>
      </c>
      <c r="D447" s="7">
        <v>40.6</v>
      </c>
      <c r="E447" s="15">
        <v>1</v>
      </c>
      <c r="F447" s="19">
        <v>0.63817733990000003</v>
      </c>
      <c r="G447" s="44">
        <v>93100</v>
      </c>
      <c r="H447" s="50">
        <f t="shared" si="6"/>
        <v>93</v>
      </c>
    </row>
    <row r="448" spans="1:8" ht="38.25" x14ac:dyDescent="0.2">
      <c r="A448" s="14" t="s">
        <v>280</v>
      </c>
      <c r="B448" s="6" t="s">
        <v>284</v>
      </c>
      <c r="C448" s="12">
        <v>3</v>
      </c>
      <c r="D448" s="7">
        <v>43.0296296</v>
      </c>
      <c r="E448" s="15">
        <v>10</v>
      </c>
      <c r="F448" s="19">
        <v>0.34543294886999998</v>
      </c>
      <c r="G448" s="44">
        <v>93100</v>
      </c>
      <c r="H448" s="50">
        <f t="shared" si="6"/>
        <v>93</v>
      </c>
    </row>
    <row r="449" spans="1:8" ht="38.25" x14ac:dyDescent="0.2">
      <c r="A449" s="14" t="s">
        <v>184</v>
      </c>
      <c r="B449" s="6" t="s">
        <v>235</v>
      </c>
      <c r="C449" s="16">
        <v>3</v>
      </c>
      <c r="D449" s="7">
        <v>83.3919231</v>
      </c>
      <c r="E449" s="15">
        <v>24</v>
      </c>
      <c r="F449" s="19">
        <v>9.472601571E-2</v>
      </c>
      <c r="G449" s="44">
        <v>93230</v>
      </c>
      <c r="H449" s="50">
        <f t="shared" si="6"/>
        <v>93</v>
      </c>
    </row>
    <row r="450" spans="1:8" ht="25.5" x14ac:dyDescent="0.2">
      <c r="A450" s="14" t="s">
        <v>184</v>
      </c>
      <c r="B450" s="6" t="s">
        <v>201</v>
      </c>
      <c r="C450" s="12">
        <v>3</v>
      </c>
      <c r="D450" s="7">
        <v>72.563783799999996</v>
      </c>
      <c r="E450" s="15">
        <v>12</v>
      </c>
      <c r="F450" s="19">
        <v>0.13255216286999999</v>
      </c>
      <c r="G450" s="44">
        <v>93340</v>
      </c>
      <c r="H450" s="50">
        <f t="shared" si="6"/>
        <v>93</v>
      </c>
    </row>
    <row r="451" spans="1:8" ht="38.25" x14ac:dyDescent="0.2">
      <c r="A451" s="14" t="s">
        <v>489</v>
      </c>
      <c r="B451" s="6" t="s">
        <v>498</v>
      </c>
      <c r="C451" s="12">
        <v>3</v>
      </c>
      <c r="D451" s="7">
        <v>19.16</v>
      </c>
      <c r="E451" s="15">
        <v>5</v>
      </c>
      <c r="F451" s="19">
        <v>0.17</v>
      </c>
      <c r="G451" s="44">
        <v>94000</v>
      </c>
      <c r="H451" s="50">
        <f t="shared" ref="H451:H514" si="7">IF(LEN(G451)=4,VALUE(LEFT(G451,1)),VALUE(LEFT(G451,2)))</f>
        <v>94</v>
      </c>
    </row>
    <row r="452" spans="1:8" ht="25.5" x14ac:dyDescent="0.2">
      <c r="A452" s="14" t="s">
        <v>184</v>
      </c>
      <c r="B452" s="6" t="s">
        <v>276</v>
      </c>
      <c r="C452" s="12">
        <v>3</v>
      </c>
      <c r="D452" s="7">
        <v>283.54846149999997</v>
      </c>
      <c r="E452" s="15">
        <v>37</v>
      </c>
      <c r="F452" s="19">
        <v>7.7882856370000003E-2</v>
      </c>
      <c r="G452" s="44">
        <v>94000</v>
      </c>
      <c r="H452" s="50">
        <f t="shared" si="7"/>
        <v>94</v>
      </c>
    </row>
    <row r="453" spans="1:8" ht="38.25" x14ac:dyDescent="0.2">
      <c r="A453" s="14" t="s">
        <v>184</v>
      </c>
      <c r="B453" s="6" t="s">
        <v>228</v>
      </c>
      <c r="C453" s="12">
        <v>3</v>
      </c>
      <c r="D453" s="7">
        <v>74.858750000000001</v>
      </c>
      <c r="E453" s="15">
        <v>8</v>
      </c>
      <c r="F453" s="19">
        <v>9.0226593420000001E-2</v>
      </c>
      <c r="G453" s="44">
        <v>94120</v>
      </c>
      <c r="H453" s="50">
        <f t="shared" si="7"/>
        <v>94</v>
      </c>
    </row>
    <row r="454" spans="1:8" ht="25.5" x14ac:dyDescent="0.2">
      <c r="A454" s="14" t="s">
        <v>184</v>
      </c>
      <c r="B454" s="6" t="s">
        <v>206</v>
      </c>
      <c r="C454" s="12">
        <v>3</v>
      </c>
      <c r="D454" s="7">
        <v>65.137272699999997</v>
      </c>
      <c r="E454" s="15">
        <v>11</v>
      </c>
      <c r="F454" s="19">
        <v>0.15289621451999999</v>
      </c>
      <c r="G454" s="44">
        <v>94130</v>
      </c>
      <c r="H454" s="50">
        <f t="shared" si="7"/>
        <v>94</v>
      </c>
    </row>
    <row r="455" spans="1:8" x14ac:dyDescent="0.2">
      <c r="A455" s="14" t="s">
        <v>184</v>
      </c>
      <c r="B455" s="6" t="s">
        <v>260</v>
      </c>
      <c r="C455" s="16">
        <v>3</v>
      </c>
      <c r="D455" s="7">
        <v>188.7816176</v>
      </c>
      <c r="E455" s="15">
        <v>43</v>
      </c>
      <c r="F455" s="19">
        <v>8.3885325009999998E-2</v>
      </c>
      <c r="G455" s="44">
        <v>94150</v>
      </c>
      <c r="H455" s="50">
        <f t="shared" si="7"/>
        <v>94</v>
      </c>
    </row>
    <row r="456" spans="1:8" ht="25.5" x14ac:dyDescent="0.2">
      <c r="A456" s="14" t="s">
        <v>184</v>
      </c>
      <c r="B456" s="6" t="s">
        <v>196</v>
      </c>
      <c r="C456" s="12">
        <v>3</v>
      </c>
      <c r="D456" s="7">
        <v>505.6</v>
      </c>
      <c r="E456" s="15">
        <v>3</v>
      </c>
      <c r="F456" s="19">
        <v>7.8392888539999997E-2</v>
      </c>
      <c r="G456" s="44">
        <v>94200</v>
      </c>
      <c r="H456" s="50">
        <f t="shared" si="7"/>
        <v>94</v>
      </c>
    </row>
    <row r="457" spans="1:8" ht="38.25" x14ac:dyDescent="0.2">
      <c r="A457" s="14" t="s">
        <v>184</v>
      </c>
      <c r="B457" s="6" t="s">
        <v>217</v>
      </c>
      <c r="C457" s="12">
        <v>3</v>
      </c>
      <c r="D457" s="7">
        <v>34.4</v>
      </c>
      <c r="E457" s="15">
        <v>5</v>
      </c>
      <c r="F457" s="19">
        <v>0.10657751938</v>
      </c>
      <c r="G457" s="44">
        <v>94220</v>
      </c>
      <c r="H457" s="50">
        <f t="shared" si="7"/>
        <v>94</v>
      </c>
    </row>
    <row r="458" spans="1:8" ht="38.25" x14ac:dyDescent="0.2">
      <c r="A458" s="14" t="s">
        <v>184</v>
      </c>
      <c r="B458" s="6" t="s">
        <v>234</v>
      </c>
      <c r="C458" s="12">
        <v>3</v>
      </c>
      <c r="D458" s="7">
        <v>91.444444399999995</v>
      </c>
      <c r="E458" s="15">
        <v>9</v>
      </c>
      <c r="F458" s="19">
        <v>8.7709194010000005E-2</v>
      </c>
      <c r="G458" s="44">
        <v>94300</v>
      </c>
      <c r="H458" s="50">
        <f t="shared" si="7"/>
        <v>94</v>
      </c>
    </row>
    <row r="459" spans="1:8" ht="38.25" x14ac:dyDescent="0.2">
      <c r="A459" s="14" t="s">
        <v>184</v>
      </c>
      <c r="B459" s="6" t="s">
        <v>211</v>
      </c>
      <c r="C459" s="12">
        <v>3</v>
      </c>
      <c r="D459" s="7">
        <v>205.49489800000001</v>
      </c>
      <c r="E459" s="15">
        <v>16</v>
      </c>
      <c r="F459" s="19">
        <v>8.7847257740000004E-2</v>
      </c>
      <c r="G459" s="44">
        <v>94300</v>
      </c>
      <c r="H459" s="50">
        <f t="shared" si="7"/>
        <v>94</v>
      </c>
    </row>
    <row r="460" spans="1:8" ht="38.25" x14ac:dyDescent="0.2">
      <c r="A460" s="14" t="s">
        <v>160</v>
      </c>
      <c r="B460" s="6" t="s">
        <v>162</v>
      </c>
      <c r="C460" s="12">
        <v>3</v>
      </c>
      <c r="D460" s="7">
        <v>3979.37</v>
      </c>
      <c r="E460" s="15">
        <v>9</v>
      </c>
      <c r="F460" s="19">
        <v>0.22979165043999999</v>
      </c>
      <c r="G460" s="44">
        <v>94350</v>
      </c>
      <c r="H460" s="50">
        <f t="shared" si="7"/>
        <v>94</v>
      </c>
    </row>
    <row r="461" spans="1:8" ht="25.5" x14ac:dyDescent="0.2">
      <c r="A461" s="14" t="s">
        <v>184</v>
      </c>
      <c r="B461" s="6" t="s">
        <v>202</v>
      </c>
      <c r="C461" s="12">
        <v>3</v>
      </c>
      <c r="D461" s="7">
        <v>172.93</v>
      </c>
      <c r="E461" s="15">
        <v>3</v>
      </c>
      <c r="F461" s="19">
        <v>8.2349955340000003E-2</v>
      </c>
      <c r="G461" s="44">
        <v>94370</v>
      </c>
      <c r="H461" s="50">
        <f t="shared" si="7"/>
        <v>94</v>
      </c>
    </row>
    <row r="462" spans="1:8" ht="25.5" x14ac:dyDescent="0.2">
      <c r="A462" s="14" t="s">
        <v>184</v>
      </c>
      <c r="B462" s="6" t="s">
        <v>262</v>
      </c>
      <c r="C462" s="12">
        <v>3</v>
      </c>
      <c r="D462" s="7">
        <v>46.183888899999999</v>
      </c>
      <c r="E462" s="15">
        <v>18</v>
      </c>
      <c r="F462" s="19">
        <v>9.8854418530000002E-2</v>
      </c>
      <c r="G462" s="44">
        <v>94538</v>
      </c>
      <c r="H462" s="50">
        <f t="shared" si="7"/>
        <v>94</v>
      </c>
    </row>
    <row r="463" spans="1:8" ht="25.5" x14ac:dyDescent="0.2">
      <c r="A463" s="14" t="s">
        <v>184</v>
      </c>
      <c r="B463" s="6" t="s">
        <v>274</v>
      </c>
      <c r="C463" s="16">
        <v>3</v>
      </c>
      <c r="D463" s="7">
        <v>441.61</v>
      </c>
      <c r="E463" s="15">
        <v>2</v>
      </c>
      <c r="F463" s="19">
        <v>7.869122831E-2</v>
      </c>
      <c r="G463" s="44">
        <v>94538</v>
      </c>
      <c r="H463" s="50">
        <f t="shared" si="7"/>
        <v>94</v>
      </c>
    </row>
    <row r="464" spans="1:8" x14ac:dyDescent="0.2">
      <c r="A464" s="14" t="s">
        <v>160</v>
      </c>
      <c r="B464" s="6" t="s">
        <v>172</v>
      </c>
      <c r="C464" s="16">
        <v>3</v>
      </c>
      <c r="D464" s="7">
        <v>626.45333330000005</v>
      </c>
      <c r="E464" s="15">
        <v>9</v>
      </c>
      <c r="F464" s="19">
        <v>0.23399047193</v>
      </c>
      <c r="G464" s="44">
        <v>94619</v>
      </c>
      <c r="H464" s="50">
        <f t="shared" si="7"/>
        <v>94</v>
      </c>
    </row>
    <row r="465" spans="1:8" ht="38.25" x14ac:dyDescent="0.2">
      <c r="A465" s="14" t="s">
        <v>160</v>
      </c>
      <c r="B465" s="6" t="s">
        <v>169</v>
      </c>
      <c r="C465" s="12">
        <v>3</v>
      </c>
      <c r="D465" s="7">
        <v>264.50428570000003</v>
      </c>
      <c r="E465" s="15">
        <v>35</v>
      </c>
      <c r="F465" s="19">
        <v>0.24080139128</v>
      </c>
      <c r="G465" s="44">
        <v>94657</v>
      </c>
      <c r="H465" s="50">
        <f t="shared" si="7"/>
        <v>94</v>
      </c>
    </row>
    <row r="466" spans="1:8" ht="38.25" x14ac:dyDescent="0.2">
      <c r="A466" s="14" t="s">
        <v>184</v>
      </c>
      <c r="B466" s="6" t="s">
        <v>221</v>
      </c>
      <c r="C466" s="12">
        <v>3</v>
      </c>
      <c r="D466" s="7">
        <v>164.7161538</v>
      </c>
      <c r="E466" s="15">
        <v>13</v>
      </c>
      <c r="F466" s="19">
        <v>8.2650028880000004E-2</v>
      </c>
      <c r="G466" s="44">
        <v>95100</v>
      </c>
      <c r="H466" s="50">
        <f t="shared" si="7"/>
        <v>95</v>
      </c>
    </row>
    <row r="467" spans="1:8" ht="25.5" x14ac:dyDescent="0.2">
      <c r="A467" s="14" t="s">
        <v>184</v>
      </c>
      <c r="B467" s="6" t="s">
        <v>204</v>
      </c>
      <c r="C467" s="12">
        <v>3</v>
      </c>
      <c r="D467" s="7">
        <v>95.894000000000005</v>
      </c>
      <c r="E467" s="15">
        <v>10</v>
      </c>
      <c r="F467" s="19">
        <v>8.7182722589999997E-2</v>
      </c>
      <c r="G467" s="44">
        <v>95230</v>
      </c>
      <c r="H467" s="50">
        <f t="shared" si="7"/>
        <v>95</v>
      </c>
    </row>
    <row r="468" spans="1:8" ht="25.5" x14ac:dyDescent="0.2">
      <c r="A468" s="14" t="s">
        <v>184</v>
      </c>
      <c r="B468" s="6" t="s">
        <v>216</v>
      </c>
      <c r="C468" s="12">
        <v>3</v>
      </c>
      <c r="D468" s="7">
        <v>115.6483333</v>
      </c>
      <c r="E468" s="15">
        <v>17</v>
      </c>
      <c r="F468" s="19">
        <v>0.14835412593</v>
      </c>
      <c r="G468" s="44">
        <v>95290</v>
      </c>
      <c r="H468" s="50">
        <f t="shared" si="7"/>
        <v>95</v>
      </c>
    </row>
    <row r="469" spans="1:8" ht="25.5" x14ac:dyDescent="0.2">
      <c r="A469" s="14" t="s">
        <v>184</v>
      </c>
      <c r="B469" s="6" t="s">
        <v>250</v>
      </c>
      <c r="C469" s="16">
        <v>3</v>
      </c>
      <c r="D469" s="7">
        <v>261.12534879999998</v>
      </c>
      <c r="E469" s="15">
        <v>14</v>
      </c>
      <c r="F469" s="19">
        <v>8.6878350320000006E-2</v>
      </c>
      <c r="G469" s="44">
        <v>95310</v>
      </c>
      <c r="H469" s="50">
        <f t="shared" si="7"/>
        <v>95</v>
      </c>
    </row>
    <row r="470" spans="1:8" ht="25.5" x14ac:dyDescent="0.2">
      <c r="A470" s="14" t="s">
        <v>184</v>
      </c>
      <c r="B470" s="6" t="s">
        <v>269</v>
      </c>
      <c r="C470" s="16">
        <v>3</v>
      </c>
      <c r="D470" s="7">
        <v>83.648947399999997</v>
      </c>
      <c r="E470" s="15">
        <v>7</v>
      </c>
      <c r="F470" s="19">
        <v>0.11001679953</v>
      </c>
      <c r="G470" s="44">
        <v>95430</v>
      </c>
      <c r="H470" s="50">
        <f t="shared" si="7"/>
        <v>95</v>
      </c>
    </row>
    <row r="471" spans="1:8" ht="25.5" x14ac:dyDescent="0.2">
      <c r="A471" s="14" t="s">
        <v>184</v>
      </c>
      <c r="B471" s="6" t="s">
        <v>199</v>
      </c>
      <c r="C471" s="12">
        <v>3</v>
      </c>
      <c r="D471" s="7">
        <v>30.500645200000001</v>
      </c>
      <c r="E471" s="15">
        <v>10</v>
      </c>
      <c r="F471" s="19">
        <v>0.16220809713000001</v>
      </c>
      <c r="G471" s="44">
        <v>95460</v>
      </c>
      <c r="H471" s="50">
        <f t="shared" si="7"/>
        <v>95</v>
      </c>
    </row>
    <row r="472" spans="1:8" x14ac:dyDescent="0.2">
      <c r="A472" s="14" t="s">
        <v>184</v>
      </c>
      <c r="B472" s="6" t="s">
        <v>219</v>
      </c>
      <c r="C472" s="12">
        <v>3</v>
      </c>
      <c r="D472" s="7">
        <v>145.07124999999999</v>
      </c>
      <c r="E472" s="15">
        <v>8</v>
      </c>
      <c r="F472" s="19">
        <v>8.3510114280000006E-2</v>
      </c>
      <c r="G472" s="44">
        <v>95520</v>
      </c>
      <c r="H472" s="50">
        <f t="shared" si="7"/>
        <v>95</v>
      </c>
    </row>
    <row r="473" spans="1:8" ht="38.25" x14ac:dyDescent="0.2">
      <c r="A473" s="14" t="s">
        <v>184</v>
      </c>
      <c r="B473" s="6" t="s">
        <v>272</v>
      </c>
      <c r="C473" s="12">
        <v>3</v>
      </c>
      <c r="D473" s="7">
        <v>144.5733333</v>
      </c>
      <c r="E473" s="15">
        <v>9</v>
      </c>
      <c r="F473" s="19">
        <v>8.3532130299999993E-2</v>
      </c>
      <c r="G473" s="44">
        <v>97000</v>
      </c>
      <c r="H473" s="50">
        <f t="shared" si="7"/>
        <v>97</v>
      </c>
    </row>
    <row r="474" spans="1:8" ht="25.5" x14ac:dyDescent="0.2">
      <c r="A474" s="14" t="s">
        <v>134</v>
      </c>
      <c r="B474" s="6" t="s">
        <v>151</v>
      </c>
      <c r="C474" s="12">
        <v>3</v>
      </c>
      <c r="D474" s="7">
        <v>27.090555599999998</v>
      </c>
      <c r="E474" s="15">
        <v>7</v>
      </c>
      <c r="F474" s="19">
        <v>0.55971125648999998</v>
      </c>
      <c r="G474" s="44">
        <v>697803</v>
      </c>
      <c r="H474" s="50">
        <f t="shared" si="7"/>
        <v>69</v>
      </c>
    </row>
    <row r="475" spans="1:8" ht="25.5" x14ac:dyDescent="0.2">
      <c r="A475" s="14" t="s">
        <v>556</v>
      </c>
      <c r="B475" s="6" t="s">
        <v>151</v>
      </c>
      <c r="C475" s="12">
        <v>3</v>
      </c>
      <c r="D475" s="7">
        <v>33.947777799999997</v>
      </c>
      <c r="E475" s="15">
        <v>10</v>
      </c>
      <c r="F475" s="19">
        <v>0.45822014205</v>
      </c>
      <c r="G475" s="44">
        <v>697803</v>
      </c>
      <c r="H475" s="50">
        <f t="shared" si="7"/>
        <v>69</v>
      </c>
    </row>
    <row r="476" spans="1:8" ht="25.5" x14ac:dyDescent="0.2">
      <c r="A476" s="14" t="s">
        <v>556</v>
      </c>
      <c r="B476" s="6" t="s">
        <v>560</v>
      </c>
      <c r="C476" s="16">
        <v>6</v>
      </c>
      <c r="D476" s="7">
        <v>166.06666670000001</v>
      </c>
      <c r="E476" s="15">
        <v>4</v>
      </c>
      <c r="F476" s="19">
        <v>0.17810116418999999</v>
      </c>
      <c r="G476" s="44">
        <v>1000</v>
      </c>
      <c r="H476" s="50">
        <f t="shared" si="7"/>
        <v>1</v>
      </c>
    </row>
    <row r="477" spans="1:8" ht="25.5" x14ac:dyDescent="0.2">
      <c r="A477" s="14" t="s">
        <v>291</v>
      </c>
      <c r="B477" s="6" t="s">
        <v>122</v>
      </c>
      <c r="C477" s="16">
        <v>6</v>
      </c>
      <c r="D477" s="7">
        <v>18.0227273</v>
      </c>
      <c r="E477" s="15">
        <v>8</v>
      </c>
      <c r="F477" s="19">
        <v>0.67376040353</v>
      </c>
      <c r="G477" s="44">
        <v>1100</v>
      </c>
      <c r="H477" s="50">
        <f t="shared" si="7"/>
        <v>1</v>
      </c>
    </row>
    <row r="478" spans="1:8" ht="25.5" x14ac:dyDescent="0.2">
      <c r="A478" s="14" t="s">
        <v>120</v>
      </c>
      <c r="B478" s="6" t="s">
        <v>122</v>
      </c>
      <c r="C478" s="16">
        <v>6</v>
      </c>
      <c r="D478" s="7">
        <v>18.524565200000001</v>
      </c>
      <c r="E478" s="15">
        <v>28</v>
      </c>
      <c r="F478" s="19">
        <v>1.2754321523700001</v>
      </c>
      <c r="G478" s="44">
        <v>1100</v>
      </c>
      <c r="H478" s="50">
        <f t="shared" si="7"/>
        <v>1</v>
      </c>
    </row>
    <row r="479" spans="1:8" ht="25.5" x14ac:dyDescent="0.2">
      <c r="A479" s="14" t="s">
        <v>134</v>
      </c>
      <c r="B479" s="6" t="s">
        <v>147</v>
      </c>
      <c r="C479" s="16">
        <v>6</v>
      </c>
      <c r="D479" s="7">
        <v>28.47</v>
      </c>
      <c r="E479" s="15">
        <v>1</v>
      </c>
      <c r="F479" s="19">
        <v>0.53199859501000002</v>
      </c>
      <c r="G479" s="44">
        <v>1250</v>
      </c>
      <c r="H479" s="50">
        <f t="shared" si="7"/>
        <v>1</v>
      </c>
    </row>
    <row r="480" spans="1:8" ht="25.5" x14ac:dyDescent="0.2">
      <c r="A480" s="14" t="s">
        <v>556</v>
      </c>
      <c r="B480" s="6" t="s">
        <v>147</v>
      </c>
      <c r="C480" s="16">
        <v>6</v>
      </c>
      <c r="D480" s="7">
        <v>53.015000000000001</v>
      </c>
      <c r="E480" s="15">
        <v>2</v>
      </c>
      <c r="F480" s="19">
        <v>0.19815146656999999</v>
      </c>
      <c r="G480" s="44">
        <v>1250</v>
      </c>
      <c r="H480" s="50">
        <f t="shared" si="7"/>
        <v>1</v>
      </c>
    </row>
    <row r="481" spans="1:8" ht="25.5" x14ac:dyDescent="0.2">
      <c r="A481" s="14" t="s">
        <v>556</v>
      </c>
      <c r="B481" s="6" t="s">
        <v>146</v>
      </c>
      <c r="C481" s="12">
        <v>6</v>
      </c>
      <c r="D481" s="7">
        <v>290.041875</v>
      </c>
      <c r="E481" s="15">
        <v>50</v>
      </c>
      <c r="F481" s="19">
        <v>0.17895998854</v>
      </c>
      <c r="G481" s="44">
        <v>1260</v>
      </c>
      <c r="H481" s="50">
        <f t="shared" si="7"/>
        <v>1</v>
      </c>
    </row>
    <row r="482" spans="1:8" ht="25.5" x14ac:dyDescent="0.2">
      <c r="A482" s="14" t="s">
        <v>134</v>
      </c>
      <c r="B482" s="6" t="s">
        <v>146</v>
      </c>
      <c r="C482" s="16">
        <v>6</v>
      </c>
      <c r="D482" s="7">
        <v>315.00802470000002</v>
      </c>
      <c r="E482" s="15">
        <v>41</v>
      </c>
      <c r="F482" s="19">
        <v>0.21251804285000001</v>
      </c>
      <c r="G482" s="44">
        <v>1260</v>
      </c>
      <c r="H482" s="50">
        <f t="shared" si="7"/>
        <v>1</v>
      </c>
    </row>
    <row r="483" spans="1:8" ht="25.5" x14ac:dyDescent="0.2">
      <c r="A483" s="14" t="s">
        <v>308</v>
      </c>
      <c r="B483" s="6" t="s">
        <v>423</v>
      </c>
      <c r="C483" s="16">
        <v>6</v>
      </c>
      <c r="D483" s="7">
        <v>238.60911759999999</v>
      </c>
      <c r="E483" s="8">
        <v>68</v>
      </c>
      <c r="F483" s="9">
        <v>0.22101591206999999</v>
      </c>
      <c r="G483" s="44">
        <v>3000</v>
      </c>
      <c r="H483" s="50">
        <f t="shared" si="7"/>
        <v>3</v>
      </c>
    </row>
    <row r="484" spans="1:8" ht="38.25" x14ac:dyDescent="0.2">
      <c r="A484" s="14" t="s">
        <v>308</v>
      </c>
      <c r="B484" s="6" t="s">
        <v>381</v>
      </c>
      <c r="C484" s="16">
        <v>6</v>
      </c>
      <c r="D484" s="7">
        <v>18.456190500000002</v>
      </c>
      <c r="E484" s="8">
        <v>21</v>
      </c>
      <c r="F484" s="9">
        <v>1.40386500851</v>
      </c>
      <c r="G484" s="44">
        <v>4300</v>
      </c>
      <c r="H484" s="50">
        <f t="shared" si="7"/>
        <v>4</v>
      </c>
    </row>
    <row r="485" spans="1:8" ht="25.5" x14ac:dyDescent="0.2">
      <c r="A485" s="14" t="s">
        <v>308</v>
      </c>
      <c r="B485" s="6" t="s">
        <v>419</v>
      </c>
      <c r="C485" s="12">
        <v>6</v>
      </c>
      <c r="D485" s="7">
        <v>376.85714289999999</v>
      </c>
      <c r="E485" s="8">
        <v>7</v>
      </c>
      <c r="F485" s="9">
        <v>0.2211884003</v>
      </c>
      <c r="G485" s="44">
        <v>6000</v>
      </c>
      <c r="H485" s="50">
        <f t="shared" si="7"/>
        <v>6</v>
      </c>
    </row>
    <row r="486" spans="1:8" ht="25.5" x14ac:dyDescent="0.2">
      <c r="A486" s="14" t="s">
        <v>308</v>
      </c>
      <c r="B486" s="6" t="s">
        <v>346</v>
      </c>
      <c r="C486" s="12">
        <v>6</v>
      </c>
      <c r="D486" s="7">
        <v>249.1518519</v>
      </c>
      <c r="E486" s="8">
        <v>54</v>
      </c>
      <c r="F486" s="9">
        <v>0.22481856967</v>
      </c>
      <c r="G486" s="44">
        <v>6110</v>
      </c>
      <c r="H486" s="50">
        <f t="shared" si="7"/>
        <v>6</v>
      </c>
    </row>
    <row r="487" spans="1:8" ht="25.5" x14ac:dyDescent="0.2">
      <c r="A487" s="14" t="s">
        <v>308</v>
      </c>
      <c r="B487" s="6" t="s">
        <v>359</v>
      </c>
      <c r="C487" s="16">
        <v>6</v>
      </c>
      <c r="D487" s="7">
        <v>377.51</v>
      </c>
      <c r="E487" s="8">
        <v>9</v>
      </c>
      <c r="F487" s="9">
        <v>0.21800070050000001</v>
      </c>
      <c r="G487" s="44">
        <v>6110</v>
      </c>
      <c r="H487" s="50">
        <f t="shared" si="7"/>
        <v>6</v>
      </c>
    </row>
    <row r="488" spans="1:8" ht="25.5" x14ac:dyDescent="0.2">
      <c r="A488" s="14" t="s">
        <v>8</v>
      </c>
      <c r="B488" s="6" t="s">
        <v>64</v>
      </c>
      <c r="C488" s="12">
        <v>6</v>
      </c>
      <c r="D488" s="7">
        <v>37.39</v>
      </c>
      <c r="E488" s="8">
        <v>1</v>
      </c>
      <c r="F488" s="9">
        <v>0.97619684407999996</v>
      </c>
      <c r="G488" s="44">
        <v>6150</v>
      </c>
      <c r="H488" s="50">
        <f t="shared" si="7"/>
        <v>6</v>
      </c>
    </row>
    <row r="489" spans="1:8" ht="25.5" x14ac:dyDescent="0.2">
      <c r="A489" s="14" t="s">
        <v>8</v>
      </c>
      <c r="B489" s="6" t="s">
        <v>101</v>
      </c>
      <c r="C489" s="16">
        <v>6</v>
      </c>
      <c r="D489" s="7">
        <v>1.98</v>
      </c>
      <c r="E489" s="8">
        <v>1</v>
      </c>
      <c r="F489" s="9">
        <v>18.434343434340001</v>
      </c>
      <c r="G489" s="44">
        <v>6200</v>
      </c>
      <c r="H489" s="50">
        <f t="shared" si="7"/>
        <v>6</v>
      </c>
    </row>
    <row r="490" spans="1:8" ht="38.25" x14ac:dyDescent="0.2">
      <c r="A490" s="14" t="s">
        <v>8</v>
      </c>
      <c r="B490" s="6" t="s">
        <v>102</v>
      </c>
      <c r="C490" s="16">
        <v>6</v>
      </c>
      <c r="D490" s="7">
        <v>259.42</v>
      </c>
      <c r="E490" s="8">
        <v>2</v>
      </c>
      <c r="F490" s="9">
        <v>0.41050420168000001</v>
      </c>
      <c r="G490" s="44">
        <v>6200</v>
      </c>
      <c r="H490" s="50">
        <f t="shared" si="7"/>
        <v>6</v>
      </c>
    </row>
    <row r="491" spans="1:8" ht="25.5" x14ac:dyDescent="0.2">
      <c r="A491" s="14" t="s">
        <v>308</v>
      </c>
      <c r="B491" s="6" t="s">
        <v>424</v>
      </c>
      <c r="C491" s="16">
        <v>6</v>
      </c>
      <c r="D491" s="7">
        <v>97.321052600000002</v>
      </c>
      <c r="E491" s="8">
        <v>38</v>
      </c>
      <c r="F491" s="9">
        <v>0.27585014331000002</v>
      </c>
      <c r="G491" s="44">
        <v>6201</v>
      </c>
      <c r="H491" s="50">
        <f t="shared" si="7"/>
        <v>6</v>
      </c>
    </row>
    <row r="492" spans="1:8" x14ac:dyDescent="0.2">
      <c r="A492" s="14" t="s">
        <v>308</v>
      </c>
      <c r="B492" s="6" t="s">
        <v>363</v>
      </c>
      <c r="C492" s="16">
        <v>6</v>
      </c>
      <c r="D492" s="7">
        <v>91.357142899999999</v>
      </c>
      <c r="E492" s="8">
        <v>10</v>
      </c>
      <c r="F492" s="9">
        <v>0.28353166536000002</v>
      </c>
      <c r="G492" s="44">
        <v>6296</v>
      </c>
      <c r="H492" s="50">
        <f t="shared" si="7"/>
        <v>6</v>
      </c>
    </row>
    <row r="493" spans="1:8" ht="25.5" x14ac:dyDescent="0.2">
      <c r="A493" s="14" t="s">
        <v>308</v>
      </c>
      <c r="B493" s="6" t="s">
        <v>331</v>
      </c>
      <c r="C493" s="12">
        <v>6</v>
      </c>
      <c r="D493" s="7">
        <v>224.3</v>
      </c>
      <c r="E493" s="8">
        <v>1</v>
      </c>
      <c r="F493" s="9">
        <v>0.21987962550000001</v>
      </c>
      <c r="G493" s="44">
        <v>6300</v>
      </c>
      <c r="H493" s="50">
        <f t="shared" si="7"/>
        <v>6</v>
      </c>
    </row>
    <row r="494" spans="1:8" ht="38.25" x14ac:dyDescent="0.2">
      <c r="A494" s="14" t="s">
        <v>308</v>
      </c>
      <c r="B494" s="6" t="s">
        <v>316</v>
      </c>
      <c r="C494" s="12">
        <v>6</v>
      </c>
      <c r="D494" s="7">
        <v>299.1333333</v>
      </c>
      <c r="E494" s="8">
        <v>6</v>
      </c>
      <c r="F494" s="9">
        <v>0.22292734567</v>
      </c>
      <c r="G494" s="44">
        <v>6300</v>
      </c>
      <c r="H494" s="50">
        <f t="shared" si="7"/>
        <v>6</v>
      </c>
    </row>
    <row r="495" spans="1:8" x14ac:dyDescent="0.2">
      <c r="A495" s="14" t="s">
        <v>308</v>
      </c>
      <c r="B495" s="6" t="s">
        <v>416</v>
      </c>
      <c r="C495" s="16">
        <v>6</v>
      </c>
      <c r="D495" s="7">
        <v>98.121333300000003</v>
      </c>
      <c r="E495" s="8">
        <v>15</v>
      </c>
      <c r="F495" s="9">
        <v>0.28062466877999998</v>
      </c>
      <c r="G495" s="44">
        <v>6400</v>
      </c>
      <c r="H495" s="50">
        <f t="shared" si="7"/>
        <v>6</v>
      </c>
    </row>
    <row r="496" spans="1:8" ht="25.5" x14ac:dyDescent="0.2">
      <c r="A496" s="14" t="s">
        <v>308</v>
      </c>
      <c r="B496" s="6" t="s">
        <v>426</v>
      </c>
      <c r="C496" s="16">
        <v>6</v>
      </c>
      <c r="D496" s="7">
        <v>278.46166670000002</v>
      </c>
      <c r="E496" s="8">
        <v>6</v>
      </c>
      <c r="F496" s="9">
        <v>0.21897149219000001</v>
      </c>
      <c r="G496" s="44">
        <v>6450</v>
      </c>
      <c r="H496" s="50">
        <f t="shared" si="7"/>
        <v>6</v>
      </c>
    </row>
    <row r="497" spans="1:8" ht="25.5" x14ac:dyDescent="0.2">
      <c r="A497" s="14" t="s">
        <v>308</v>
      </c>
      <c r="B497" s="6" t="s">
        <v>413</v>
      </c>
      <c r="C497" s="16">
        <v>6</v>
      </c>
      <c r="D497" s="7">
        <v>114.25404760000001</v>
      </c>
      <c r="E497" s="8">
        <v>42</v>
      </c>
      <c r="F497" s="9">
        <v>0.24492515635000001</v>
      </c>
      <c r="G497" s="44">
        <v>6500</v>
      </c>
      <c r="H497" s="50">
        <f t="shared" si="7"/>
        <v>6</v>
      </c>
    </row>
    <row r="498" spans="1:8" ht="38.25" x14ac:dyDescent="0.2">
      <c r="A498" s="14" t="s">
        <v>308</v>
      </c>
      <c r="B498" s="6" t="s">
        <v>414</v>
      </c>
      <c r="C498" s="12">
        <v>6</v>
      </c>
      <c r="D498" s="7">
        <v>172.00333330000001</v>
      </c>
      <c r="E498" s="8">
        <v>3</v>
      </c>
      <c r="F498" s="9">
        <v>0.22126702971000001</v>
      </c>
      <c r="G498" s="44">
        <v>6500</v>
      </c>
      <c r="H498" s="50">
        <f t="shared" si="7"/>
        <v>6</v>
      </c>
    </row>
    <row r="499" spans="1:8" ht="25.5" x14ac:dyDescent="0.2">
      <c r="A499" s="14" t="s">
        <v>308</v>
      </c>
      <c r="B499" s="6" t="s">
        <v>408</v>
      </c>
      <c r="C499" s="12">
        <v>6</v>
      </c>
      <c r="D499" s="7">
        <v>176.78666670000001</v>
      </c>
      <c r="E499" s="8">
        <v>12</v>
      </c>
      <c r="F499" s="9">
        <v>0.22837176635000001</v>
      </c>
      <c r="G499" s="44">
        <v>6500</v>
      </c>
      <c r="H499" s="50">
        <f t="shared" si="7"/>
        <v>6</v>
      </c>
    </row>
    <row r="500" spans="1:8" ht="25.5" x14ac:dyDescent="0.2">
      <c r="A500" s="14" t="s">
        <v>308</v>
      </c>
      <c r="B500" s="6" t="s">
        <v>387</v>
      </c>
      <c r="C500" s="16">
        <v>6</v>
      </c>
      <c r="D500" s="7">
        <v>138.57900000000001</v>
      </c>
      <c r="E500" s="8">
        <v>10</v>
      </c>
      <c r="F500" s="9">
        <v>0.22269607949</v>
      </c>
      <c r="G500" s="44">
        <v>6560</v>
      </c>
      <c r="H500" s="50">
        <f t="shared" si="7"/>
        <v>6</v>
      </c>
    </row>
    <row r="501" spans="1:8" ht="25.5" x14ac:dyDescent="0.2">
      <c r="A501" s="14" t="s">
        <v>562</v>
      </c>
      <c r="B501" s="6" t="s">
        <v>564</v>
      </c>
      <c r="C501" s="16">
        <v>6</v>
      </c>
      <c r="D501" s="7">
        <v>1322.55</v>
      </c>
      <c r="E501" s="8">
        <v>2</v>
      </c>
      <c r="F501" s="9">
        <v>0.24615099618</v>
      </c>
      <c r="G501" s="44">
        <v>10113</v>
      </c>
      <c r="H501" s="50">
        <f t="shared" si="7"/>
        <v>10</v>
      </c>
    </row>
    <row r="502" spans="1:8" ht="25.5" x14ac:dyDescent="0.2">
      <c r="A502" s="14" t="s">
        <v>489</v>
      </c>
      <c r="B502" s="6" t="s">
        <v>508</v>
      </c>
      <c r="C502" s="12">
        <v>6</v>
      </c>
      <c r="D502" s="7">
        <v>14.4161538</v>
      </c>
      <c r="E502" s="8">
        <v>13</v>
      </c>
      <c r="F502" s="9">
        <v>0.17000160077000001</v>
      </c>
      <c r="G502" s="44">
        <v>11100</v>
      </c>
      <c r="H502" s="50">
        <f t="shared" si="7"/>
        <v>11</v>
      </c>
    </row>
    <row r="503" spans="1:8" ht="25.5" x14ac:dyDescent="0.2">
      <c r="A503" s="14" t="s">
        <v>5</v>
      </c>
      <c r="B503" s="6" t="s">
        <v>6</v>
      </c>
      <c r="C503" s="12">
        <v>6</v>
      </c>
      <c r="D503" s="7">
        <v>6.34</v>
      </c>
      <c r="E503" s="8">
        <v>1</v>
      </c>
      <c r="F503" s="9">
        <v>0.15</v>
      </c>
      <c r="G503" s="44">
        <v>12000</v>
      </c>
      <c r="H503" s="50">
        <f t="shared" si="7"/>
        <v>12</v>
      </c>
    </row>
    <row r="504" spans="1:8" ht="25.5" x14ac:dyDescent="0.2">
      <c r="A504" s="14" t="s">
        <v>184</v>
      </c>
      <c r="B504" s="6" t="s">
        <v>279</v>
      </c>
      <c r="C504" s="16">
        <v>6</v>
      </c>
      <c r="D504" s="7">
        <v>30.91</v>
      </c>
      <c r="E504" s="8">
        <v>1</v>
      </c>
      <c r="F504" s="9">
        <v>0.10995362881</v>
      </c>
      <c r="G504" s="44">
        <v>12000</v>
      </c>
      <c r="H504" s="50">
        <f t="shared" si="7"/>
        <v>12</v>
      </c>
    </row>
    <row r="505" spans="1:8" ht="25.5" x14ac:dyDescent="0.2">
      <c r="A505" s="14" t="s">
        <v>297</v>
      </c>
      <c r="B505" s="6" t="s">
        <v>279</v>
      </c>
      <c r="C505" s="16">
        <v>6</v>
      </c>
      <c r="D505" s="7">
        <v>35.799999999999997</v>
      </c>
      <c r="E505" s="8">
        <v>1</v>
      </c>
      <c r="F505" s="9">
        <v>0.47326815641999997</v>
      </c>
      <c r="G505" s="44">
        <v>12000</v>
      </c>
      <c r="H505" s="50">
        <f t="shared" si="7"/>
        <v>12</v>
      </c>
    </row>
    <row r="506" spans="1:8" ht="25.5" x14ac:dyDescent="0.2">
      <c r="A506" s="14" t="s">
        <v>533</v>
      </c>
      <c r="B506" s="6" t="s">
        <v>100</v>
      </c>
      <c r="C506" s="12">
        <v>6</v>
      </c>
      <c r="D506" s="7">
        <v>35.86</v>
      </c>
      <c r="E506" s="8">
        <v>2</v>
      </c>
      <c r="F506" s="9">
        <v>0.47308979363999998</v>
      </c>
      <c r="G506" s="44">
        <v>12000</v>
      </c>
      <c r="H506" s="50">
        <f t="shared" si="7"/>
        <v>12</v>
      </c>
    </row>
    <row r="507" spans="1:8" ht="25.5" x14ac:dyDescent="0.2">
      <c r="A507" s="14" t="s">
        <v>8</v>
      </c>
      <c r="B507" s="6" t="s">
        <v>100</v>
      </c>
      <c r="C507" s="12">
        <v>6</v>
      </c>
      <c r="D507" s="7">
        <v>36.79</v>
      </c>
      <c r="E507" s="8">
        <v>1</v>
      </c>
      <c r="F507" s="9">
        <v>0.82631149769000001</v>
      </c>
      <c r="G507" s="44">
        <v>12000</v>
      </c>
      <c r="H507" s="50">
        <f t="shared" si="7"/>
        <v>12</v>
      </c>
    </row>
    <row r="508" spans="1:8" ht="25.5" x14ac:dyDescent="0.2">
      <c r="A508" s="14" t="s">
        <v>489</v>
      </c>
      <c r="B508" s="6" t="s">
        <v>517</v>
      </c>
      <c r="C508" s="16">
        <v>6</v>
      </c>
      <c r="D508" s="7">
        <v>64.459999999999994</v>
      </c>
      <c r="E508" s="8">
        <v>3</v>
      </c>
      <c r="F508" s="9">
        <v>0.17000206846999999</v>
      </c>
      <c r="G508" s="44">
        <v>12000</v>
      </c>
      <c r="H508" s="50">
        <f t="shared" si="7"/>
        <v>12</v>
      </c>
    </row>
    <row r="509" spans="1:8" ht="25.5" x14ac:dyDescent="0.2">
      <c r="A509" s="14" t="s">
        <v>461</v>
      </c>
      <c r="B509" s="6" t="s">
        <v>279</v>
      </c>
      <c r="C509" s="16">
        <v>6</v>
      </c>
      <c r="D509" s="7">
        <v>123</v>
      </c>
      <c r="E509" s="8">
        <v>1</v>
      </c>
      <c r="F509" s="9">
        <v>0.17</v>
      </c>
      <c r="G509" s="44">
        <v>12000</v>
      </c>
      <c r="H509" s="50">
        <f t="shared" si="7"/>
        <v>12</v>
      </c>
    </row>
    <row r="510" spans="1:8" ht="25.5" x14ac:dyDescent="0.2">
      <c r="A510" s="14" t="s">
        <v>184</v>
      </c>
      <c r="B510" s="6" t="s">
        <v>264</v>
      </c>
      <c r="C510" s="16">
        <v>6</v>
      </c>
      <c r="D510" s="7">
        <v>236.72</v>
      </c>
      <c r="E510" s="8">
        <v>1</v>
      </c>
      <c r="F510" s="9">
        <v>8.0736735379999994E-2</v>
      </c>
      <c r="G510" s="44">
        <v>12000</v>
      </c>
      <c r="H510" s="50">
        <f t="shared" si="7"/>
        <v>12</v>
      </c>
    </row>
    <row r="511" spans="1:8" ht="25.5" x14ac:dyDescent="0.2">
      <c r="A511" s="14" t="s">
        <v>308</v>
      </c>
      <c r="B511" s="6" t="s">
        <v>279</v>
      </c>
      <c r="C511" s="12">
        <v>6</v>
      </c>
      <c r="D511" s="7">
        <v>390.71</v>
      </c>
      <c r="E511" s="8">
        <v>1</v>
      </c>
      <c r="F511" s="9">
        <v>0.21790586368000001</v>
      </c>
      <c r="G511" s="44">
        <v>12000</v>
      </c>
      <c r="H511" s="50">
        <f t="shared" si="7"/>
        <v>12</v>
      </c>
    </row>
    <row r="512" spans="1:8" ht="25.5" x14ac:dyDescent="0.2">
      <c r="A512" s="14" t="s">
        <v>308</v>
      </c>
      <c r="B512" s="6" t="s">
        <v>323</v>
      </c>
      <c r="C512" s="16">
        <v>6</v>
      </c>
      <c r="D512" s="7">
        <v>509.15</v>
      </c>
      <c r="E512" s="8">
        <v>1</v>
      </c>
      <c r="F512" s="9">
        <v>0.21728763626</v>
      </c>
      <c r="G512" s="44">
        <v>12012</v>
      </c>
      <c r="H512" s="50">
        <f t="shared" si="7"/>
        <v>12</v>
      </c>
    </row>
    <row r="513" spans="1:8" ht="25.5" x14ac:dyDescent="0.2">
      <c r="A513" s="14" t="s">
        <v>562</v>
      </c>
      <c r="B513" s="6" t="s">
        <v>582</v>
      </c>
      <c r="C513" s="16">
        <v>6</v>
      </c>
      <c r="D513" s="7">
        <v>1067.7818182000001</v>
      </c>
      <c r="E513" s="8">
        <v>11</v>
      </c>
      <c r="F513" s="9">
        <v>0.25183507015000001</v>
      </c>
      <c r="G513" s="44">
        <v>12040</v>
      </c>
      <c r="H513" s="50">
        <f t="shared" si="7"/>
        <v>12</v>
      </c>
    </row>
    <row r="514" spans="1:8" ht="38.25" x14ac:dyDescent="0.2">
      <c r="A514" s="14" t="s">
        <v>489</v>
      </c>
      <c r="B514" s="6" t="s">
        <v>519</v>
      </c>
      <c r="C514" s="16">
        <v>6</v>
      </c>
      <c r="D514" s="7">
        <v>48.145882399999998</v>
      </c>
      <c r="E514" s="8">
        <v>17</v>
      </c>
      <c r="F514" s="9">
        <v>0.17000048871000001</v>
      </c>
      <c r="G514" s="44">
        <v>12100</v>
      </c>
      <c r="H514" s="50">
        <f t="shared" si="7"/>
        <v>12</v>
      </c>
    </row>
    <row r="515" spans="1:8" x14ac:dyDescent="0.2">
      <c r="A515" s="14" t="s">
        <v>8</v>
      </c>
      <c r="B515" s="6" t="s">
        <v>18</v>
      </c>
      <c r="C515" s="16">
        <v>6</v>
      </c>
      <c r="D515" s="7">
        <v>13.3</v>
      </c>
      <c r="E515" s="8">
        <v>1</v>
      </c>
      <c r="F515" s="9">
        <v>1.22330827068</v>
      </c>
      <c r="G515" s="44">
        <v>12110</v>
      </c>
      <c r="H515" s="50">
        <f t="shared" ref="H515:H578" si="8">IF(LEN(G515)=4,VALUE(LEFT(G515,1)),VALUE(LEFT(G515,2)))</f>
        <v>12</v>
      </c>
    </row>
    <row r="516" spans="1:8" ht="38.25" x14ac:dyDescent="0.2">
      <c r="A516" s="14" t="s">
        <v>184</v>
      </c>
      <c r="B516" s="6" t="s">
        <v>236</v>
      </c>
      <c r="C516" s="12">
        <v>6</v>
      </c>
      <c r="D516" s="7">
        <v>167.15</v>
      </c>
      <c r="E516" s="8">
        <v>19</v>
      </c>
      <c r="F516" s="9">
        <v>8.1569531690000002E-2</v>
      </c>
      <c r="G516" s="44">
        <v>12110</v>
      </c>
      <c r="H516" s="50">
        <f t="shared" si="8"/>
        <v>12</v>
      </c>
    </row>
    <row r="517" spans="1:8" ht="25.5" x14ac:dyDescent="0.2">
      <c r="A517" s="14" t="s">
        <v>8</v>
      </c>
      <c r="B517" s="6" t="s">
        <v>10</v>
      </c>
      <c r="C517" s="12">
        <v>6</v>
      </c>
      <c r="D517" s="7">
        <v>64.510000000000005</v>
      </c>
      <c r="E517" s="8">
        <v>1</v>
      </c>
      <c r="F517" s="9">
        <v>0.28383196404</v>
      </c>
      <c r="G517" s="44">
        <v>12190</v>
      </c>
      <c r="H517" s="50">
        <f t="shared" si="8"/>
        <v>12</v>
      </c>
    </row>
    <row r="518" spans="1:8" ht="25.5" x14ac:dyDescent="0.2">
      <c r="A518" s="14" t="s">
        <v>8</v>
      </c>
      <c r="B518" s="6" t="s">
        <v>75</v>
      </c>
      <c r="C518" s="16">
        <v>6</v>
      </c>
      <c r="D518" s="7">
        <v>18.91</v>
      </c>
      <c r="E518" s="8">
        <v>2</v>
      </c>
      <c r="F518" s="9">
        <v>0.86039132734000001</v>
      </c>
      <c r="G518" s="44">
        <v>12200</v>
      </c>
      <c r="H518" s="50">
        <f t="shared" si="8"/>
        <v>12</v>
      </c>
    </row>
    <row r="519" spans="1:8" x14ac:dyDescent="0.2">
      <c r="A519" s="14" t="s">
        <v>489</v>
      </c>
      <c r="B519" s="6" t="s">
        <v>525</v>
      </c>
      <c r="C519" s="16">
        <v>6</v>
      </c>
      <c r="D519" s="7">
        <v>48.862857099999999</v>
      </c>
      <c r="E519" s="8">
        <v>7</v>
      </c>
      <c r="F519" s="9">
        <v>0.17000058472999999</v>
      </c>
      <c r="G519" s="44">
        <v>12200</v>
      </c>
      <c r="H519" s="50">
        <f t="shared" si="8"/>
        <v>12</v>
      </c>
    </row>
    <row r="520" spans="1:8" ht="38.25" x14ac:dyDescent="0.2">
      <c r="A520" s="14" t="s">
        <v>8</v>
      </c>
      <c r="B520" s="6" t="s">
        <v>51</v>
      </c>
      <c r="C520" s="16">
        <v>6</v>
      </c>
      <c r="D520" s="7">
        <v>5</v>
      </c>
      <c r="E520" s="8">
        <v>1</v>
      </c>
      <c r="F520" s="9">
        <v>3.254</v>
      </c>
      <c r="G520" s="44">
        <v>12230</v>
      </c>
      <c r="H520" s="50">
        <f t="shared" si="8"/>
        <v>12</v>
      </c>
    </row>
    <row r="521" spans="1:8" ht="25.5" x14ac:dyDescent="0.2">
      <c r="A521" s="14" t="s">
        <v>8</v>
      </c>
      <c r="B521" s="6" t="s">
        <v>76</v>
      </c>
      <c r="C521" s="12">
        <v>6</v>
      </c>
      <c r="D521" s="7">
        <v>5.4233333000000004</v>
      </c>
      <c r="E521" s="8">
        <v>3</v>
      </c>
      <c r="F521" s="9">
        <v>3</v>
      </c>
      <c r="G521" s="44">
        <v>12230</v>
      </c>
      <c r="H521" s="50">
        <f t="shared" si="8"/>
        <v>12</v>
      </c>
    </row>
    <row r="522" spans="1:8" ht="38.25" x14ac:dyDescent="0.2">
      <c r="A522" s="14" t="s">
        <v>8</v>
      </c>
      <c r="B522" s="6" t="s">
        <v>13</v>
      </c>
      <c r="C522" s="12">
        <v>6</v>
      </c>
      <c r="D522" s="7">
        <v>27.94</v>
      </c>
      <c r="E522" s="8">
        <v>1</v>
      </c>
      <c r="F522" s="9">
        <v>0.58231925554999997</v>
      </c>
      <c r="G522" s="44">
        <v>12230</v>
      </c>
      <c r="H522" s="50">
        <f t="shared" si="8"/>
        <v>12</v>
      </c>
    </row>
    <row r="523" spans="1:8" ht="25.5" x14ac:dyDescent="0.2">
      <c r="A523" s="14" t="s">
        <v>308</v>
      </c>
      <c r="B523" s="6" t="s">
        <v>385</v>
      </c>
      <c r="C523" s="12">
        <v>6</v>
      </c>
      <c r="D523" s="7">
        <v>6.6666667000000004</v>
      </c>
      <c r="E523" s="8">
        <v>3</v>
      </c>
      <c r="F523" s="9">
        <v>3.8864999999999998</v>
      </c>
      <c r="G523" s="44">
        <v>12290</v>
      </c>
      <c r="H523" s="50">
        <f t="shared" si="8"/>
        <v>12</v>
      </c>
    </row>
    <row r="524" spans="1:8" ht="38.25" x14ac:dyDescent="0.2">
      <c r="A524" s="14" t="s">
        <v>308</v>
      </c>
      <c r="B524" s="6" t="s">
        <v>367</v>
      </c>
      <c r="C524" s="12">
        <v>6</v>
      </c>
      <c r="D524" s="7">
        <v>18.279375000000002</v>
      </c>
      <c r="E524" s="8">
        <v>16</v>
      </c>
      <c r="F524" s="9">
        <v>1.41744452422</v>
      </c>
      <c r="G524" s="44">
        <v>12290</v>
      </c>
      <c r="H524" s="50">
        <f t="shared" si="8"/>
        <v>12</v>
      </c>
    </row>
    <row r="525" spans="1:8" ht="25.5" x14ac:dyDescent="0.2">
      <c r="A525" s="14" t="s">
        <v>134</v>
      </c>
      <c r="B525" s="6" t="s">
        <v>154</v>
      </c>
      <c r="C525" s="12">
        <v>6</v>
      </c>
      <c r="D525" s="7">
        <v>40.853333300000003</v>
      </c>
      <c r="E525" s="8">
        <v>3</v>
      </c>
      <c r="F525" s="9">
        <v>0.41124347257999999</v>
      </c>
      <c r="G525" s="44">
        <v>12340</v>
      </c>
      <c r="H525" s="50">
        <f t="shared" si="8"/>
        <v>12</v>
      </c>
    </row>
    <row r="526" spans="1:8" ht="25.5" x14ac:dyDescent="0.2">
      <c r="A526" s="14" t="s">
        <v>8</v>
      </c>
      <c r="B526" s="6" t="s">
        <v>63</v>
      </c>
      <c r="C526" s="16">
        <v>6</v>
      </c>
      <c r="D526" s="7">
        <v>7.4</v>
      </c>
      <c r="E526" s="8">
        <v>1</v>
      </c>
      <c r="F526" s="9">
        <v>7.6216216216200001</v>
      </c>
      <c r="G526" s="44">
        <v>12350</v>
      </c>
      <c r="H526" s="50">
        <f t="shared" si="8"/>
        <v>12</v>
      </c>
    </row>
    <row r="527" spans="1:8" ht="25.5" x14ac:dyDescent="0.2">
      <c r="A527" s="14" t="s">
        <v>8</v>
      </c>
      <c r="B527" s="6" t="s">
        <v>16</v>
      </c>
      <c r="C527" s="12">
        <v>6</v>
      </c>
      <c r="D527" s="7">
        <v>123.9</v>
      </c>
      <c r="E527" s="8">
        <v>1</v>
      </c>
      <c r="F527" s="9">
        <v>0.20338983051000001</v>
      </c>
      <c r="G527" s="44">
        <v>12360</v>
      </c>
      <c r="H527" s="50">
        <f t="shared" si="8"/>
        <v>12</v>
      </c>
    </row>
    <row r="528" spans="1:8" ht="25.5" x14ac:dyDescent="0.2">
      <c r="A528" s="14" t="s">
        <v>489</v>
      </c>
      <c r="B528" s="6" t="s">
        <v>514</v>
      </c>
      <c r="C528" s="16">
        <v>6</v>
      </c>
      <c r="D528" s="7">
        <v>105.7530769</v>
      </c>
      <c r="E528" s="8">
        <v>13</v>
      </c>
      <c r="F528" s="9">
        <v>0.17000123654999999</v>
      </c>
      <c r="G528" s="44">
        <v>12380</v>
      </c>
      <c r="H528" s="50">
        <f t="shared" si="8"/>
        <v>12</v>
      </c>
    </row>
    <row r="529" spans="1:8" ht="38.25" x14ac:dyDescent="0.2">
      <c r="A529" s="14" t="s">
        <v>8</v>
      </c>
      <c r="B529" s="6" t="s">
        <v>52</v>
      </c>
      <c r="C529" s="12">
        <v>6</v>
      </c>
      <c r="D529" s="7">
        <v>25.106000000000002</v>
      </c>
      <c r="E529" s="8">
        <v>5</v>
      </c>
      <c r="F529" s="9">
        <v>0.66430335378000005</v>
      </c>
      <c r="G529" s="44">
        <v>12400</v>
      </c>
      <c r="H529" s="50">
        <f t="shared" si="8"/>
        <v>12</v>
      </c>
    </row>
    <row r="530" spans="1:8" ht="38.25" x14ac:dyDescent="0.2">
      <c r="A530" s="14" t="s">
        <v>5</v>
      </c>
      <c r="B530" s="6" t="s">
        <v>7</v>
      </c>
      <c r="C530" s="16">
        <v>6</v>
      </c>
      <c r="D530" s="7">
        <v>185.5</v>
      </c>
      <c r="E530" s="8">
        <v>1</v>
      </c>
      <c r="F530" s="9">
        <v>0.15</v>
      </c>
      <c r="G530" s="44">
        <v>12430</v>
      </c>
      <c r="H530" s="50">
        <f t="shared" si="8"/>
        <v>12</v>
      </c>
    </row>
    <row r="531" spans="1:8" ht="25.5" x14ac:dyDescent="0.2">
      <c r="A531" s="14" t="s">
        <v>8</v>
      </c>
      <c r="B531" s="6" t="s">
        <v>54</v>
      </c>
      <c r="C531" s="16">
        <v>6</v>
      </c>
      <c r="D531" s="7">
        <v>14.63</v>
      </c>
      <c r="E531" s="8">
        <v>1</v>
      </c>
      <c r="F531" s="9">
        <v>1.1120984278899999</v>
      </c>
      <c r="G531" s="44">
        <v>12500</v>
      </c>
      <c r="H531" s="50">
        <f t="shared" si="8"/>
        <v>12</v>
      </c>
    </row>
    <row r="532" spans="1:8" ht="25.5" x14ac:dyDescent="0.2">
      <c r="A532" s="14" t="s">
        <v>8</v>
      </c>
      <c r="B532" s="6" t="s">
        <v>53</v>
      </c>
      <c r="C532" s="16">
        <v>6</v>
      </c>
      <c r="D532" s="7">
        <v>27.358000000000001</v>
      </c>
      <c r="E532" s="8">
        <v>5</v>
      </c>
      <c r="F532" s="9">
        <v>2.0615542071799999</v>
      </c>
      <c r="G532" s="44">
        <v>12500</v>
      </c>
      <c r="H532" s="50">
        <f t="shared" si="8"/>
        <v>12</v>
      </c>
    </row>
    <row r="533" spans="1:8" ht="25.5" x14ac:dyDescent="0.2">
      <c r="A533" s="14" t="s">
        <v>533</v>
      </c>
      <c r="B533" s="6" t="s">
        <v>552</v>
      </c>
      <c r="C533" s="16">
        <v>6</v>
      </c>
      <c r="D533" s="7">
        <v>18.58625</v>
      </c>
      <c r="E533" s="8">
        <v>16</v>
      </c>
      <c r="F533" s="9">
        <v>0.85463043917000003</v>
      </c>
      <c r="G533" s="44">
        <v>12510</v>
      </c>
      <c r="H533" s="50">
        <f t="shared" si="8"/>
        <v>12</v>
      </c>
    </row>
    <row r="534" spans="1:8" x14ac:dyDescent="0.2">
      <c r="A534" s="14" t="s">
        <v>8</v>
      </c>
      <c r="B534" s="6" t="s">
        <v>87</v>
      </c>
      <c r="C534" s="16">
        <v>6</v>
      </c>
      <c r="D534" s="7">
        <v>48.532499999999999</v>
      </c>
      <c r="E534" s="8">
        <v>4</v>
      </c>
      <c r="F534" s="9">
        <v>0.35625611702999999</v>
      </c>
      <c r="G534" s="44">
        <v>12540</v>
      </c>
      <c r="H534" s="50">
        <f t="shared" si="8"/>
        <v>12</v>
      </c>
    </row>
    <row r="535" spans="1:8" ht="25.5" x14ac:dyDescent="0.2">
      <c r="A535" s="14" t="s">
        <v>8</v>
      </c>
      <c r="B535" s="6" t="s">
        <v>46</v>
      </c>
      <c r="C535" s="12">
        <v>6</v>
      </c>
      <c r="D535" s="7">
        <v>18.002500000000001</v>
      </c>
      <c r="E535" s="8">
        <v>4</v>
      </c>
      <c r="F535" s="9">
        <v>0.93209276489000004</v>
      </c>
      <c r="G535" s="44">
        <v>12600</v>
      </c>
      <c r="H535" s="50">
        <f t="shared" si="8"/>
        <v>12</v>
      </c>
    </row>
    <row r="536" spans="1:8" ht="25.5" x14ac:dyDescent="0.2">
      <c r="A536" s="14" t="s">
        <v>8</v>
      </c>
      <c r="B536" s="6" t="s">
        <v>15</v>
      </c>
      <c r="C536" s="16">
        <v>6</v>
      </c>
      <c r="D536" s="7">
        <v>5.3</v>
      </c>
      <c r="E536" s="8">
        <v>1</v>
      </c>
      <c r="F536" s="9">
        <v>3.06981132075</v>
      </c>
      <c r="G536" s="44">
        <v>12800</v>
      </c>
      <c r="H536" s="50">
        <f t="shared" si="8"/>
        <v>12</v>
      </c>
    </row>
    <row r="537" spans="1:8" ht="25.5" x14ac:dyDescent="0.2">
      <c r="A537" s="14" t="s">
        <v>8</v>
      </c>
      <c r="B537" s="6" t="s">
        <v>99</v>
      </c>
      <c r="C537" s="16">
        <v>6</v>
      </c>
      <c r="D537" s="7">
        <v>6.88</v>
      </c>
      <c r="E537" s="8">
        <v>1</v>
      </c>
      <c r="F537" s="9">
        <v>4.9854651162800003</v>
      </c>
      <c r="G537" s="44">
        <v>12850</v>
      </c>
      <c r="H537" s="50">
        <f t="shared" si="8"/>
        <v>12</v>
      </c>
    </row>
    <row r="538" spans="1:8" ht="38.25" x14ac:dyDescent="0.2">
      <c r="A538" s="14" t="s">
        <v>489</v>
      </c>
      <c r="B538" s="6" t="s">
        <v>495</v>
      </c>
      <c r="C538" s="16">
        <v>6</v>
      </c>
      <c r="D538" s="7">
        <v>104.3804348</v>
      </c>
      <c r="E538" s="8">
        <v>23</v>
      </c>
      <c r="F538" s="9">
        <v>0.16999979172999999</v>
      </c>
      <c r="G538" s="44">
        <v>12850</v>
      </c>
      <c r="H538" s="50">
        <f t="shared" si="8"/>
        <v>12</v>
      </c>
    </row>
    <row r="539" spans="1:8" ht="38.25" x14ac:dyDescent="0.2">
      <c r="A539" s="14" t="s">
        <v>184</v>
      </c>
      <c r="B539" s="6" t="s">
        <v>253</v>
      </c>
      <c r="C539" s="16">
        <v>6</v>
      </c>
      <c r="D539" s="7">
        <v>685.34725100000003</v>
      </c>
      <c r="E539" s="8">
        <v>67</v>
      </c>
      <c r="F539" s="9">
        <v>6.6384575099999996E-2</v>
      </c>
      <c r="G539" s="44">
        <v>12850</v>
      </c>
      <c r="H539" s="50">
        <f t="shared" si="8"/>
        <v>12</v>
      </c>
    </row>
    <row r="540" spans="1:8" ht="38.25" x14ac:dyDescent="0.2">
      <c r="A540" s="14" t="s">
        <v>308</v>
      </c>
      <c r="B540" s="6" t="s">
        <v>432</v>
      </c>
      <c r="C540" s="16">
        <v>6</v>
      </c>
      <c r="D540" s="7">
        <v>92.249555599999994</v>
      </c>
      <c r="E540" s="8">
        <v>45</v>
      </c>
      <c r="F540" s="9">
        <v>0.29113033968000002</v>
      </c>
      <c r="G540" s="44">
        <v>13000</v>
      </c>
      <c r="H540" s="50">
        <f t="shared" si="8"/>
        <v>13</v>
      </c>
    </row>
    <row r="541" spans="1:8" ht="25.5" x14ac:dyDescent="0.2">
      <c r="A541" s="14" t="s">
        <v>308</v>
      </c>
      <c r="B541" s="6" t="s">
        <v>454</v>
      </c>
      <c r="C541" s="16">
        <v>6</v>
      </c>
      <c r="D541" s="7">
        <v>120.9556</v>
      </c>
      <c r="E541" s="8">
        <v>25</v>
      </c>
      <c r="F541" s="9">
        <v>0.26216793599999999</v>
      </c>
      <c r="G541" s="44">
        <v>13000</v>
      </c>
      <c r="H541" s="50">
        <f t="shared" si="8"/>
        <v>13</v>
      </c>
    </row>
    <row r="542" spans="1:8" ht="25.5" x14ac:dyDescent="0.2">
      <c r="A542" s="14" t="s">
        <v>308</v>
      </c>
      <c r="B542" s="6" t="s">
        <v>422</v>
      </c>
      <c r="C542" s="12">
        <v>6</v>
      </c>
      <c r="D542" s="7">
        <v>127.175</v>
      </c>
      <c r="E542" s="8">
        <v>8</v>
      </c>
      <c r="F542" s="9">
        <v>0.24157558481999999</v>
      </c>
      <c r="G542" s="44">
        <v>13000</v>
      </c>
      <c r="H542" s="50">
        <f t="shared" si="8"/>
        <v>13</v>
      </c>
    </row>
    <row r="543" spans="1:8" ht="38.25" x14ac:dyDescent="0.2">
      <c r="A543" s="14" t="s">
        <v>308</v>
      </c>
      <c r="B543" s="6" t="s">
        <v>379</v>
      </c>
      <c r="C543" s="12">
        <v>6</v>
      </c>
      <c r="D543" s="7">
        <v>176.9</v>
      </c>
      <c r="E543" s="8">
        <v>1</v>
      </c>
      <c r="F543" s="9">
        <v>0.22109666478000001</v>
      </c>
      <c r="G543" s="44">
        <v>13000</v>
      </c>
      <c r="H543" s="50">
        <f t="shared" si="8"/>
        <v>13</v>
      </c>
    </row>
    <row r="544" spans="1:8" ht="25.5" x14ac:dyDescent="0.2">
      <c r="A544" s="14" t="s">
        <v>308</v>
      </c>
      <c r="B544" s="6" t="s">
        <v>433</v>
      </c>
      <c r="C544" s="16">
        <v>6</v>
      </c>
      <c r="D544" s="7">
        <v>360.95549019999999</v>
      </c>
      <c r="E544" s="8">
        <v>51</v>
      </c>
      <c r="F544" s="9">
        <v>0.22045964062000001</v>
      </c>
      <c r="G544" s="44">
        <v>13000</v>
      </c>
      <c r="H544" s="50">
        <f t="shared" si="8"/>
        <v>13</v>
      </c>
    </row>
    <row r="545" spans="1:8" x14ac:dyDescent="0.2">
      <c r="A545" s="14" t="s">
        <v>308</v>
      </c>
      <c r="B545" s="6" t="s">
        <v>443</v>
      </c>
      <c r="C545" s="12">
        <v>6</v>
      </c>
      <c r="D545" s="7">
        <v>393.30272730000002</v>
      </c>
      <c r="E545" s="8">
        <v>11</v>
      </c>
      <c r="F545" s="9">
        <v>0.21788975876</v>
      </c>
      <c r="G545" s="44">
        <v>13000</v>
      </c>
      <c r="H545" s="50">
        <f t="shared" si="8"/>
        <v>13</v>
      </c>
    </row>
    <row r="546" spans="1:8" x14ac:dyDescent="0.2">
      <c r="A546" s="14" t="s">
        <v>308</v>
      </c>
      <c r="B546" s="6" t="s">
        <v>390</v>
      </c>
      <c r="C546" s="16">
        <v>6</v>
      </c>
      <c r="D546" s="7">
        <v>452.48730769999997</v>
      </c>
      <c r="E546" s="8">
        <v>26</v>
      </c>
      <c r="F546" s="9">
        <v>0.21754872852000001</v>
      </c>
      <c r="G546" s="44">
        <v>13000</v>
      </c>
      <c r="H546" s="50">
        <f t="shared" si="8"/>
        <v>13</v>
      </c>
    </row>
    <row r="547" spans="1:8" ht="38.25" x14ac:dyDescent="0.2">
      <c r="A547" s="14" t="s">
        <v>308</v>
      </c>
      <c r="B547" s="6" t="s">
        <v>427</v>
      </c>
      <c r="C547" s="16">
        <v>6</v>
      </c>
      <c r="D547" s="7">
        <v>110.4696</v>
      </c>
      <c r="E547" s="8">
        <v>25</v>
      </c>
      <c r="F547" s="9">
        <v>0.26139933520000003</v>
      </c>
      <c r="G547" s="44">
        <v>13001</v>
      </c>
      <c r="H547" s="50">
        <f t="shared" si="8"/>
        <v>13</v>
      </c>
    </row>
    <row r="548" spans="1:8" ht="25.5" x14ac:dyDescent="0.2">
      <c r="A548" s="14" t="s">
        <v>308</v>
      </c>
      <c r="B548" s="6" t="s">
        <v>355</v>
      </c>
      <c r="C548" s="12">
        <v>6</v>
      </c>
      <c r="D548" s="7">
        <v>113.0366667</v>
      </c>
      <c r="E548" s="8">
        <v>3</v>
      </c>
      <c r="F548" s="9">
        <v>0.23800831588999999</v>
      </c>
      <c r="G548" s="44">
        <v>13001</v>
      </c>
      <c r="H548" s="50">
        <f t="shared" si="8"/>
        <v>13</v>
      </c>
    </row>
    <row r="549" spans="1:8" ht="25.5" x14ac:dyDescent="0.2">
      <c r="A549" s="14" t="s">
        <v>308</v>
      </c>
      <c r="B549" s="6" t="s">
        <v>354</v>
      </c>
      <c r="C549" s="16">
        <v>6</v>
      </c>
      <c r="D549" s="7">
        <v>578.77125000000001</v>
      </c>
      <c r="E549" s="8">
        <v>24</v>
      </c>
      <c r="F549" s="9">
        <v>0.21704940999</v>
      </c>
      <c r="G549" s="44">
        <v>13001</v>
      </c>
      <c r="H549" s="50">
        <f t="shared" si="8"/>
        <v>13</v>
      </c>
    </row>
    <row r="550" spans="1:8" ht="38.25" x14ac:dyDescent="0.2">
      <c r="A550" s="14" t="s">
        <v>308</v>
      </c>
      <c r="B550" s="6" t="s">
        <v>320</v>
      </c>
      <c r="C550" s="16">
        <v>6</v>
      </c>
      <c r="D550" s="7">
        <v>144.6670968</v>
      </c>
      <c r="E550" s="8">
        <v>31</v>
      </c>
      <c r="F550" s="9">
        <v>0.22642708064</v>
      </c>
      <c r="G550" s="44">
        <v>13003</v>
      </c>
      <c r="H550" s="50">
        <f t="shared" si="8"/>
        <v>13</v>
      </c>
    </row>
    <row r="551" spans="1:8" ht="38.25" x14ac:dyDescent="0.2">
      <c r="A551" s="14" t="s">
        <v>308</v>
      </c>
      <c r="B551" s="6" t="s">
        <v>440</v>
      </c>
      <c r="C551" s="12">
        <v>6</v>
      </c>
      <c r="D551" s="7">
        <v>971.20620689999998</v>
      </c>
      <c r="E551" s="8">
        <v>29</v>
      </c>
      <c r="F551" s="9">
        <v>0.21659560916000001</v>
      </c>
      <c r="G551" s="44">
        <v>13003</v>
      </c>
      <c r="H551" s="50">
        <f t="shared" si="8"/>
        <v>13</v>
      </c>
    </row>
    <row r="552" spans="1:8" ht="38.25" x14ac:dyDescent="0.2">
      <c r="A552" s="14" t="s">
        <v>308</v>
      </c>
      <c r="B552" s="6" t="s">
        <v>353</v>
      </c>
      <c r="C552" s="16">
        <v>6</v>
      </c>
      <c r="D552" s="7">
        <v>23.914285700000001</v>
      </c>
      <c r="E552" s="8">
        <v>41</v>
      </c>
      <c r="F552" s="9">
        <v>1.0834528076500001</v>
      </c>
      <c r="G552" s="44">
        <v>13005</v>
      </c>
      <c r="H552" s="50">
        <f t="shared" si="8"/>
        <v>13</v>
      </c>
    </row>
    <row r="553" spans="1:8" ht="38.25" x14ac:dyDescent="0.2">
      <c r="A553" s="14" t="s">
        <v>8</v>
      </c>
      <c r="B553" s="6" t="s">
        <v>82</v>
      </c>
      <c r="C553" s="12">
        <v>6</v>
      </c>
      <c r="D553" s="7">
        <v>16.41</v>
      </c>
      <c r="E553" s="8">
        <v>3</v>
      </c>
      <c r="F553" s="9">
        <v>1.8366849482000001</v>
      </c>
      <c r="G553" s="44">
        <v>13006</v>
      </c>
      <c r="H553" s="50">
        <f t="shared" si="8"/>
        <v>13</v>
      </c>
    </row>
    <row r="554" spans="1:8" ht="25.5" x14ac:dyDescent="0.2">
      <c r="A554" s="14" t="s">
        <v>8</v>
      </c>
      <c r="B554" s="6" t="s">
        <v>98</v>
      </c>
      <c r="C554" s="16">
        <v>6</v>
      </c>
      <c r="D554" s="7">
        <v>20.54</v>
      </c>
      <c r="E554" s="8">
        <v>5</v>
      </c>
      <c r="F554" s="9">
        <v>1.4849074975700001</v>
      </c>
      <c r="G554" s="44">
        <v>13006</v>
      </c>
      <c r="H554" s="50">
        <f t="shared" si="8"/>
        <v>13</v>
      </c>
    </row>
    <row r="555" spans="1:8" ht="25.5" x14ac:dyDescent="0.2">
      <c r="A555" s="14" t="s">
        <v>308</v>
      </c>
      <c r="B555" s="6" t="s">
        <v>447</v>
      </c>
      <c r="C555" s="16">
        <v>6</v>
      </c>
      <c r="D555" s="7">
        <v>107.3609091</v>
      </c>
      <c r="E555" s="8">
        <v>32</v>
      </c>
      <c r="F555" s="9">
        <v>0.27658788962000003</v>
      </c>
      <c r="G555" s="44">
        <v>13009</v>
      </c>
      <c r="H555" s="50">
        <f t="shared" si="8"/>
        <v>13</v>
      </c>
    </row>
    <row r="556" spans="1:8" ht="25.5" x14ac:dyDescent="0.2">
      <c r="A556" s="14" t="s">
        <v>308</v>
      </c>
      <c r="B556" s="6" t="s">
        <v>351</v>
      </c>
      <c r="C556" s="16">
        <v>6</v>
      </c>
      <c r="D556" s="7">
        <v>42.0403333</v>
      </c>
      <c r="E556" s="8">
        <v>29</v>
      </c>
      <c r="F556" s="9">
        <v>0.61631290585999998</v>
      </c>
      <c r="G556" s="44">
        <v>13012</v>
      </c>
      <c r="H556" s="50">
        <f t="shared" si="8"/>
        <v>13</v>
      </c>
    </row>
    <row r="557" spans="1:8" ht="25.5" x14ac:dyDescent="0.2">
      <c r="A557" s="14" t="s">
        <v>308</v>
      </c>
      <c r="B557" s="6" t="s">
        <v>315</v>
      </c>
      <c r="C557" s="16">
        <v>6</v>
      </c>
      <c r="D557" s="7">
        <v>886.02243239999996</v>
      </c>
      <c r="E557" s="8">
        <v>37</v>
      </c>
      <c r="F557" s="9">
        <v>0.21643317553999999</v>
      </c>
      <c r="G557" s="44">
        <v>13013</v>
      </c>
      <c r="H557" s="50">
        <f t="shared" si="8"/>
        <v>13</v>
      </c>
    </row>
    <row r="558" spans="1:8" x14ac:dyDescent="0.2">
      <c r="A558" s="14" t="s">
        <v>592</v>
      </c>
      <c r="B558" s="6" t="s">
        <v>397</v>
      </c>
      <c r="C558" s="12">
        <v>6</v>
      </c>
      <c r="D558" s="7">
        <v>496.2</v>
      </c>
      <c r="E558" s="8">
        <v>49</v>
      </c>
      <c r="F558" s="9">
        <v>0.1028687113</v>
      </c>
      <c r="G558" s="44">
        <v>13014</v>
      </c>
      <c r="H558" s="50">
        <f t="shared" si="8"/>
        <v>13</v>
      </c>
    </row>
    <row r="559" spans="1:8" x14ac:dyDescent="0.2">
      <c r="A559" s="14" t="s">
        <v>308</v>
      </c>
      <c r="B559" s="6" t="s">
        <v>397</v>
      </c>
      <c r="C559" s="12">
        <v>6</v>
      </c>
      <c r="D559" s="7">
        <v>612.476</v>
      </c>
      <c r="E559" s="8">
        <v>5</v>
      </c>
      <c r="F559" s="9">
        <v>0.22082530581000001</v>
      </c>
      <c r="G559" s="44">
        <v>13014</v>
      </c>
      <c r="H559" s="50">
        <f t="shared" si="8"/>
        <v>13</v>
      </c>
    </row>
    <row r="560" spans="1:8" ht="38.25" x14ac:dyDescent="0.2">
      <c r="A560" s="14" t="s">
        <v>308</v>
      </c>
      <c r="B560" s="6" t="s">
        <v>309</v>
      </c>
      <c r="C560" s="16">
        <v>6</v>
      </c>
      <c r="D560" s="7">
        <v>411.23</v>
      </c>
      <c r="E560" s="8">
        <v>2</v>
      </c>
      <c r="F560" s="9">
        <v>0.21776621355</v>
      </c>
      <c r="G560" s="44">
        <v>13015</v>
      </c>
      <c r="H560" s="50">
        <f t="shared" si="8"/>
        <v>13</v>
      </c>
    </row>
    <row r="561" spans="1:8" ht="25.5" x14ac:dyDescent="0.2">
      <c r="A561" s="14" t="s">
        <v>308</v>
      </c>
      <c r="B561" s="6" t="s">
        <v>446</v>
      </c>
      <c r="C561" s="12">
        <v>6</v>
      </c>
      <c r="D561" s="7">
        <v>420.6625641</v>
      </c>
      <c r="E561" s="8">
        <v>78</v>
      </c>
      <c r="F561" s="9">
        <v>0.21906827080999999</v>
      </c>
      <c r="G561" s="44">
        <v>13015</v>
      </c>
      <c r="H561" s="50">
        <f t="shared" si="8"/>
        <v>13</v>
      </c>
    </row>
    <row r="562" spans="1:8" ht="38.25" x14ac:dyDescent="0.2">
      <c r="A562" s="14" t="s">
        <v>562</v>
      </c>
      <c r="B562" s="6" t="s">
        <v>589</v>
      </c>
      <c r="C562" s="12">
        <v>6</v>
      </c>
      <c r="D562" s="7">
        <v>1061.6555556000001</v>
      </c>
      <c r="E562" s="8">
        <v>18</v>
      </c>
      <c r="F562" s="9">
        <v>0.24741504358999999</v>
      </c>
      <c r="G562" s="44">
        <v>13030</v>
      </c>
      <c r="H562" s="50">
        <f t="shared" si="8"/>
        <v>13</v>
      </c>
    </row>
    <row r="563" spans="1:8" ht="38.25" x14ac:dyDescent="0.2">
      <c r="A563" s="14" t="s">
        <v>308</v>
      </c>
      <c r="B563" s="6" t="s">
        <v>333</v>
      </c>
      <c r="C563" s="16">
        <v>6</v>
      </c>
      <c r="D563" s="7">
        <v>48.533124999999998</v>
      </c>
      <c r="E563" s="8">
        <v>16</v>
      </c>
      <c r="F563" s="9">
        <v>0.53517185427000002</v>
      </c>
      <c r="G563" s="44">
        <v>13090</v>
      </c>
      <c r="H563" s="50">
        <f t="shared" si="8"/>
        <v>13</v>
      </c>
    </row>
    <row r="564" spans="1:8" ht="38.25" x14ac:dyDescent="0.2">
      <c r="A564" s="14" t="s">
        <v>308</v>
      </c>
      <c r="B564" s="6" t="s">
        <v>430</v>
      </c>
      <c r="C564" s="16">
        <v>6</v>
      </c>
      <c r="D564" s="7">
        <v>66.873333299999999</v>
      </c>
      <c r="E564" s="8">
        <v>3</v>
      </c>
      <c r="F564" s="9">
        <v>0.38113348618999998</v>
      </c>
      <c r="G564" s="44">
        <v>13090</v>
      </c>
      <c r="H564" s="50">
        <f t="shared" si="8"/>
        <v>13</v>
      </c>
    </row>
    <row r="565" spans="1:8" ht="25.5" x14ac:dyDescent="0.2">
      <c r="A565" s="14" t="s">
        <v>308</v>
      </c>
      <c r="B565" s="6" t="s">
        <v>429</v>
      </c>
      <c r="C565" s="16">
        <v>6</v>
      </c>
      <c r="D565" s="7">
        <v>629.00421879999999</v>
      </c>
      <c r="E565" s="8">
        <v>63</v>
      </c>
      <c r="F565" s="9">
        <v>0.21768971641000001</v>
      </c>
      <c r="G565" s="44">
        <v>13090</v>
      </c>
      <c r="H565" s="50">
        <f t="shared" si="8"/>
        <v>13</v>
      </c>
    </row>
    <row r="566" spans="1:8" ht="25.5" x14ac:dyDescent="0.2">
      <c r="A566" s="14" t="s">
        <v>308</v>
      </c>
      <c r="B566" s="6" t="s">
        <v>311</v>
      </c>
      <c r="C566" s="16">
        <v>6</v>
      </c>
      <c r="D566" s="7">
        <v>206.4745455</v>
      </c>
      <c r="E566" s="8">
        <v>44</v>
      </c>
      <c r="F566" s="9">
        <v>0.22684647458000001</v>
      </c>
      <c r="G566" s="44">
        <v>13100</v>
      </c>
      <c r="H566" s="50">
        <f t="shared" si="8"/>
        <v>13</v>
      </c>
    </row>
    <row r="567" spans="1:8" ht="25.5" x14ac:dyDescent="0.2">
      <c r="A567" s="14" t="s">
        <v>308</v>
      </c>
      <c r="B567" s="6" t="s">
        <v>358</v>
      </c>
      <c r="C567" s="12">
        <v>6</v>
      </c>
      <c r="D567" s="7">
        <v>108.59714289999999</v>
      </c>
      <c r="E567" s="8">
        <v>7</v>
      </c>
      <c r="F567" s="9">
        <v>0.25073009023999998</v>
      </c>
      <c r="G567" s="44">
        <v>13110</v>
      </c>
      <c r="H567" s="50">
        <f t="shared" si="8"/>
        <v>13</v>
      </c>
    </row>
    <row r="568" spans="1:8" ht="25.5" x14ac:dyDescent="0.2">
      <c r="A568" s="14" t="s">
        <v>308</v>
      </c>
      <c r="B568" s="6" t="s">
        <v>326</v>
      </c>
      <c r="C568" s="16">
        <v>6</v>
      </c>
      <c r="D568" s="7">
        <v>194.73</v>
      </c>
      <c r="E568" s="8">
        <v>2</v>
      </c>
      <c r="F568" s="9">
        <v>0.22055410054999999</v>
      </c>
      <c r="G568" s="44">
        <v>13130</v>
      </c>
      <c r="H568" s="50">
        <f t="shared" si="8"/>
        <v>13</v>
      </c>
    </row>
    <row r="569" spans="1:8" ht="38.25" x14ac:dyDescent="0.2">
      <c r="A569" s="14" t="s">
        <v>308</v>
      </c>
      <c r="B569" s="6" t="s">
        <v>332</v>
      </c>
      <c r="C569" s="16">
        <v>6</v>
      </c>
      <c r="D569" s="7">
        <v>129.8357895</v>
      </c>
      <c r="E569" s="8">
        <v>19</v>
      </c>
      <c r="F569" s="9">
        <v>0.25364671164000002</v>
      </c>
      <c r="G569" s="44">
        <v>13140</v>
      </c>
      <c r="H569" s="50">
        <f t="shared" si="8"/>
        <v>13</v>
      </c>
    </row>
    <row r="570" spans="1:8" ht="38.25" x14ac:dyDescent="0.2">
      <c r="A570" s="14" t="s">
        <v>308</v>
      </c>
      <c r="B570" s="6" t="s">
        <v>356</v>
      </c>
      <c r="C570" s="16">
        <v>6</v>
      </c>
      <c r="D570" s="7">
        <v>214.04338240000001</v>
      </c>
      <c r="E570" s="8">
        <v>68</v>
      </c>
      <c r="F570" s="9">
        <v>0.22291722059999999</v>
      </c>
      <c r="G570" s="44">
        <v>13140</v>
      </c>
      <c r="H570" s="50">
        <f t="shared" si="8"/>
        <v>13</v>
      </c>
    </row>
    <row r="571" spans="1:8" x14ac:dyDescent="0.2">
      <c r="A571" s="14" t="s">
        <v>308</v>
      </c>
      <c r="B571" s="6" t="s">
        <v>442</v>
      </c>
      <c r="C571" s="16">
        <v>6</v>
      </c>
      <c r="D571" s="7">
        <v>180.15387100000001</v>
      </c>
      <c r="E571" s="8">
        <v>31</v>
      </c>
      <c r="F571" s="9">
        <v>0.22768654752</v>
      </c>
      <c r="G571" s="44">
        <v>13150</v>
      </c>
      <c r="H571" s="50">
        <f t="shared" si="8"/>
        <v>13</v>
      </c>
    </row>
    <row r="572" spans="1:8" ht="25.5" x14ac:dyDescent="0.2">
      <c r="A572" s="14" t="s">
        <v>308</v>
      </c>
      <c r="B572" s="6" t="s">
        <v>329</v>
      </c>
      <c r="C572" s="16">
        <v>6</v>
      </c>
      <c r="D572" s="7">
        <v>260.54000000000002</v>
      </c>
      <c r="E572" s="8">
        <v>5</v>
      </c>
      <c r="F572" s="9">
        <v>0.21922468718999999</v>
      </c>
      <c r="G572" s="44">
        <v>13200</v>
      </c>
      <c r="H572" s="50">
        <f t="shared" si="8"/>
        <v>13</v>
      </c>
    </row>
    <row r="573" spans="1:8" ht="38.25" x14ac:dyDescent="0.2">
      <c r="A573" s="14" t="s">
        <v>533</v>
      </c>
      <c r="B573" s="6" t="s">
        <v>543</v>
      </c>
      <c r="C573" s="16">
        <v>6</v>
      </c>
      <c r="D573" s="7">
        <v>17.676666699999998</v>
      </c>
      <c r="E573" s="8">
        <v>6</v>
      </c>
      <c r="F573" s="9">
        <v>0.88987365642000005</v>
      </c>
      <c r="G573" s="44">
        <v>13210</v>
      </c>
      <c r="H573" s="50">
        <f t="shared" si="8"/>
        <v>13</v>
      </c>
    </row>
    <row r="574" spans="1:8" ht="38.25" x14ac:dyDescent="0.2">
      <c r="A574" s="14" t="s">
        <v>533</v>
      </c>
      <c r="B574" s="6" t="s">
        <v>541</v>
      </c>
      <c r="C574" s="16">
        <v>6</v>
      </c>
      <c r="D574" s="7">
        <v>68.760000000000005</v>
      </c>
      <c r="E574" s="8">
        <v>1</v>
      </c>
      <c r="F574" s="9">
        <v>0.31486329261000001</v>
      </c>
      <c r="G574" s="44">
        <v>13210</v>
      </c>
      <c r="H574" s="50">
        <f t="shared" si="8"/>
        <v>13</v>
      </c>
    </row>
    <row r="575" spans="1:8" ht="38.25" x14ac:dyDescent="0.2">
      <c r="A575" s="14" t="s">
        <v>8</v>
      </c>
      <c r="B575" s="6" t="s">
        <v>93</v>
      </c>
      <c r="C575" s="16">
        <v>6</v>
      </c>
      <c r="D575" s="7">
        <v>79.953333299999997</v>
      </c>
      <c r="E575" s="8">
        <v>3</v>
      </c>
      <c r="F575" s="9">
        <v>0.41149003584999999</v>
      </c>
      <c r="G575" s="44">
        <v>13210</v>
      </c>
      <c r="H575" s="50">
        <f t="shared" si="8"/>
        <v>13</v>
      </c>
    </row>
    <row r="576" spans="1:8" ht="38.25" x14ac:dyDescent="0.2">
      <c r="A576" s="14" t="s">
        <v>308</v>
      </c>
      <c r="B576" s="6" t="s">
        <v>406</v>
      </c>
      <c r="C576" s="16">
        <v>6</v>
      </c>
      <c r="D576" s="7">
        <v>58.15</v>
      </c>
      <c r="E576" s="8">
        <v>2</v>
      </c>
      <c r="F576" s="9">
        <v>0.44557179708</v>
      </c>
      <c r="G576" s="44">
        <v>13300</v>
      </c>
      <c r="H576" s="50">
        <f t="shared" si="8"/>
        <v>13</v>
      </c>
    </row>
    <row r="577" spans="1:8" ht="25.5" x14ac:dyDescent="0.2">
      <c r="A577" s="14" t="s">
        <v>308</v>
      </c>
      <c r="B577" s="6" t="s">
        <v>349</v>
      </c>
      <c r="C577" s="12">
        <v>6</v>
      </c>
      <c r="D577" s="7">
        <v>85.821428600000004</v>
      </c>
      <c r="E577" s="8">
        <v>49</v>
      </c>
      <c r="F577" s="9">
        <v>0.31567088758</v>
      </c>
      <c r="G577" s="44">
        <v>13300</v>
      </c>
      <c r="H577" s="50">
        <f t="shared" si="8"/>
        <v>13</v>
      </c>
    </row>
    <row r="578" spans="1:8" ht="38.25" x14ac:dyDescent="0.2">
      <c r="A578" s="14" t="s">
        <v>308</v>
      </c>
      <c r="B578" s="6" t="s">
        <v>342</v>
      </c>
      <c r="C578" s="16">
        <v>6</v>
      </c>
      <c r="D578" s="7">
        <v>104.60425530000001</v>
      </c>
      <c r="E578" s="8">
        <v>47</v>
      </c>
      <c r="F578" s="9">
        <v>0.27260536164999999</v>
      </c>
      <c r="G578" s="44">
        <v>13300</v>
      </c>
      <c r="H578" s="50">
        <f t="shared" si="8"/>
        <v>13</v>
      </c>
    </row>
    <row r="579" spans="1:8" ht="38.25" x14ac:dyDescent="0.2">
      <c r="A579" s="14" t="s">
        <v>308</v>
      </c>
      <c r="B579" s="6" t="s">
        <v>336</v>
      </c>
      <c r="C579" s="16">
        <v>6</v>
      </c>
      <c r="D579" s="7">
        <v>188.4033962</v>
      </c>
      <c r="E579" s="8">
        <v>53</v>
      </c>
      <c r="F579" s="9">
        <v>0.22600131392</v>
      </c>
      <c r="G579" s="44">
        <v>13300</v>
      </c>
      <c r="H579" s="50">
        <f t="shared" ref="H579:H642" si="9">IF(LEN(G579)=4,VALUE(LEFT(G579,1)),VALUE(LEFT(G579,2)))</f>
        <v>13</v>
      </c>
    </row>
    <row r="580" spans="1:8" ht="38.25" x14ac:dyDescent="0.2">
      <c r="A580" s="14" t="s">
        <v>308</v>
      </c>
      <c r="B580" s="6" t="s">
        <v>318</v>
      </c>
      <c r="C580" s="16">
        <v>6</v>
      </c>
      <c r="D580" s="7">
        <v>209.7</v>
      </c>
      <c r="E580" s="8">
        <v>1</v>
      </c>
      <c r="F580" s="9">
        <v>0.22015736766999999</v>
      </c>
      <c r="G580" s="44">
        <v>13400</v>
      </c>
      <c r="H580" s="50">
        <f t="shared" si="9"/>
        <v>13</v>
      </c>
    </row>
    <row r="581" spans="1:8" ht="38.25" x14ac:dyDescent="0.2">
      <c r="A581" s="14" t="s">
        <v>308</v>
      </c>
      <c r="B581" s="6" t="s">
        <v>391</v>
      </c>
      <c r="C581" s="12">
        <v>6</v>
      </c>
      <c r="D581" s="7">
        <v>245.4</v>
      </c>
      <c r="E581" s="8">
        <v>1</v>
      </c>
      <c r="F581" s="9">
        <v>0.21947432762999999</v>
      </c>
      <c r="G581" s="44">
        <v>13400</v>
      </c>
      <c r="H581" s="50">
        <f t="shared" si="9"/>
        <v>13</v>
      </c>
    </row>
    <row r="582" spans="1:8" ht="38.25" x14ac:dyDescent="0.2">
      <c r="A582" s="14" t="s">
        <v>308</v>
      </c>
      <c r="B582" s="6" t="s">
        <v>372</v>
      </c>
      <c r="C582" s="16">
        <v>6</v>
      </c>
      <c r="D582" s="7">
        <v>99.060434799999996</v>
      </c>
      <c r="E582" s="8">
        <v>23</v>
      </c>
      <c r="F582" s="9">
        <v>0.26521096037000003</v>
      </c>
      <c r="G582" s="44">
        <v>13500</v>
      </c>
      <c r="H582" s="50">
        <f t="shared" si="9"/>
        <v>13</v>
      </c>
    </row>
    <row r="583" spans="1:8" ht="25.5" x14ac:dyDescent="0.2">
      <c r="A583" s="14" t="s">
        <v>308</v>
      </c>
      <c r="B583" s="6" t="s">
        <v>347</v>
      </c>
      <c r="C583" s="16">
        <v>6</v>
      </c>
      <c r="D583" s="7">
        <v>164.90447370000001</v>
      </c>
      <c r="E583" s="8">
        <v>38</v>
      </c>
      <c r="F583" s="9">
        <v>0.23417640515999999</v>
      </c>
      <c r="G583" s="44">
        <v>13500</v>
      </c>
      <c r="H583" s="50">
        <f t="shared" si="9"/>
        <v>13</v>
      </c>
    </row>
    <row r="584" spans="1:8" ht="25.5" x14ac:dyDescent="0.2">
      <c r="A584" s="14" t="s">
        <v>308</v>
      </c>
      <c r="B584" s="6" t="s">
        <v>445</v>
      </c>
      <c r="C584" s="16">
        <v>6</v>
      </c>
      <c r="D584" s="7">
        <v>255.1101515</v>
      </c>
      <c r="E584" s="8">
        <v>66</v>
      </c>
      <c r="F584" s="9">
        <v>0.22240410708</v>
      </c>
      <c r="G584" s="44">
        <v>13700</v>
      </c>
      <c r="H584" s="50">
        <f t="shared" si="9"/>
        <v>13</v>
      </c>
    </row>
    <row r="585" spans="1:8" ht="25.5" x14ac:dyDescent="0.2">
      <c r="A585" s="14" t="s">
        <v>562</v>
      </c>
      <c r="B585" s="6" t="s">
        <v>569</v>
      </c>
      <c r="C585" s="16">
        <v>6</v>
      </c>
      <c r="D585" s="7">
        <v>1145.9000000000001</v>
      </c>
      <c r="E585" s="8">
        <v>1</v>
      </c>
      <c r="F585" s="9">
        <v>0.24791517584</v>
      </c>
      <c r="G585" s="44">
        <v>13888</v>
      </c>
      <c r="H585" s="50">
        <f t="shared" si="9"/>
        <v>13</v>
      </c>
    </row>
    <row r="586" spans="1:8" ht="25.5" x14ac:dyDescent="0.2">
      <c r="A586" s="14" t="s">
        <v>562</v>
      </c>
      <c r="B586" s="6" t="s">
        <v>585</v>
      </c>
      <c r="C586" s="16">
        <v>6</v>
      </c>
      <c r="D586" s="7">
        <v>1244.2</v>
      </c>
      <c r="E586" s="8">
        <v>1</v>
      </c>
      <c r="F586" s="9">
        <v>0.24766757755999999</v>
      </c>
      <c r="G586" s="44">
        <v>16010</v>
      </c>
      <c r="H586" s="50">
        <f t="shared" si="9"/>
        <v>16</v>
      </c>
    </row>
    <row r="587" spans="1:8" ht="25.5" x14ac:dyDescent="0.2">
      <c r="A587" s="14" t="s">
        <v>562</v>
      </c>
      <c r="B587" s="6" t="s">
        <v>576</v>
      </c>
      <c r="C587" s="16">
        <v>6</v>
      </c>
      <c r="D587" s="7">
        <v>2070.2640000000001</v>
      </c>
      <c r="E587" s="8">
        <v>20</v>
      </c>
      <c r="F587" s="9">
        <v>0.24617964181999999</v>
      </c>
      <c r="G587" s="44">
        <v>16035</v>
      </c>
      <c r="H587" s="50">
        <f t="shared" si="9"/>
        <v>16</v>
      </c>
    </row>
    <row r="588" spans="1:8" ht="38.25" x14ac:dyDescent="0.2">
      <c r="A588" s="14" t="s">
        <v>562</v>
      </c>
      <c r="B588" s="6" t="s">
        <v>568</v>
      </c>
      <c r="C588" s="12">
        <v>6</v>
      </c>
      <c r="D588" s="7">
        <v>531.34368419999998</v>
      </c>
      <c r="E588" s="8">
        <v>19</v>
      </c>
      <c r="F588" s="9">
        <v>0.29992788887999999</v>
      </c>
      <c r="G588" s="44">
        <v>16143</v>
      </c>
      <c r="H588" s="50">
        <f t="shared" si="9"/>
        <v>16</v>
      </c>
    </row>
    <row r="589" spans="1:8" x14ac:dyDescent="0.2">
      <c r="A589" s="14" t="s">
        <v>306</v>
      </c>
      <c r="B589" s="6" t="s">
        <v>307</v>
      </c>
      <c r="C589" s="16">
        <v>6</v>
      </c>
      <c r="D589" s="7">
        <v>9424.27</v>
      </c>
      <c r="E589" s="8">
        <v>2</v>
      </c>
      <c r="F589" s="9">
        <v>7.4276309999999998E-2</v>
      </c>
      <c r="G589" s="44">
        <v>17510</v>
      </c>
      <c r="H589" s="50">
        <f t="shared" si="9"/>
        <v>17</v>
      </c>
    </row>
    <row r="590" spans="1:8" ht="38.25" x14ac:dyDescent="0.2">
      <c r="A590" s="14" t="s">
        <v>308</v>
      </c>
      <c r="B590" s="6" t="s">
        <v>437</v>
      </c>
      <c r="C590" s="12">
        <v>6</v>
      </c>
      <c r="D590" s="7">
        <v>96.2985714</v>
      </c>
      <c r="E590" s="8">
        <v>7</v>
      </c>
      <c r="F590" s="9">
        <v>0.2747422451</v>
      </c>
      <c r="G590" s="44">
        <v>18000</v>
      </c>
      <c r="H590" s="50">
        <f t="shared" si="9"/>
        <v>18</v>
      </c>
    </row>
    <row r="591" spans="1:8" ht="25.5" x14ac:dyDescent="0.2">
      <c r="A591" s="14" t="s">
        <v>562</v>
      </c>
      <c r="B591" s="6" t="s">
        <v>563</v>
      </c>
      <c r="C591" s="16">
        <v>6</v>
      </c>
      <c r="D591" s="7">
        <v>868.91666669999995</v>
      </c>
      <c r="E591" s="8">
        <v>6</v>
      </c>
      <c r="F591" s="9">
        <v>0.25063162942</v>
      </c>
      <c r="G591" s="44">
        <v>18011</v>
      </c>
      <c r="H591" s="50">
        <f t="shared" si="9"/>
        <v>18</v>
      </c>
    </row>
    <row r="592" spans="1:8" ht="38.25" x14ac:dyDescent="0.2">
      <c r="A592" s="14" t="s">
        <v>160</v>
      </c>
      <c r="B592" s="6" t="s">
        <v>176</v>
      </c>
      <c r="C592" s="16">
        <v>6</v>
      </c>
      <c r="D592" s="7">
        <v>81.735576899999998</v>
      </c>
      <c r="E592" s="8">
        <v>51</v>
      </c>
      <c r="F592" s="9">
        <v>0.20996929591999999</v>
      </c>
      <c r="G592" s="44">
        <v>19000</v>
      </c>
      <c r="H592" s="50">
        <f t="shared" si="9"/>
        <v>19</v>
      </c>
    </row>
    <row r="593" spans="1:8" ht="25.5" x14ac:dyDescent="0.2">
      <c r="A593" s="14" t="s">
        <v>184</v>
      </c>
      <c r="B593" s="6" t="s">
        <v>266</v>
      </c>
      <c r="C593" s="16">
        <v>6</v>
      </c>
      <c r="D593" s="7">
        <v>931.33970590000001</v>
      </c>
      <c r="E593" s="8">
        <v>40</v>
      </c>
      <c r="F593" s="9">
        <v>7.5318319120000005E-2</v>
      </c>
      <c r="G593" s="44">
        <v>19000</v>
      </c>
      <c r="H593" s="50">
        <f t="shared" si="9"/>
        <v>19</v>
      </c>
    </row>
    <row r="594" spans="1:8" ht="25.5" x14ac:dyDescent="0.2">
      <c r="A594" s="14" t="s">
        <v>562</v>
      </c>
      <c r="B594" s="6" t="s">
        <v>590</v>
      </c>
      <c r="C594" s="16">
        <v>6</v>
      </c>
      <c r="D594" s="7">
        <v>672.26187500000003</v>
      </c>
      <c r="E594" s="8">
        <v>16</v>
      </c>
      <c r="F594" s="9">
        <v>0.29204876448</v>
      </c>
      <c r="G594" s="44">
        <v>19035</v>
      </c>
      <c r="H594" s="50">
        <f t="shared" si="9"/>
        <v>19</v>
      </c>
    </row>
    <row r="595" spans="1:8" ht="38.25" x14ac:dyDescent="0.2">
      <c r="A595" s="14" t="s">
        <v>160</v>
      </c>
      <c r="B595" s="6" t="s">
        <v>161</v>
      </c>
      <c r="C595" s="12">
        <v>6</v>
      </c>
      <c r="D595" s="7">
        <v>91.194999999999993</v>
      </c>
      <c r="E595" s="8">
        <v>12</v>
      </c>
      <c r="F595" s="9">
        <v>0.20601092896000001</v>
      </c>
      <c r="G595" s="44">
        <v>19100</v>
      </c>
      <c r="H595" s="50">
        <f t="shared" si="9"/>
        <v>19</v>
      </c>
    </row>
    <row r="596" spans="1:8" ht="25.5" x14ac:dyDescent="0.2">
      <c r="A596" s="14" t="s">
        <v>160</v>
      </c>
      <c r="B596" s="6" t="s">
        <v>183</v>
      </c>
      <c r="C596" s="16">
        <v>6</v>
      </c>
      <c r="D596" s="7">
        <v>111.23375</v>
      </c>
      <c r="E596" s="8">
        <v>16</v>
      </c>
      <c r="F596" s="9">
        <v>0.19985503500999999</v>
      </c>
      <c r="G596" s="44">
        <v>19240</v>
      </c>
      <c r="H596" s="50">
        <f t="shared" si="9"/>
        <v>19</v>
      </c>
    </row>
    <row r="597" spans="1:8" ht="38.25" x14ac:dyDescent="0.2">
      <c r="A597" s="14" t="s">
        <v>308</v>
      </c>
      <c r="B597" s="6" t="s">
        <v>327</v>
      </c>
      <c r="C597" s="16">
        <v>6</v>
      </c>
      <c r="D597" s="7">
        <v>122.1</v>
      </c>
      <c r="E597" s="8">
        <v>23</v>
      </c>
      <c r="F597" s="9">
        <v>0.23154613111</v>
      </c>
      <c r="G597" s="44">
        <v>20090</v>
      </c>
      <c r="H597" s="50">
        <f t="shared" si="9"/>
        <v>20</v>
      </c>
    </row>
    <row r="598" spans="1:8" ht="38.25" x14ac:dyDescent="0.2">
      <c r="A598" s="14" t="s">
        <v>308</v>
      </c>
      <c r="B598" s="6" t="s">
        <v>312</v>
      </c>
      <c r="C598" s="16">
        <v>6</v>
      </c>
      <c r="D598" s="7">
        <v>240.75444440000001</v>
      </c>
      <c r="E598" s="8">
        <v>9</v>
      </c>
      <c r="F598" s="9">
        <v>0.21955011792000001</v>
      </c>
      <c r="G598" s="44">
        <v>20213</v>
      </c>
      <c r="H598" s="50">
        <f t="shared" si="9"/>
        <v>20</v>
      </c>
    </row>
    <row r="599" spans="1:8" ht="25.5" x14ac:dyDescent="0.2">
      <c r="A599" s="14" t="s">
        <v>308</v>
      </c>
      <c r="B599" s="6" t="s">
        <v>455</v>
      </c>
      <c r="C599" s="12">
        <v>6</v>
      </c>
      <c r="D599" s="7">
        <v>81.016666700000002</v>
      </c>
      <c r="E599" s="8">
        <v>3</v>
      </c>
      <c r="F599" s="9">
        <v>0.31981073853000003</v>
      </c>
      <c r="G599" s="44">
        <v>20600</v>
      </c>
      <c r="H599" s="50">
        <f t="shared" si="9"/>
        <v>20</v>
      </c>
    </row>
    <row r="600" spans="1:8" x14ac:dyDescent="0.2">
      <c r="A600" s="14" t="s">
        <v>308</v>
      </c>
      <c r="B600" s="6" t="s">
        <v>456</v>
      </c>
      <c r="C600" s="16">
        <v>6</v>
      </c>
      <c r="D600" s="7">
        <v>177.02850000000001</v>
      </c>
      <c r="E600" s="8">
        <v>20</v>
      </c>
      <c r="F600" s="9">
        <v>0.23911686536000001</v>
      </c>
      <c r="G600" s="44">
        <v>20600</v>
      </c>
      <c r="H600" s="50">
        <f t="shared" si="9"/>
        <v>20</v>
      </c>
    </row>
    <row r="601" spans="1:8" ht="25.5" x14ac:dyDescent="0.2">
      <c r="A601" s="14" t="s">
        <v>308</v>
      </c>
      <c r="B601" s="6" t="s">
        <v>458</v>
      </c>
      <c r="C601" s="12">
        <v>6</v>
      </c>
      <c r="D601" s="7">
        <v>243.7894737</v>
      </c>
      <c r="E601" s="8">
        <v>18</v>
      </c>
      <c r="F601" s="9">
        <v>0.21949460275999999</v>
      </c>
      <c r="G601" s="44">
        <v>20600</v>
      </c>
      <c r="H601" s="50">
        <f t="shared" si="9"/>
        <v>20</v>
      </c>
    </row>
    <row r="602" spans="1:8" ht="25.5" x14ac:dyDescent="0.2">
      <c r="A602" s="14" t="s">
        <v>562</v>
      </c>
      <c r="B602" s="6" t="s">
        <v>579</v>
      </c>
      <c r="C602" s="16">
        <v>6</v>
      </c>
      <c r="D602" s="7">
        <v>1758.9</v>
      </c>
      <c r="E602" s="8">
        <v>1</v>
      </c>
      <c r="F602" s="9">
        <v>0.24479845357999999</v>
      </c>
      <c r="G602" s="44">
        <v>20823</v>
      </c>
      <c r="H602" s="50">
        <f t="shared" si="9"/>
        <v>20</v>
      </c>
    </row>
    <row r="603" spans="1:8" ht="38.25" x14ac:dyDescent="0.2">
      <c r="A603" s="14" t="s">
        <v>562</v>
      </c>
      <c r="B603" s="6" t="s">
        <v>580</v>
      </c>
      <c r="C603" s="12">
        <v>6</v>
      </c>
      <c r="D603" s="7">
        <v>452.7</v>
      </c>
      <c r="E603" s="8">
        <v>4</v>
      </c>
      <c r="F603" s="9">
        <v>0.33233929755000002</v>
      </c>
      <c r="G603" s="44">
        <v>22046</v>
      </c>
      <c r="H603" s="50">
        <f t="shared" si="9"/>
        <v>22</v>
      </c>
    </row>
    <row r="604" spans="1:8" ht="25.5" x14ac:dyDescent="0.2">
      <c r="A604" s="14" t="s">
        <v>562</v>
      </c>
      <c r="B604" s="6" t="s">
        <v>586</v>
      </c>
      <c r="C604" s="12">
        <v>6</v>
      </c>
      <c r="D604" s="7">
        <v>806.6</v>
      </c>
      <c r="E604" s="8">
        <v>8</v>
      </c>
      <c r="F604" s="9">
        <v>0.25832165881000002</v>
      </c>
      <c r="G604" s="44">
        <v>22070</v>
      </c>
      <c r="H604" s="50">
        <f t="shared" si="9"/>
        <v>22</v>
      </c>
    </row>
    <row r="605" spans="1:8" ht="25.5" x14ac:dyDescent="0.2">
      <c r="A605" s="14" t="s">
        <v>562</v>
      </c>
      <c r="B605" s="6" t="s">
        <v>567</v>
      </c>
      <c r="C605" s="16">
        <v>6</v>
      </c>
      <c r="D605" s="7">
        <v>2089.83</v>
      </c>
      <c r="E605" s="8">
        <v>20</v>
      </c>
      <c r="F605" s="9">
        <v>0.2461670088</v>
      </c>
      <c r="G605" s="44">
        <v>22078</v>
      </c>
      <c r="H605" s="50">
        <f t="shared" si="9"/>
        <v>22</v>
      </c>
    </row>
    <row r="606" spans="1:8" ht="25.5" x14ac:dyDescent="0.2">
      <c r="A606" s="14" t="s">
        <v>160</v>
      </c>
      <c r="B606" s="6" t="s">
        <v>171</v>
      </c>
      <c r="C606" s="16">
        <v>6</v>
      </c>
      <c r="D606" s="7">
        <v>36.905000000000001</v>
      </c>
      <c r="E606" s="8">
        <v>2</v>
      </c>
      <c r="F606" s="9">
        <v>0.28073431784000002</v>
      </c>
      <c r="G606" s="44">
        <v>24000</v>
      </c>
      <c r="H606" s="50">
        <f t="shared" si="9"/>
        <v>24</v>
      </c>
    </row>
    <row r="607" spans="1:8" x14ac:dyDescent="0.2">
      <c r="A607" s="14" t="s">
        <v>160</v>
      </c>
      <c r="B607" s="6" t="s">
        <v>175</v>
      </c>
      <c r="C607" s="12">
        <v>6</v>
      </c>
      <c r="D607" s="7">
        <v>193.69565220000001</v>
      </c>
      <c r="E607" s="8">
        <v>23</v>
      </c>
      <c r="F607" s="9">
        <v>0.36669113355999999</v>
      </c>
      <c r="G607" s="44">
        <v>25000</v>
      </c>
      <c r="H607" s="50">
        <f t="shared" si="9"/>
        <v>25</v>
      </c>
    </row>
    <row r="608" spans="1:8" ht="38.25" x14ac:dyDescent="0.2">
      <c r="A608" s="14" t="s">
        <v>556</v>
      </c>
      <c r="B608" s="6" t="s">
        <v>155</v>
      </c>
      <c r="C608" s="12">
        <v>6</v>
      </c>
      <c r="D608" s="7">
        <v>72.050526300000001</v>
      </c>
      <c r="E608" s="8">
        <v>8</v>
      </c>
      <c r="F608" s="9">
        <v>0.11325970079</v>
      </c>
      <c r="G608" s="44">
        <v>26750</v>
      </c>
      <c r="H608" s="50">
        <f t="shared" si="9"/>
        <v>26</v>
      </c>
    </row>
    <row r="609" spans="1:8" ht="38.25" x14ac:dyDescent="0.2">
      <c r="A609" s="14" t="s">
        <v>562</v>
      </c>
      <c r="B609" s="6" t="s">
        <v>581</v>
      </c>
      <c r="C609" s="16">
        <v>6</v>
      </c>
      <c r="D609" s="7">
        <v>826.02857140000003</v>
      </c>
      <c r="E609" s="8">
        <v>7</v>
      </c>
      <c r="F609" s="9">
        <v>0.2472688596</v>
      </c>
      <c r="G609" s="44">
        <v>28845</v>
      </c>
      <c r="H609" s="50">
        <f t="shared" si="9"/>
        <v>28</v>
      </c>
    </row>
    <row r="610" spans="1:8" ht="25.5" x14ac:dyDescent="0.2">
      <c r="A610" s="14" t="s">
        <v>8</v>
      </c>
      <c r="B610" s="6" t="s">
        <v>65</v>
      </c>
      <c r="C610" s="16">
        <v>6</v>
      </c>
      <c r="D610" s="7">
        <v>13.03</v>
      </c>
      <c r="E610" s="8">
        <v>1</v>
      </c>
      <c r="F610" s="9">
        <v>2.6323867996899999</v>
      </c>
      <c r="G610" s="44">
        <v>30000</v>
      </c>
      <c r="H610" s="50">
        <f t="shared" si="9"/>
        <v>30</v>
      </c>
    </row>
    <row r="611" spans="1:8" ht="25.5" x14ac:dyDescent="0.2">
      <c r="A611" s="14" t="s">
        <v>8</v>
      </c>
      <c r="B611" s="6" t="s">
        <v>67</v>
      </c>
      <c r="C611" s="12">
        <v>6</v>
      </c>
      <c r="D611" s="7">
        <v>77.5</v>
      </c>
      <c r="E611" s="8">
        <v>1</v>
      </c>
      <c r="F611" s="9">
        <v>0.42451612903000002</v>
      </c>
      <c r="G611" s="44">
        <v>30000</v>
      </c>
      <c r="H611" s="50">
        <f t="shared" si="9"/>
        <v>30</v>
      </c>
    </row>
    <row r="612" spans="1:8" ht="25.5" x14ac:dyDescent="0.2">
      <c r="A612" s="14" t="s">
        <v>533</v>
      </c>
      <c r="B612" s="6" t="s">
        <v>67</v>
      </c>
      <c r="C612" s="12">
        <v>6</v>
      </c>
      <c r="D612" s="7">
        <v>107.6533333</v>
      </c>
      <c r="E612" s="8">
        <v>3</v>
      </c>
      <c r="F612" s="9">
        <v>0.19209809264</v>
      </c>
      <c r="G612" s="44">
        <v>30000</v>
      </c>
      <c r="H612" s="50">
        <f t="shared" si="9"/>
        <v>30</v>
      </c>
    </row>
    <row r="613" spans="1:8" ht="25.5" x14ac:dyDescent="0.2">
      <c r="A613" s="14" t="s">
        <v>308</v>
      </c>
      <c r="B613" s="6" t="s">
        <v>421</v>
      </c>
      <c r="C613" s="16">
        <v>6</v>
      </c>
      <c r="D613" s="7">
        <v>118.3623077</v>
      </c>
      <c r="E613" s="8">
        <v>13</v>
      </c>
      <c r="F613" s="9">
        <v>0.25503441193999998</v>
      </c>
      <c r="G613" s="44">
        <v>30000</v>
      </c>
      <c r="H613" s="50">
        <f t="shared" si="9"/>
        <v>30</v>
      </c>
    </row>
    <row r="614" spans="1:8" ht="25.5" x14ac:dyDescent="0.2">
      <c r="A614" s="14" t="s">
        <v>308</v>
      </c>
      <c r="B614" s="6" t="s">
        <v>361</v>
      </c>
      <c r="C614" s="12">
        <v>6</v>
      </c>
      <c r="D614" s="7">
        <v>125.6925</v>
      </c>
      <c r="E614" s="8">
        <v>8</v>
      </c>
      <c r="F614" s="9">
        <v>0.24810847903</v>
      </c>
      <c r="G614" s="44">
        <v>30000</v>
      </c>
      <c r="H614" s="50">
        <f t="shared" si="9"/>
        <v>30</v>
      </c>
    </row>
    <row r="615" spans="1:8" ht="38.25" x14ac:dyDescent="0.2">
      <c r="A615" s="14" t="s">
        <v>308</v>
      </c>
      <c r="B615" s="6" t="s">
        <v>335</v>
      </c>
      <c r="C615" s="16">
        <v>6</v>
      </c>
      <c r="D615" s="7">
        <v>183.2</v>
      </c>
      <c r="E615" s="8">
        <v>4</v>
      </c>
      <c r="F615" s="9">
        <v>0.22088700873</v>
      </c>
      <c r="G615" s="44">
        <v>30000</v>
      </c>
      <c r="H615" s="50">
        <f t="shared" si="9"/>
        <v>30</v>
      </c>
    </row>
    <row r="616" spans="1:8" ht="25.5" x14ac:dyDescent="0.2">
      <c r="A616" s="14" t="s">
        <v>308</v>
      </c>
      <c r="B616" s="6" t="s">
        <v>405</v>
      </c>
      <c r="C616" s="16">
        <v>6</v>
      </c>
      <c r="D616" s="7">
        <v>395.84326090000002</v>
      </c>
      <c r="E616" s="8">
        <v>46</v>
      </c>
      <c r="F616" s="9">
        <v>0.21787345561999999</v>
      </c>
      <c r="G616" s="44">
        <v>30000</v>
      </c>
      <c r="H616" s="50">
        <f t="shared" si="9"/>
        <v>30</v>
      </c>
    </row>
    <row r="617" spans="1:8" ht="25.5" x14ac:dyDescent="0.2">
      <c r="A617" s="14" t="s">
        <v>308</v>
      </c>
      <c r="B617" s="6" t="s">
        <v>324</v>
      </c>
      <c r="C617" s="16">
        <v>6</v>
      </c>
      <c r="D617" s="7">
        <v>672.42558140000006</v>
      </c>
      <c r="E617" s="8">
        <v>43</v>
      </c>
      <c r="F617" s="9">
        <v>0.21924663575</v>
      </c>
      <c r="G617" s="44">
        <v>30000</v>
      </c>
      <c r="H617" s="50">
        <f t="shared" si="9"/>
        <v>30</v>
      </c>
    </row>
    <row r="618" spans="1:8" ht="25.5" x14ac:dyDescent="0.2">
      <c r="A618" s="14" t="s">
        <v>308</v>
      </c>
      <c r="B618" s="6" t="s">
        <v>409</v>
      </c>
      <c r="C618" s="16">
        <v>6</v>
      </c>
      <c r="D618" s="7">
        <v>77.580689699999994</v>
      </c>
      <c r="E618" s="8">
        <v>58</v>
      </c>
      <c r="F618" s="9">
        <v>0.33367172776999998</v>
      </c>
      <c r="G618" s="44">
        <v>30100</v>
      </c>
      <c r="H618" s="50">
        <f t="shared" si="9"/>
        <v>30</v>
      </c>
    </row>
    <row r="619" spans="1:8" x14ac:dyDescent="0.2">
      <c r="A619" s="14" t="s">
        <v>308</v>
      </c>
      <c r="B619" s="6" t="s">
        <v>388</v>
      </c>
      <c r="C619" s="12">
        <v>6</v>
      </c>
      <c r="D619" s="7">
        <v>148.84916670000001</v>
      </c>
      <c r="E619" s="8">
        <v>48</v>
      </c>
      <c r="F619" s="9">
        <v>0.24185305034999999</v>
      </c>
      <c r="G619" s="44">
        <v>30100</v>
      </c>
      <c r="H619" s="50">
        <f t="shared" si="9"/>
        <v>30</v>
      </c>
    </row>
    <row r="620" spans="1:8" x14ac:dyDescent="0.2">
      <c r="A620" s="14" t="s">
        <v>308</v>
      </c>
      <c r="B620" s="6" t="s">
        <v>411</v>
      </c>
      <c r="C620" s="12">
        <v>6</v>
      </c>
      <c r="D620" s="7">
        <v>171.1394737</v>
      </c>
      <c r="E620" s="8">
        <v>38</v>
      </c>
      <c r="F620" s="9">
        <v>0.22272323282000001</v>
      </c>
      <c r="G620" s="44">
        <v>30100</v>
      </c>
      <c r="H620" s="50">
        <f t="shared" si="9"/>
        <v>30</v>
      </c>
    </row>
    <row r="621" spans="1:8" ht="38.25" x14ac:dyDescent="0.2">
      <c r="A621" s="14" t="s">
        <v>8</v>
      </c>
      <c r="B621" s="6" t="s">
        <v>61</v>
      </c>
      <c r="C621" s="12">
        <v>6</v>
      </c>
      <c r="D621" s="7">
        <v>15.295999999999999</v>
      </c>
      <c r="E621" s="8">
        <v>5</v>
      </c>
      <c r="F621" s="9">
        <v>1.97044979079</v>
      </c>
      <c r="G621" s="44">
        <v>30140</v>
      </c>
      <c r="H621" s="50">
        <f t="shared" si="9"/>
        <v>30</v>
      </c>
    </row>
    <row r="622" spans="1:8" ht="25.5" x14ac:dyDescent="0.2">
      <c r="A622" s="14" t="s">
        <v>308</v>
      </c>
      <c r="B622" s="6" t="s">
        <v>451</v>
      </c>
      <c r="C622" s="16">
        <v>6</v>
      </c>
      <c r="D622" s="7">
        <v>198.07065220000001</v>
      </c>
      <c r="E622" s="8">
        <v>46</v>
      </c>
      <c r="F622" s="9">
        <v>0.22482315818000001</v>
      </c>
      <c r="G622" s="44">
        <v>30300</v>
      </c>
      <c r="H622" s="50">
        <f t="shared" si="9"/>
        <v>30</v>
      </c>
    </row>
    <row r="623" spans="1:8" ht="25.5" x14ac:dyDescent="0.2">
      <c r="A623" s="14" t="s">
        <v>8</v>
      </c>
      <c r="B623" s="6" t="s">
        <v>94</v>
      </c>
      <c r="C623" s="12">
        <v>6</v>
      </c>
      <c r="D623" s="7">
        <v>46.316666699999999</v>
      </c>
      <c r="E623" s="8">
        <v>3</v>
      </c>
      <c r="F623" s="9">
        <v>0.68960057575</v>
      </c>
      <c r="G623" s="44">
        <v>30310</v>
      </c>
      <c r="H623" s="50">
        <f t="shared" si="9"/>
        <v>30</v>
      </c>
    </row>
    <row r="624" spans="1:8" ht="25.5" x14ac:dyDescent="0.2">
      <c r="A624" s="14" t="s">
        <v>308</v>
      </c>
      <c r="B624" s="6" t="s">
        <v>389</v>
      </c>
      <c r="C624" s="16">
        <v>6</v>
      </c>
      <c r="D624" s="7">
        <v>67.068620699999997</v>
      </c>
      <c r="E624" s="8">
        <v>28</v>
      </c>
      <c r="F624" s="9">
        <v>0.38529504007999998</v>
      </c>
      <c r="G624" s="44">
        <v>30330</v>
      </c>
      <c r="H624" s="50">
        <f t="shared" si="9"/>
        <v>30</v>
      </c>
    </row>
    <row r="625" spans="1:8" ht="38.25" x14ac:dyDescent="0.2">
      <c r="A625" s="14" t="s">
        <v>308</v>
      </c>
      <c r="B625" s="6" t="s">
        <v>407</v>
      </c>
      <c r="C625" s="16">
        <v>6</v>
      </c>
      <c r="D625" s="7">
        <v>57.897804899999997</v>
      </c>
      <c r="E625" s="8">
        <v>41</v>
      </c>
      <c r="F625" s="9">
        <v>0.45518638813000001</v>
      </c>
      <c r="G625" s="44">
        <v>30800</v>
      </c>
      <c r="H625" s="50">
        <f t="shared" si="9"/>
        <v>30</v>
      </c>
    </row>
    <row r="626" spans="1:8" ht="25.5" x14ac:dyDescent="0.2">
      <c r="A626" s="14" t="s">
        <v>533</v>
      </c>
      <c r="B626" s="6" t="s">
        <v>310</v>
      </c>
      <c r="C626" s="12">
        <v>6</v>
      </c>
      <c r="D626" s="7">
        <v>199.74</v>
      </c>
      <c r="E626" s="8">
        <v>1</v>
      </c>
      <c r="F626" s="9">
        <v>0.12346049865</v>
      </c>
      <c r="G626" s="44">
        <v>30900</v>
      </c>
      <c r="H626" s="50">
        <f t="shared" si="9"/>
        <v>30</v>
      </c>
    </row>
    <row r="627" spans="1:8" ht="38.25" x14ac:dyDescent="0.2">
      <c r="A627" s="14" t="s">
        <v>308</v>
      </c>
      <c r="B627" s="6" t="s">
        <v>325</v>
      </c>
      <c r="C627" s="12">
        <v>6</v>
      </c>
      <c r="D627" s="7">
        <v>225.70724139999999</v>
      </c>
      <c r="E627" s="8">
        <v>29</v>
      </c>
      <c r="F627" s="9">
        <v>0.21983054031999999</v>
      </c>
      <c r="G627" s="44">
        <v>30900</v>
      </c>
      <c r="H627" s="50">
        <f t="shared" si="9"/>
        <v>30</v>
      </c>
    </row>
    <row r="628" spans="1:8" ht="25.5" x14ac:dyDescent="0.2">
      <c r="A628" s="14" t="s">
        <v>308</v>
      </c>
      <c r="B628" s="6" t="s">
        <v>310</v>
      </c>
      <c r="C628" s="12">
        <v>6</v>
      </c>
      <c r="D628" s="7">
        <v>275.28806450000002</v>
      </c>
      <c r="E628" s="8">
        <v>31</v>
      </c>
      <c r="F628" s="9">
        <v>0.2190117566</v>
      </c>
      <c r="G628" s="44">
        <v>30900</v>
      </c>
      <c r="H628" s="50">
        <f t="shared" si="9"/>
        <v>30</v>
      </c>
    </row>
    <row r="629" spans="1:8" x14ac:dyDescent="0.2">
      <c r="A629" s="14" t="s">
        <v>308</v>
      </c>
      <c r="B629" s="6" t="s">
        <v>428</v>
      </c>
      <c r="C629" s="12">
        <v>6</v>
      </c>
      <c r="D629" s="7">
        <v>1156.1053333</v>
      </c>
      <c r="E629" s="8">
        <v>15</v>
      </c>
      <c r="F629" s="9">
        <v>0.21616092650999999</v>
      </c>
      <c r="G629" s="44">
        <v>30900</v>
      </c>
      <c r="H629" s="50">
        <f t="shared" si="9"/>
        <v>30</v>
      </c>
    </row>
    <row r="630" spans="1:8" ht="25.5" x14ac:dyDescent="0.2">
      <c r="A630" s="14" t="s">
        <v>8</v>
      </c>
      <c r="B630" s="6" t="s">
        <v>57</v>
      </c>
      <c r="C630" s="16">
        <v>6</v>
      </c>
      <c r="D630" s="7">
        <v>9.5500000000000007</v>
      </c>
      <c r="E630" s="8">
        <v>3</v>
      </c>
      <c r="F630" s="9">
        <v>3.1560209424100001</v>
      </c>
      <c r="G630" s="44">
        <v>31000</v>
      </c>
      <c r="H630" s="50">
        <f t="shared" si="9"/>
        <v>31</v>
      </c>
    </row>
    <row r="631" spans="1:8" ht="25.5" x14ac:dyDescent="0.2">
      <c r="A631" s="14" t="s">
        <v>489</v>
      </c>
      <c r="B631" s="6" t="s">
        <v>34</v>
      </c>
      <c r="C631" s="12">
        <v>6</v>
      </c>
      <c r="D631" s="7">
        <v>14.326000000000001</v>
      </c>
      <c r="E631" s="8">
        <v>4</v>
      </c>
      <c r="F631" s="9">
        <v>0.16999860393999999</v>
      </c>
      <c r="G631" s="44">
        <v>31000</v>
      </c>
      <c r="H631" s="50">
        <f t="shared" si="9"/>
        <v>31</v>
      </c>
    </row>
    <row r="632" spans="1:8" ht="25.5" x14ac:dyDescent="0.2">
      <c r="A632" s="14" t="s">
        <v>489</v>
      </c>
      <c r="B632" s="6" t="s">
        <v>506</v>
      </c>
      <c r="C632" s="16">
        <v>6</v>
      </c>
      <c r="D632" s="7">
        <v>14.53</v>
      </c>
      <c r="E632" s="8">
        <v>10</v>
      </c>
      <c r="F632" s="9">
        <v>0.16999311769</v>
      </c>
      <c r="G632" s="44">
        <v>31000</v>
      </c>
      <c r="H632" s="50">
        <f t="shared" si="9"/>
        <v>31</v>
      </c>
    </row>
    <row r="633" spans="1:8" ht="25.5" x14ac:dyDescent="0.2">
      <c r="A633" s="14" t="s">
        <v>489</v>
      </c>
      <c r="B633" s="6" t="s">
        <v>507</v>
      </c>
      <c r="C633" s="16">
        <v>6</v>
      </c>
      <c r="D633" s="7">
        <v>14.99</v>
      </c>
      <c r="E633" s="8">
        <v>4</v>
      </c>
      <c r="F633" s="9">
        <v>0.17001334223</v>
      </c>
      <c r="G633" s="44">
        <v>31000</v>
      </c>
      <c r="H633" s="50">
        <f t="shared" si="9"/>
        <v>31</v>
      </c>
    </row>
    <row r="634" spans="1:8" ht="25.5" x14ac:dyDescent="0.2">
      <c r="A634" s="14" t="s">
        <v>8</v>
      </c>
      <c r="B634" s="6" t="s">
        <v>34</v>
      </c>
      <c r="C634" s="12">
        <v>6</v>
      </c>
      <c r="D634" s="7">
        <v>15.0525</v>
      </c>
      <c r="E634" s="8">
        <v>8</v>
      </c>
      <c r="F634" s="9">
        <v>0.33898854011000001</v>
      </c>
      <c r="G634" s="44">
        <v>31000</v>
      </c>
      <c r="H634" s="50">
        <f t="shared" si="9"/>
        <v>31</v>
      </c>
    </row>
    <row r="635" spans="1:8" ht="38.25" x14ac:dyDescent="0.2">
      <c r="A635" s="14" t="s">
        <v>604</v>
      </c>
      <c r="B635" s="6" t="s">
        <v>91</v>
      </c>
      <c r="C635" s="16">
        <v>6</v>
      </c>
      <c r="D635" s="7">
        <v>17.746666699999999</v>
      </c>
      <c r="E635" s="8">
        <v>2</v>
      </c>
      <c r="F635" s="9">
        <v>1.3076821938400001</v>
      </c>
      <c r="G635" s="44">
        <v>31000</v>
      </c>
      <c r="H635" s="50">
        <f t="shared" si="9"/>
        <v>31</v>
      </c>
    </row>
    <row r="636" spans="1:8" ht="38.25" x14ac:dyDescent="0.2">
      <c r="A636" s="14" t="s">
        <v>8</v>
      </c>
      <c r="B636" s="6" t="s">
        <v>91</v>
      </c>
      <c r="C636" s="12">
        <v>6</v>
      </c>
      <c r="D636" s="7">
        <v>19.5</v>
      </c>
      <c r="E636" s="8">
        <v>2</v>
      </c>
      <c r="F636" s="9">
        <v>2.1369230769200001</v>
      </c>
      <c r="G636" s="44">
        <v>31000</v>
      </c>
      <c r="H636" s="50">
        <f t="shared" si="9"/>
        <v>31</v>
      </c>
    </row>
    <row r="637" spans="1:8" ht="38.25" x14ac:dyDescent="0.2">
      <c r="A637" s="14" t="s">
        <v>291</v>
      </c>
      <c r="B637" s="6" t="s">
        <v>91</v>
      </c>
      <c r="C637" s="12">
        <v>6</v>
      </c>
      <c r="D637" s="7">
        <v>19.66</v>
      </c>
      <c r="E637" s="8">
        <v>2</v>
      </c>
      <c r="F637" s="9">
        <v>1.1935401831100001</v>
      </c>
      <c r="G637" s="44">
        <v>31000</v>
      </c>
      <c r="H637" s="50">
        <f t="shared" si="9"/>
        <v>31</v>
      </c>
    </row>
    <row r="638" spans="1:8" ht="38.25" x14ac:dyDescent="0.2">
      <c r="A638" s="14" t="s">
        <v>461</v>
      </c>
      <c r="B638" s="6" t="s">
        <v>485</v>
      </c>
      <c r="C638" s="12">
        <v>6</v>
      </c>
      <c r="D638" s="7">
        <v>24.243181799999999</v>
      </c>
      <c r="E638" s="8">
        <v>32</v>
      </c>
      <c r="F638" s="9">
        <v>0.17</v>
      </c>
      <c r="G638" s="44">
        <v>31000</v>
      </c>
      <c r="H638" s="50">
        <f t="shared" si="9"/>
        <v>31</v>
      </c>
    </row>
    <row r="639" spans="1:8" ht="38.25" x14ac:dyDescent="0.2">
      <c r="A639" s="14" t="s">
        <v>291</v>
      </c>
      <c r="B639" s="6" t="s">
        <v>127</v>
      </c>
      <c r="C639" s="16">
        <v>6</v>
      </c>
      <c r="D639" s="7">
        <v>35.071538500000003</v>
      </c>
      <c r="E639" s="8">
        <v>13</v>
      </c>
      <c r="F639" s="9">
        <v>0.34155462461000002</v>
      </c>
      <c r="G639" s="44">
        <v>31000</v>
      </c>
      <c r="H639" s="50">
        <f t="shared" si="9"/>
        <v>31</v>
      </c>
    </row>
    <row r="640" spans="1:8" ht="25.5" x14ac:dyDescent="0.2">
      <c r="A640" s="14" t="s">
        <v>489</v>
      </c>
      <c r="B640" s="6" t="s">
        <v>505</v>
      </c>
      <c r="C640" s="12">
        <v>6</v>
      </c>
      <c r="D640" s="7">
        <v>43.147058800000003</v>
      </c>
      <c r="E640" s="8">
        <v>17</v>
      </c>
      <c r="F640" s="9">
        <v>0.17000272664999999</v>
      </c>
      <c r="G640" s="44">
        <v>31000</v>
      </c>
      <c r="H640" s="50">
        <f t="shared" si="9"/>
        <v>31</v>
      </c>
    </row>
    <row r="641" spans="1:8" ht="38.25" x14ac:dyDescent="0.2">
      <c r="A641" s="14" t="s">
        <v>604</v>
      </c>
      <c r="B641" s="6" t="s">
        <v>127</v>
      </c>
      <c r="C641" s="16">
        <v>6</v>
      </c>
      <c r="D641" s="7">
        <v>49.136481500000002</v>
      </c>
      <c r="E641" s="8">
        <v>37</v>
      </c>
      <c r="F641" s="9">
        <v>0.61543433444999995</v>
      </c>
      <c r="G641" s="44">
        <v>31000</v>
      </c>
      <c r="H641" s="50">
        <f t="shared" si="9"/>
        <v>31</v>
      </c>
    </row>
    <row r="642" spans="1:8" ht="38.25" x14ac:dyDescent="0.2">
      <c r="A642" s="14" t="s">
        <v>8</v>
      </c>
      <c r="B642" s="6" t="s">
        <v>78</v>
      </c>
      <c r="C642" s="16">
        <v>6</v>
      </c>
      <c r="D642" s="7">
        <v>50.627499999999998</v>
      </c>
      <c r="E642" s="8">
        <v>4</v>
      </c>
      <c r="F642" s="9">
        <v>0.63088242555999996</v>
      </c>
      <c r="G642" s="44">
        <v>31000</v>
      </c>
      <c r="H642" s="50">
        <f t="shared" si="9"/>
        <v>31</v>
      </c>
    </row>
    <row r="643" spans="1:8" ht="25.5" x14ac:dyDescent="0.2">
      <c r="A643" s="14" t="s">
        <v>461</v>
      </c>
      <c r="B643" s="6" t="s">
        <v>478</v>
      </c>
      <c r="C643" s="16">
        <v>6</v>
      </c>
      <c r="D643" s="7">
        <v>75.758333300000004</v>
      </c>
      <c r="E643" s="8">
        <v>12</v>
      </c>
      <c r="F643" s="9">
        <v>0.17000109998999999</v>
      </c>
      <c r="G643" s="44">
        <v>31000</v>
      </c>
      <c r="H643" s="50">
        <f t="shared" ref="H643:H706" si="10">IF(LEN(G643)=4,VALUE(LEFT(G643,1)),VALUE(LEFT(G643,2)))</f>
        <v>31</v>
      </c>
    </row>
    <row r="644" spans="1:8" ht="25.5" x14ac:dyDescent="0.2">
      <c r="A644" s="14" t="s">
        <v>461</v>
      </c>
      <c r="B644" s="6" t="s">
        <v>462</v>
      </c>
      <c r="C644" s="16">
        <v>6</v>
      </c>
      <c r="D644" s="7">
        <v>95.900689700000001</v>
      </c>
      <c r="E644" s="8">
        <v>29</v>
      </c>
      <c r="F644" s="9">
        <v>0.17000057531000001</v>
      </c>
      <c r="G644" s="44">
        <v>31000</v>
      </c>
      <c r="H644" s="50">
        <f t="shared" si="10"/>
        <v>31</v>
      </c>
    </row>
    <row r="645" spans="1:8" ht="38.25" x14ac:dyDescent="0.2">
      <c r="A645" s="14" t="s">
        <v>461</v>
      </c>
      <c r="B645" s="6" t="s">
        <v>473</v>
      </c>
      <c r="C645" s="12">
        <v>6</v>
      </c>
      <c r="D645" s="7">
        <v>97.266666700000002</v>
      </c>
      <c r="E645" s="8">
        <v>9</v>
      </c>
      <c r="F645" s="9">
        <v>0.16999885767</v>
      </c>
      <c r="G645" s="44">
        <v>31000</v>
      </c>
      <c r="H645" s="50">
        <f t="shared" si="10"/>
        <v>31</v>
      </c>
    </row>
    <row r="646" spans="1:8" ht="38.25" x14ac:dyDescent="0.2">
      <c r="A646" s="14" t="s">
        <v>461</v>
      </c>
      <c r="B646" s="6" t="s">
        <v>472</v>
      </c>
      <c r="C646" s="16">
        <v>6</v>
      </c>
      <c r="D646" s="7">
        <v>118.786</v>
      </c>
      <c r="E646" s="8">
        <v>20</v>
      </c>
      <c r="F646" s="9">
        <v>0.16999983162999999</v>
      </c>
      <c r="G646" s="44">
        <v>31000</v>
      </c>
      <c r="H646" s="50">
        <f t="shared" si="10"/>
        <v>31</v>
      </c>
    </row>
    <row r="647" spans="1:8" ht="25.5" x14ac:dyDescent="0.2">
      <c r="A647" s="14" t="s">
        <v>461</v>
      </c>
      <c r="B647" s="6" t="s">
        <v>471</v>
      </c>
      <c r="C647" s="16">
        <v>6</v>
      </c>
      <c r="D647" s="7">
        <v>135.9727273</v>
      </c>
      <c r="E647" s="8">
        <v>33</v>
      </c>
      <c r="F647" s="9">
        <v>0.17</v>
      </c>
      <c r="G647" s="44">
        <v>31000</v>
      </c>
      <c r="H647" s="50">
        <f t="shared" si="10"/>
        <v>31</v>
      </c>
    </row>
    <row r="648" spans="1:8" ht="38.25" x14ac:dyDescent="0.2">
      <c r="A648" s="14" t="s">
        <v>461</v>
      </c>
      <c r="B648" s="6" t="s">
        <v>475</v>
      </c>
      <c r="C648" s="16">
        <v>6</v>
      </c>
      <c r="D648" s="7">
        <v>152.84809519999999</v>
      </c>
      <c r="E648" s="8">
        <v>21</v>
      </c>
      <c r="F648" s="9">
        <v>0.17000009346</v>
      </c>
      <c r="G648" s="44">
        <v>31000</v>
      </c>
      <c r="H648" s="50">
        <f t="shared" si="10"/>
        <v>31</v>
      </c>
    </row>
    <row r="649" spans="1:8" ht="25.5" x14ac:dyDescent="0.2">
      <c r="A649" s="14" t="s">
        <v>489</v>
      </c>
      <c r="B649" s="6" t="s">
        <v>530</v>
      </c>
      <c r="C649" s="12">
        <v>6</v>
      </c>
      <c r="D649" s="7">
        <v>168.53062499999999</v>
      </c>
      <c r="E649" s="8">
        <v>16</v>
      </c>
      <c r="F649" s="9">
        <v>0.16999988873999999</v>
      </c>
      <c r="G649" s="44">
        <v>31000</v>
      </c>
      <c r="H649" s="50">
        <f t="shared" si="10"/>
        <v>31</v>
      </c>
    </row>
    <row r="650" spans="1:8" ht="25.5" x14ac:dyDescent="0.2">
      <c r="A650" s="14" t="s">
        <v>461</v>
      </c>
      <c r="B650" s="6" t="s">
        <v>483</v>
      </c>
      <c r="C650" s="16">
        <v>6</v>
      </c>
      <c r="D650" s="7">
        <v>179.71333329999999</v>
      </c>
      <c r="E650" s="8">
        <v>45</v>
      </c>
      <c r="F650" s="9">
        <v>0.17</v>
      </c>
      <c r="G650" s="44">
        <v>31000</v>
      </c>
      <c r="H650" s="50">
        <f t="shared" si="10"/>
        <v>31</v>
      </c>
    </row>
    <row r="651" spans="1:8" ht="25.5" x14ac:dyDescent="0.2">
      <c r="A651" s="14" t="s">
        <v>461</v>
      </c>
      <c r="B651" s="6" t="s">
        <v>486</v>
      </c>
      <c r="C651" s="16">
        <v>6</v>
      </c>
      <c r="D651" s="7">
        <v>211.45</v>
      </c>
      <c r="E651" s="8">
        <v>2</v>
      </c>
      <c r="F651" s="9">
        <v>0.17</v>
      </c>
      <c r="G651" s="44">
        <v>31000</v>
      </c>
      <c r="H651" s="50">
        <f t="shared" si="10"/>
        <v>31</v>
      </c>
    </row>
    <row r="652" spans="1:8" ht="25.5" x14ac:dyDescent="0.2">
      <c r="A652" s="14" t="s">
        <v>461</v>
      </c>
      <c r="B652" s="6" t="s">
        <v>463</v>
      </c>
      <c r="C652" s="16">
        <v>6</v>
      </c>
      <c r="D652" s="7">
        <v>211.61090909999999</v>
      </c>
      <c r="E652" s="8">
        <v>51</v>
      </c>
      <c r="F652" s="9">
        <v>0.17</v>
      </c>
      <c r="G652" s="44">
        <v>31000</v>
      </c>
      <c r="H652" s="50">
        <f t="shared" si="10"/>
        <v>31</v>
      </c>
    </row>
    <row r="653" spans="1:8" ht="25.5" x14ac:dyDescent="0.2">
      <c r="A653" s="14" t="s">
        <v>461</v>
      </c>
      <c r="B653" s="6" t="s">
        <v>479</v>
      </c>
      <c r="C653" s="12">
        <v>6</v>
      </c>
      <c r="D653" s="7">
        <v>214.10499999999999</v>
      </c>
      <c r="E653" s="8">
        <v>30</v>
      </c>
      <c r="F653" s="9">
        <v>0.17000007784000001</v>
      </c>
      <c r="G653" s="44">
        <v>31000</v>
      </c>
      <c r="H653" s="50">
        <f t="shared" si="10"/>
        <v>31</v>
      </c>
    </row>
    <row r="654" spans="1:8" ht="25.5" x14ac:dyDescent="0.2">
      <c r="A654" s="14" t="s">
        <v>461</v>
      </c>
      <c r="B654" s="6" t="s">
        <v>482</v>
      </c>
      <c r="C654" s="12">
        <v>6</v>
      </c>
      <c r="D654" s="7">
        <v>252.12470590000001</v>
      </c>
      <c r="E654" s="8">
        <v>51</v>
      </c>
      <c r="F654" s="9">
        <v>0.17000006222</v>
      </c>
      <c r="G654" s="44">
        <v>31000</v>
      </c>
      <c r="H654" s="50">
        <f t="shared" si="10"/>
        <v>31</v>
      </c>
    </row>
    <row r="655" spans="1:8" ht="38.25" x14ac:dyDescent="0.2">
      <c r="A655" s="14" t="s">
        <v>308</v>
      </c>
      <c r="B655" s="6" t="s">
        <v>431</v>
      </c>
      <c r="C655" s="12">
        <v>6</v>
      </c>
      <c r="D655" s="7">
        <v>300.15014489999999</v>
      </c>
      <c r="E655" s="8">
        <v>69</v>
      </c>
      <c r="F655" s="9">
        <v>0.21966774117000001</v>
      </c>
      <c r="G655" s="44">
        <v>31000</v>
      </c>
      <c r="H655" s="50">
        <f t="shared" si="10"/>
        <v>31</v>
      </c>
    </row>
    <row r="656" spans="1:8" ht="25.5" x14ac:dyDescent="0.2">
      <c r="A656" s="14" t="s">
        <v>461</v>
      </c>
      <c r="B656" s="6" t="s">
        <v>469</v>
      </c>
      <c r="C656" s="16">
        <v>6</v>
      </c>
      <c r="D656" s="7">
        <v>323.0342857</v>
      </c>
      <c r="E656" s="8">
        <v>34</v>
      </c>
      <c r="F656" s="9">
        <v>0.17</v>
      </c>
      <c r="G656" s="44">
        <v>31000</v>
      </c>
      <c r="H656" s="50">
        <f t="shared" si="10"/>
        <v>31</v>
      </c>
    </row>
    <row r="657" spans="1:8" ht="25.5" x14ac:dyDescent="0.2">
      <c r="A657" s="14" t="s">
        <v>461</v>
      </c>
      <c r="B657" s="6" t="s">
        <v>466</v>
      </c>
      <c r="C657" s="16">
        <v>6</v>
      </c>
      <c r="D657" s="7">
        <v>352.85957450000001</v>
      </c>
      <c r="E657" s="8">
        <v>47</v>
      </c>
      <c r="F657" s="9">
        <v>0.17</v>
      </c>
      <c r="G657" s="44">
        <v>31000</v>
      </c>
      <c r="H657" s="50">
        <f t="shared" si="10"/>
        <v>31</v>
      </c>
    </row>
    <row r="658" spans="1:8" ht="25.5" x14ac:dyDescent="0.2">
      <c r="A658" s="14" t="s">
        <v>461</v>
      </c>
      <c r="B658" s="6" t="s">
        <v>468</v>
      </c>
      <c r="C658" s="16">
        <v>6</v>
      </c>
      <c r="D658" s="7">
        <v>439.8</v>
      </c>
      <c r="E658" s="8">
        <v>1</v>
      </c>
      <c r="F658" s="9">
        <v>0.17</v>
      </c>
      <c r="G658" s="44">
        <v>31000</v>
      </c>
      <c r="H658" s="50">
        <f t="shared" si="10"/>
        <v>31</v>
      </c>
    </row>
    <row r="659" spans="1:8" x14ac:dyDescent="0.2">
      <c r="A659" s="14" t="s">
        <v>461</v>
      </c>
      <c r="B659" s="6" t="s">
        <v>477</v>
      </c>
      <c r="C659" s="16">
        <v>6</v>
      </c>
      <c r="D659" s="7">
        <v>37.966250000000002</v>
      </c>
      <c r="E659" s="8">
        <v>8</v>
      </c>
      <c r="F659" s="9">
        <v>0.16999967076</v>
      </c>
      <c r="G659" s="44">
        <v>31100</v>
      </c>
      <c r="H659" s="50">
        <f t="shared" si="10"/>
        <v>31</v>
      </c>
    </row>
    <row r="660" spans="1:8" x14ac:dyDescent="0.2">
      <c r="A660" s="14" t="s">
        <v>461</v>
      </c>
      <c r="B660" s="6" t="s">
        <v>480</v>
      </c>
      <c r="C660" s="16">
        <v>6</v>
      </c>
      <c r="D660" s="7">
        <v>68.666666699999993</v>
      </c>
      <c r="E660" s="8">
        <v>38</v>
      </c>
      <c r="F660" s="9">
        <v>0.17</v>
      </c>
      <c r="G660" s="44">
        <v>31100</v>
      </c>
      <c r="H660" s="50">
        <f t="shared" si="10"/>
        <v>31</v>
      </c>
    </row>
    <row r="661" spans="1:8" ht="25.5" x14ac:dyDescent="0.2">
      <c r="A661" s="14" t="s">
        <v>461</v>
      </c>
      <c r="B661" s="6" t="s">
        <v>481</v>
      </c>
      <c r="C661" s="16">
        <v>6</v>
      </c>
      <c r="D661" s="7">
        <v>82.128205100000002</v>
      </c>
      <c r="E661" s="8">
        <v>38</v>
      </c>
      <c r="F661" s="9">
        <v>0.17</v>
      </c>
      <c r="G661" s="44">
        <v>31100</v>
      </c>
      <c r="H661" s="50">
        <f t="shared" si="10"/>
        <v>31</v>
      </c>
    </row>
    <row r="662" spans="1:8" x14ac:dyDescent="0.2">
      <c r="A662" s="14" t="s">
        <v>461</v>
      </c>
      <c r="B662" s="6" t="s">
        <v>474</v>
      </c>
      <c r="C662" s="16">
        <v>6</v>
      </c>
      <c r="D662" s="7">
        <v>117.8544828</v>
      </c>
      <c r="E662" s="8">
        <v>29</v>
      </c>
      <c r="F662" s="9">
        <v>0.17000011704000001</v>
      </c>
      <c r="G662" s="44">
        <v>31100</v>
      </c>
      <c r="H662" s="50">
        <f t="shared" si="10"/>
        <v>31</v>
      </c>
    </row>
    <row r="663" spans="1:8" x14ac:dyDescent="0.2">
      <c r="A663" s="14" t="s">
        <v>461</v>
      </c>
      <c r="B663" s="6" t="s">
        <v>488</v>
      </c>
      <c r="C663" s="16">
        <v>6</v>
      </c>
      <c r="D663" s="7">
        <v>207.8486111</v>
      </c>
      <c r="E663" s="8">
        <v>36</v>
      </c>
      <c r="F663" s="9">
        <v>0.17000006681999999</v>
      </c>
      <c r="G663" s="44">
        <v>31100</v>
      </c>
      <c r="H663" s="50">
        <f t="shared" si="10"/>
        <v>31</v>
      </c>
    </row>
    <row r="664" spans="1:8" x14ac:dyDescent="0.2">
      <c r="A664" s="14" t="s">
        <v>489</v>
      </c>
      <c r="B664" s="6" t="s">
        <v>490</v>
      </c>
      <c r="C664" s="16">
        <v>6</v>
      </c>
      <c r="D664" s="7">
        <v>25.266153800000001</v>
      </c>
      <c r="E664" s="8">
        <v>12</v>
      </c>
      <c r="F664" s="9">
        <v>0.16999939110000001</v>
      </c>
      <c r="G664" s="44">
        <v>31130</v>
      </c>
      <c r="H664" s="50">
        <f t="shared" si="10"/>
        <v>31</v>
      </c>
    </row>
    <row r="665" spans="1:8" ht="25.5" x14ac:dyDescent="0.2">
      <c r="A665" s="14" t="s">
        <v>489</v>
      </c>
      <c r="B665" s="6" t="s">
        <v>516</v>
      </c>
      <c r="C665" s="16">
        <v>6</v>
      </c>
      <c r="D665" s="7">
        <v>28.208823500000001</v>
      </c>
      <c r="E665" s="8">
        <v>17</v>
      </c>
      <c r="F665" s="9">
        <v>0.16999895736000001</v>
      </c>
      <c r="G665" s="44">
        <v>31150</v>
      </c>
      <c r="H665" s="50">
        <f t="shared" si="10"/>
        <v>31</v>
      </c>
    </row>
    <row r="666" spans="1:8" ht="38.25" x14ac:dyDescent="0.2">
      <c r="A666" s="14" t="s">
        <v>489</v>
      </c>
      <c r="B666" s="6" t="s">
        <v>528</v>
      </c>
      <c r="C666" s="16">
        <v>6</v>
      </c>
      <c r="D666" s="7">
        <v>2321.9055555999998</v>
      </c>
      <c r="E666" s="8">
        <v>18</v>
      </c>
      <c r="F666" s="9">
        <v>0.17</v>
      </c>
      <c r="G666" s="44">
        <v>31150</v>
      </c>
      <c r="H666" s="50">
        <f t="shared" si="10"/>
        <v>31</v>
      </c>
    </row>
    <row r="667" spans="1:8" ht="25.5" x14ac:dyDescent="0.2">
      <c r="A667" s="14" t="s">
        <v>489</v>
      </c>
      <c r="B667" s="6" t="s">
        <v>494</v>
      </c>
      <c r="C667" s="12">
        <v>6</v>
      </c>
      <c r="D667" s="7">
        <v>133</v>
      </c>
      <c r="E667" s="8">
        <v>2</v>
      </c>
      <c r="F667" s="9">
        <v>0.17</v>
      </c>
      <c r="G667" s="44">
        <v>31250</v>
      </c>
      <c r="H667" s="50">
        <f t="shared" si="10"/>
        <v>31</v>
      </c>
    </row>
    <row r="668" spans="1:8" ht="38.25" x14ac:dyDescent="0.2">
      <c r="A668" s="14" t="s">
        <v>461</v>
      </c>
      <c r="B668" s="6" t="s">
        <v>467</v>
      </c>
      <c r="C668" s="12">
        <v>6</v>
      </c>
      <c r="D668" s="7">
        <v>173.21799999999999</v>
      </c>
      <c r="E668" s="8">
        <v>5</v>
      </c>
      <c r="F668" s="9">
        <v>0.17000080822999999</v>
      </c>
      <c r="G668" s="44">
        <v>31270</v>
      </c>
      <c r="H668" s="50">
        <f t="shared" si="10"/>
        <v>31</v>
      </c>
    </row>
    <row r="669" spans="1:8" ht="38.25" x14ac:dyDescent="0.2">
      <c r="A669" s="14" t="s">
        <v>461</v>
      </c>
      <c r="B669" s="6" t="s">
        <v>476</v>
      </c>
      <c r="C669" s="12">
        <v>6</v>
      </c>
      <c r="D669" s="7">
        <v>62.317073200000003</v>
      </c>
      <c r="E669" s="8">
        <v>41</v>
      </c>
      <c r="F669" s="9">
        <v>0.17</v>
      </c>
      <c r="G669" s="44">
        <v>31300</v>
      </c>
      <c r="H669" s="50">
        <f t="shared" si="10"/>
        <v>31</v>
      </c>
    </row>
    <row r="670" spans="1:8" ht="25.5" x14ac:dyDescent="0.2">
      <c r="A670" s="14" t="s">
        <v>461</v>
      </c>
      <c r="B670" s="6" t="s">
        <v>484</v>
      </c>
      <c r="C670" s="16">
        <v>6</v>
      </c>
      <c r="D670" s="7">
        <v>122.9558974</v>
      </c>
      <c r="E670" s="8">
        <v>39</v>
      </c>
      <c r="F670" s="9">
        <v>0.17000029194999999</v>
      </c>
      <c r="G670" s="44">
        <v>31300</v>
      </c>
      <c r="H670" s="50">
        <f t="shared" si="10"/>
        <v>31</v>
      </c>
    </row>
    <row r="671" spans="1:8" ht="25.5" x14ac:dyDescent="0.2">
      <c r="A671" s="14" t="s">
        <v>461</v>
      </c>
      <c r="B671" s="6" t="s">
        <v>465</v>
      </c>
      <c r="C671" s="16">
        <v>6</v>
      </c>
      <c r="D671" s="7">
        <v>250.42722219999999</v>
      </c>
      <c r="E671" s="8">
        <v>54</v>
      </c>
      <c r="F671" s="9">
        <v>0.17000030319000001</v>
      </c>
      <c r="G671" s="44">
        <v>31300</v>
      </c>
      <c r="H671" s="50">
        <f t="shared" si="10"/>
        <v>31</v>
      </c>
    </row>
    <row r="672" spans="1:8" ht="25.5" x14ac:dyDescent="0.2">
      <c r="A672" s="14" t="s">
        <v>461</v>
      </c>
      <c r="B672" s="6" t="s">
        <v>487</v>
      </c>
      <c r="C672" s="12">
        <v>6</v>
      </c>
      <c r="D672" s="7">
        <v>460.01086959999998</v>
      </c>
      <c r="E672" s="8">
        <v>46</v>
      </c>
      <c r="F672" s="9">
        <v>0.17</v>
      </c>
      <c r="G672" s="44">
        <v>31400</v>
      </c>
      <c r="H672" s="50">
        <f t="shared" si="10"/>
        <v>31</v>
      </c>
    </row>
    <row r="673" spans="1:8" x14ac:dyDescent="0.2">
      <c r="A673" s="14" t="s">
        <v>461</v>
      </c>
      <c r="B673" s="6" t="s">
        <v>470</v>
      </c>
      <c r="C673" s="12">
        <v>6</v>
      </c>
      <c r="D673" s="7">
        <v>156.78399999999999</v>
      </c>
      <c r="E673" s="8">
        <v>5</v>
      </c>
      <c r="F673" s="9">
        <v>0.16999948974000001</v>
      </c>
      <c r="G673" s="44">
        <v>31600</v>
      </c>
      <c r="H673" s="50">
        <f t="shared" si="10"/>
        <v>31</v>
      </c>
    </row>
    <row r="674" spans="1:8" ht="25.5" x14ac:dyDescent="0.2">
      <c r="A674" s="14" t="s">
        <v>461</v>
      </c>
      <c r="B674" s="6" t="s">
        <v>464</v>
      </c>
      <c r="C674" s="12">
        <v>6</v>
      </c>
      <c r="D674" s="7">
        <v>174.315</v>
      </c>
      <c r="E674" s="8">
        <v>20</v>
      </c>
      <c r="F674" s="9">
        <v>0.17</v>
      </c>
      <c r="G674" s="44">
        <v>31700</v>
      </c>
      <c r="H674" s="50">
        <f t="shared" si="10"/>
        <v>31</v>
      </c>
    </row>
    <row r="675" spans="1:8" ht="25.5" x14ac:dyDescent="0.2">
      <c r="A675" s="14" t="s">
        <v>489</v>
      </c>
      <c r="B675" s="6" t="s">
        <v>527</v>
      </c>
      <c r="C675" s="12">
        <v>6</v>
      </c>
      <c r="D675" s="7">
        <v>40.020000000000003</v>
      </c>
      <c r="E675" s="8">
        <v>1</v>
      </c>
      <c r="F675" s="9">
        <v>0.169990005</v>
      </c>
      <c r="G675" s="44">
        <v>31707</v>
      </c>
      <c r="H675" s="50">
        <f t="shared" si="10"/>
        <v>31</v>
      </c>
    </row>
    <row r="676" spans="1:8" ht="38.25" x14ac:dyDescent="0.2">
      <c r="A676" s="14" t="s">
        <v>489</v>
      </c>
      <c r="B676" s="6" t="s">
        <v>526</v>
      </c>
      <c r="C676" s="16">
        <v>6</v>
      </c>
      <c r="D676" s="7">
        <v>100.57</v>
      </c>
      <c r="E676" s="8">
        <v>1</v>
      </c>
      <c r="F676" s="9">
        <v>0.17000099432999999</v>
      </c>
      <c r="G676" s="44">
        <v>31707</v>
      </c>
      <c r="H676" s="50">
        <f t="shared" si="10"/>
        <v>31</v>
      </c>
    </row>
    <row r="677" spans="1:8" ht="25.5" x14ac:dyDescent="0.2">
      <c r="A677" s="14" t="s">
        <v>489</v>
      </c>
      <c r="B677" s="6" t="s">
        <v>531</v>
      </c>
      <c r="C677" s="16">
        <v>6</v>
      </c>
      <c r="D677" s="7">
        <v>66.366666699999996</v>
      </c>
      <c r="E677" s="8">
        <v>3</v>
      </c>
      <c r="F677" s="9">
        <v>0.17</v>
      </c>
      <c r="G677" s="44">
        <v>31880</v>
      </c>
      <c r="H677" s="50">
        <f t="shared" si="10"/>
        <v>31</v>
      </c>
    </row>
    <row r="678" spans="1:8" x14ac:dyDescent="0.2">
      <c r="A678" s="14" t="s">
        <v>308</v>
      </c>
      <c r="B678" s="6" t="s">
        <v>438</v>
      </c>
      <c r="C678" s="16">
        <v>6</v>
      </c>
      <c r="D678" s="7">
        <v>63.621000000000002</v>
      </c>
      <c r="E678" s="8">
        <v>10</v>
      </c>
      <c r="F678" s="9">
        <v>0.40725546596000001</v>
      </c>
      <c r="G678" s="44">
        <v>32000</v>
      </c>
      <c r="H678" s="50">
        <f t="shared" si="10"/>
        <v>32</v>
      </c>
    </row>
    <row r="679" spans="1:8" x14ac:dyDescent="0.2">
      <c r="A679" s="14" t="s">
        <v>8</v>
      </c>
      <c r="B679" s="6" t="s">
        <v>47</v>
      </c>
      <c r="C679" s="16">
        <v>6</v>
      </c>
      <c r="D679" s="7">
        <v>68.117999999999995</v>
      </c>
      <c r="E679" s="8">
        <v>5</v>
      </c>
      <c r="F679" s="9">
        <v>0.47452949294000002</v>
      </c>
      <c r="G679" s="44">
        <v>32000</v>
      </c>
      <c r="H679" s="50">
        <f t="shared" si="10"/>
        <v>32</v>
      </c>
    </row>
    <row r="680" spans="1:8" x14ac:dyDescent="0.2">
      <c r="A680" s="14" t="s">
        <v>308</v>
      </c>
      <c r="B680" s="6" t="s">
        <v>47</v>
      </c>
      <c r="C680" s="12">
        <v>6</v>
      </c>
      <c r="D680" s="7">
        <v>143.93199999999999</v>
      </c>
      <c r="E680" s="8">
        <v>5</v>
      </c>
      <c r="F680" s="9">
        <v>0.23626017841999999</v>
      </c>
      <c r="G680" s="44">
        <v>32000</v>
      </c>
      <c r="H680" s="50">
        <f t="shared" si="10"/>
        <v>32</v>
      </c>
    </row>
    <row r="681" spans="1:8" x14ac:dyDescent="0.2">
      <c r="A681" s="14" t="s">
        <v>489</v>
      </c>
      <c r="B681" s="6" t="s">
        <v>47</v>
      </c>
      <c r="C681" s="16">
        <v>6</v>
      </c>
      <c r="D681" s="7">
        <v>147.54538460000001</v>
      </c>
      <c r="E681" s="8">
        <v>13</v>
      </c>
      <c r="F681" s="9">
        <v>0.16999932224</v>
      </c>
      <c r="G681" s="44">
        <v>32000</v>
      </c>
      <c r="H681" s="50">
        <f t="shared" si="10"/>
        <v>32</v>
      </c>
    </row>
    <row r="682" spans="1:8" x14ac:dyDescent="0.2">
      <c r="A682" s="14" t="s">
        <v>593</v>
      </c>
      <c r="B682" s="6" t="s">
        <v>47</v>
      </c>
      <c r="C682" s="12">
        <v>6</v>
      </c>
      <c r="D682" s="7">
        <v>155</v>
      </c>
      <c r="E682" s="8">
        <v>3</v>
      </c>
      <c r="F682" s="9">
        <v>0.21683870967999999</v>
      </c>
      <c r="G682" s="44">
        <v>32000</v>
      </c>
      <c r="H682" s="50">
        <f t="shared" si="10"/>
        <v>32</v>
      </c>
    </row>
    <row r="683" spans="1:8" ht="25.5" x14ac:dyDescent="0.2">
      <c r="A683" s="14" t="s">
        <v>8</v>
      </c>
      <c r="B683" s="6" t="s">
        <v>36</v>
      </c>
      <c r="C683" s="16">
        <v>6</v>
      </c>
      <c r="D683" s="7">
        <v>19.350000000000001</v>
      </c>
      <c r="E683" s="8">
        <v>8</v>
      </c>
      <c r="F683" s="9">
        <v>2.15348837209</v>
      </c>
      <c r="G683" s="44">
        <v>33000</v>
      </c>
      <c r="H683" s="50">
        <f t="shared" si="10"/>
        <v>33</v>
      </c>
    </row>
    <row r="684" spans="1:8" ht="38.25" x14ac:dyDescent="0.2">
      <c r="A684" s="14" t="s">
        <v>8</v>
      </c>
      <c r="B684" s="6" t="s">
        <v>32</v>
      </c>
      <c r="C684" s="16">
        <v>6</v>
      </c>
      <c r="D684" s="7">
        <v>19.84</v>
      </c>
      <c r="E684" s="8">
        <v>5</v>
      </c>
      <c r="F684" s="9">
        <v>0.33902217742000001</v>
      </c>
      <c r="G684" s="44">
        <v>33120</v>
      </c>
      <c r="H684" s="50">
        <f t="shared" si="10"/>
        <v>33</v>
      </c>
    </row>
    <row r="685" spans="1:8" ht="38.25" x14ac:dyDescent="0.2">
      <c r="A685" s="14" t="s">
        <v>489</v>
      </c>
      <c r="B685" s="6" t="s">
        <v>32</v>
      </c>
      <c r="C685" s="12">
        <v>6</v>
      </c>
      <c r="D685" s="7">
        <v>24.1325</v>
      </c>
      <c r="E685" s="8">
        <v>4</v>
      </c>
      <c r="F685" s="9">
        <v>0.17000932353000001</v>
      </c>
      <c r="G685" s="44">
        <v>33120</v>
      </c>
      <c r="H685" s="50">
        <f t="shared" si="10"/>
        <v>33</v>
      </c>
    </row>
    <row r="686" spans="1:8" ht="25.5" x14ac:dyDescent="0.2">
      <c r="A686" s="14" t="s">
        <v>604</v>
      </c>
      <c r="B686" s="6" t="s">
        <v>41</v>
      </c>
      <c r="C686" s="16">
        <v>6</v>
      </c>
      <c r="D686" s="7">
        <v>18.0727273</v>
      </c>
      <c r="E686" s="8">
        <v>7</v>
      </c>
      <c r="F686" s="9">
        <v>1.4059859154900001</v>
      </c>
      <c r="G686" s="44">
        <v>33450</v>
      </c>
      <c r="H686" s="50">
        <f t="shared" si="10"/>
        <v>33</v>
      </c>
    </row>
    <row r="687" spans="1:8" ht="25.5" x14ac:dyDescent="0.2">
      <c r="A687" s="14" t="s">
        <v>291</v>
      </c>
      <c r="B687" s="6" t="s">
        <v>41</v>
      </c>
      <c r="C687" s="16">
        <v>6</v>
      </c>
      <c r="D687" s="7">
        <v>18.38</v>
      </c>
      <c r="E687" s="8">
        <v>4</v>
      </c>
      <c r="F687" s="9">
        <v>0.42245647443000001</v>
      </c>
      <c r="G687" s="44">
        <v>33450</v>
      </c>
      <c r="H687" s="50">
        <f t="shared" si="10"/>
        <v>33</v>
      </c>
    </row>
    <row r="688" spans="1:8" ht="25.5" x14ac:dyDescent="0.2">
      <c r="A688" s="14" t="s">
        <v>8</v>
      </c>
      <c r="B688" s="6" t="s">
        <v>41</v>
      </c>
      <c r="C688" s="16">
        <v>6</v>
      </c>
      <c r="D688" s="7">
        <v>18.984000000000002</v>
      </c>
      <c r="E688" s="8">
        <v>5</v>
      </c>
      <c r="F688" s="9">
        <v>2.1950063211100002</v>
      </c>
      <c r="G688" s="44">
        <v>33450</v>
      </c>
      <c r="H688" s="50">
        <f t="shared" si="10"/>
        <v>33</v>
      </c>
    </row>
    <row r="689" spans="1:8" x14ac:dyDescent="0.2">
      <c r="A689" s="14" t="s">
        <v>8</v>
      </c>
      <c r="B689" s="6" t="s">
        <v>42</v>
      </c>
      <c r="C689" s="16">
        <v>6</v>
      </c>
      <c r="D689" s="7">
        <v>19.373999999999999</v>
      </c>
      <c r="E689" s="8">
        <v>5</v>
      </c>
      <c r="F689" s="9">
        <v>2.15082068752</v>
      </c>
      <c r="G689" s="44">
        <v>33450</v>
      </c>
      <c r="H689" s="50">
        <f t="shared" si="10"/>
        <v>33</v>
      </c>
    </row>
    <row r="690" spans="1:8" x14ac:dyDescent="0.2">
      <c r="A690" s="14" t="s">
        <v>291</v>
      </c>
      <c r="B690" s="6" t="s">
        <v>42</v>
      </c>
      <c r="C690" s="16">
        <v>6</v>
      </c>
      <c r="D690" s="7">
        <v>19.437142900000001</v>
      </c>
      <c r="E690" s="8">
        <v>6</v>
      </c>
      <c r="F690" s="9">
        <v>0.76991033367999995</v>
      </c>
      <c r="G690" s="44">
        <v>33450</v>
      </c>
      <c r="H690" s="50">
        <f t="shared" si="10"/>
        <v>33</v>
      </c>
    </row>
    <row r="691" spans="1:8" x14ac:dyDescent="0.2">
      <c r="A691" s="14" t="s">
        <v>604</v>
      </c>
      <c r="B691" s="6" t="s">
        <v>42</v>
      </c>
      <c r="C691" s="16">
        <v>6</v>
      </c>
      <c r="D691" s="7">
        <v>23.523499999999999</v>
      </c>
      <c r="E691" s="8">
        <v>12</v>
      </c>
      <c r="F691" s="9">
        <v>1.11144174974</v>
      </c>
      <c r="G691" s="44">
        <v>33450</v>
      </c>
      <c r="H691" s="50">
        <f t="shared" si="10"/>
        <v>33</v>
      </c>
    </row>
    <row r="692" spans="1:8" ht="38.25" x14ac:dyDescent="0.2">
      <c r="A692" s="14" t="s">
        <v>8</v>
      </c>
      <c r="B692" s="6" t="s">
        <v>92</v>
      </c>
      <c r="C692" s="16">
        <v>6</v>
      </c>
      <c r="D692" s="7">
        <v>73.584999999999994</v>
      </c>
      <c r="E692" s="8">
        <v>4</v>
      </c>
      <c r="F692" s="9">
        <v>0.52616022286999997</v>
      </c>
      <c r="G692" s="44">
        <v>33480</v>
      </c>
      <c r="H692" s="50">
        <f t="shared" si="10"/>
        <v>33</v>
      </c>
    </row>
    <row r="693" spans="1:8" ht="25.5" x14ac:dyDescent="0.2">
      <c r="A693" s="14" t="s">
        <v>489</v>
      </c>
      <c r="B693" s="6" t="s">
        <v>501</v>
      </c>
      <c r="C693" s="12">
        <v>6</v>
      </c>
      <c r="D693" s="7">
        <v>19.378</v>
      </c>
      <c r="E693" s="8">
        <v>14</v>
      </c>
      <c r="F693" s="9">
        <v>0.16999690371000001</v>
      </c>
      <c r="G693" s="44">
        <v>33510</v>
      </c>
      <c r="H693" s="50">
        <f t="shared" si="10"/>
        <v>33</v>
      </c>
    </row>
    <row r="694" spans="1:8" ht="25.5" x14ac:dyDescent="0.2">
      <c r="A694" s="14" t="s">
        <v>291</v>
      </c>
      <c r="B694" s="6" t="s">
        <v>31</v>
      </c>
      <c r="C694" s="16">
        <v>6</v>
      </c>
      <c r="D694" s="7">
        <v>19.136666699999999</v>
      </c>
      <c r="E694" s="8">
        <v>5</v>
      </c>
      <c r="F694" s="9">
        <v>0.84052429890000002</v>
      </c>
      <c r="G694" s="44">
        <v>33689</v>
      </c>
      <c r="H694" s="50">
        <f t="shared" si="10"/>
        <v>33</v>
      </c>
    </row>
    <row r="695" spans="1:8" ht="25.5" x14ac:dyDescent="0.2">
      <c r="A695" s="14" t="s">
        <v>8</v>
      </c>
      <c r="B695" s="6" t="s">
        <v>31</v>
      </c>
      <c r="C695" s="12">
        <v>6</v>
      </c>
      <c r="D695" s="7">
        <v>22.696000000000002</v>
      </c>
      <c r="E695" s="8">
        <v>5</v>
      </c>
      <c r="F695" s="9">
        <v>1.8360063447299999</v>
      </c>
      <c r="G695" s="44">
        <v>33689</v>
      </c>
      <c r="H695" s="50">
        <f t="shared" si="10"/>
        <v>33</v>
      </c>
    </row>
    <row r="696" spans="1:8" ht="25.5" x14ac:dyDescent="0.2">
      <c r="A696" s="14" t="s">
        <v>604</v>
      </c>
      <c r="B696" s="6" t="s">
        <v>31</v>
      </c>
      <c r="C696" s="16">
        <v>6</v>
      </c>
      <c r="D696" s="7">
        <v>25.030625000000001</v>
      </c>
      <c r="E696" s="8">
        <v>11</v>
      </c>
      <c r="F696" s="9">
        <v>0.98738045894000004</v>
      </c>
      <c r="G696" s="44">
        <v>33689</v>
      </c>
      <c r="H696" s="50">
        <f t="shared" si="10"/>
        <v>33</v>
      </c>
    </row>
    <row r="697" spans="1:8" ht="25.5" x14ac:dyDescent="0.2">
      <c r="A697" s="14" t="s">
        <v>604</v>
      </c>
      <c r="B697" s="6" t="s">
        <v>129</v>
      </c>
      <c r="C697" s="16">
        <v>6</v>
      </c>
      <c r="D697" s="7">
        <v>72.954999999999998</v>
      </c>
      <c r="E697" s="8">
        <v>2</v>
      </c>
      <c r="F697" s="9">
        <v>0.58149201562999997</v>
      </c>
      <c r="G697" s="44">
        <v>33689</v>
      </c>
      <c r="H697" s="50">
        <f t="shared" si="10"/>
        <v>33</v>
      </c>
    </row>
    <row r="698" spans="1:8" ht="25.5" x14ac:dyDescent="0.2">
      <c r="A698" s="14" t="s">
        <v>112</v>
      </c>
      <c r="B698" s="6" t="s">
        <v>116</v>
      </c>
      <c r="C698" s="16">
        <v>6</v>
      </c>
      <c r="D698" s="7">
        <v>134.5651685</v>
      </c>
      <c r="E698" s="8">
        <v>28</v>
      </c>
      <c r="F698" s="9">
        <v>0.19525922029000001</v>
      </c>
      <c r="G698" s="44">
        <v>33800</v>
      </c>
      <c r="H698" s="50">
        <f t="shared" si="10"/>
        <v>33</v>
      </c>
    </row>
    <row r="699" spans="1:8" x14ac:dyDescent="0.2">
      <c r="A699" s="14" t="s">
        <v>308</v>
      </c>
      <c r="B699" s="6" t="s">
        <v>400</v>
      </c>
      <c r="C699" s="12">
        <v>6</v>
      </c>
      <c r="D699" s="7">
        <v>174.0166667</v>
      </c>
      <c r="E699" s="8">
        <v>18</v>
      </c>
      <c r="F699" s="9">
        <v>0.22387861953999999</v>
      </c>
      <c r="G699" s="44">
        <v>33800</v>
      </c>
      <c r="H699" s="50">
        <f t="shared" si="10"/>
        <v>33</v>
      </c>
    </row>
    <row r="700" spans="1:8" ht="25.5" x14ac:dyDescent="0.2">
      <c r="A700" s="14" t="s">
        <v>489</v>
      </c>
      <c r="B700" s="6" t="s">
        <v>503</v>
      </c>
      <c r="C700" s="16">
        <v>6</v>
      </c>
      <c r="D700" s="7">
        <v>19.464117600000002</v>
      </c>
      <c r="E700" s="8">
        <v>16</v>
      </c>
      <c r="F700" s="9">
        <v>0.17000211551</v>
      </c>
      <c r="G700" s="44">
        <v>34000</v>
      </c>
      <c r="H700" s="50">
        <f t="shared" si="10"/>
        <v>34</v>
      </c>
    </row>
    <row r="701" spans="1:8" ht="38.25" x14ac:dyDescent="0.2">
      <c r="A701" s="14" t="s">
        <v>533</v>
      </c>
      <c r="B701" s="6" t="s">
        <v>535</v>
      </c>
      <c r="C701" s="16">
        <v>6</v>
      </c>
      <c r="D701" s="7">
        <v>20.438867900000002</v>
      </c>
      <c r="E701" s="8">
        <v>53</v>
      </c>
      <c r="F701" s="9">
        <v>0.76961209681999998</v>
      </c>
      <c r="G701" s="44">
        <v>34000</v>
      </c>
      <c r="H701" s="50">
        <f t="shared" si="10"/>
        <v>34</v>
      </c>
    </row>
    <row r="702" spans="1:8" ht="38.25" x14ac:dyDescent="0.2">
      <c r="A702" s="14" t="s">
        <v>533</v>
      </c>
      <c r="B702" s="6" t="s">
        <v>534</v>
      </c>
      <c r="C702" s="16">
        <v>6</v>
      </c>
      <c r="D702" s="7">
        <v>20.832000000000001</v>
      </c>
      <c r="E702" s="8">
        <v>20</v>
      </c>
      <c r="F702" s="9">
        <v>0.75508832564999995</v>
      </c>
      <c r="G702" s="44">
        <v>34000</v>
      </c>
      <c r="H702" s="50">
        <f t="shared" si="10"/>
        <v>34</v>
      </c>
    </row>
    <row r="703" spans="1:8" ht="25.5" x14ac:dyDescent="0.2">
      <c r="A703" s="14" t="s">
        <v>533</v>
      </c>
      <c r="B703" s="6" t="s">
        <v>553</v>
      </c>
      <c r="C703" s="16">
        <v>6</v>
      </c>
      <c r="D703" s="7">
        <v>20.843529400000001</v>
      </c>
      <c r="E703" s="8">
        <v>17</v>
      </c>
      <c r="F703" s="9">
        <v>0.75467065529999999</v>
      </c>
      <c r="G703" s="44">
        <v>34000</v>
      </c>
      <c r="H703" s="50">
        <f t="shared" si="10"/>
        <v>34</v>
      </c>
    </row>
    <row r="704" spans="1:8" ht="25.5" x14ac:dyDescent="0.2">
      <c r="A704" s="14" t="s">
        <v>489</v>
      </c>
      <c r="B704" s="6" t="s">
        <v>510</v>
      </c>
      <c r="C704" s="16">
        <v>6</v>
      </c>
      <c r="D704" s="7">
        <v>22.46875</v>
      </c>
      <c r="E704" s="8">
        <v>16</v>
      </c>
      <c r="F704" s="9">
        <v>0.17</v>
      </c>
      <c r="G704" s="44">
        <v>34000</v>
      </c>
      <c r="H704" s="50">
        <f t="shared" si="10"/>
        <v>34</v>
      </c>
    </row>
    <row r="705" spans="1:8" ht="25.5" x14ac:dyDescent="0.2">
      <c r="A705" s="14" t="s">
        <v>533</v>
      </c>
      <c r="B705" s="6" t="s">
        <v>542</v>
      </c>
      <c r="C705" s="12">
        <v>6</v>
      </c>
      <c r="D705" s="7">
        <v>22.517812500000002</v>
      </c>
      <c r="E705" s="8">
        <v>32</v>
      </c>
      <c r="F705" s="9">
        <v>0.70884161150000002</v>
      </c>
      <c r="G705" s="44">
        <v>34000</v>
      </c>
      <c r="H705" s="50">
        <f t="shared" si="10"/>
        <v>34</v>
      </c>
    </row>
    <row r="706" spans="1:8" ht="38.25" x14ac:dyDescent="0.2">
      <c r="A706" s="14" t="s">
        <v>533</v>
      </c>
      <c r="B706" s="6" t="s">
        <v>84</v>
      </c>
      <c r="C706" s="12">
        <v>6</v>
      </c>
      <c r="D706" s="7">
        <v>23.913333300000001</v>
      </c>
      <c r="E706" s="8">
        <v>18</v>
      </c>
      <c r="F706" s="9">
        <v>0.66926865533000002</v>
      </c>
      <c r="G706" s="44">
        <v>34000</v>
      </c>
      <c r="H706" s="50">
        <f t="shared" si="10"/>
        <v>34</v>
      </c>
    </row>
    <row r="707" spans="1:8" ht="25.5" x14ac:dyDescent="0.2">
      <c r="A707" s="14" t="s">
        <v>533</v>
      </c>
      <c r="B707" s="6" t="s">
        <v>546</v>
      </c>
      <c r="C707" s="16">
        <v>6</v>
      </c>
      <c r="D707" s="7">
        <v>25.623999999999999</v>
      </c>
      <c r="E707" s="8">
        <v>25</v>
      </c>
      <c r="F707" s="9">
        <v>0.62930065564000004</v>
      </c>
      <c r="G707" s="44">
        <v>34000</v>
      </c>
      <c r="H707" s="50">
        <f t="shared" ref="H707:H770" si="11">IF(LEN(G707)=4,VALUE(LEFT(G707,1)),VALUE(LEFT(G707,2)))</f>
        <v>34</v>
      </c>
    </row>
    <row r="708" spans="1:8" ht="25.5" x14ac:dyDescent="0.2">
      <c r="A708" s="14" t="s">
        <v>533</v>
      </c>
      <c r="B708" s="6" t="s">
        <v>539</v>
      </c>
      <c r="C708" s="12">
        <v>6</v>
      </c>
      <c r="D708" s="7">
        <v>25.7545</v>
      </c>
      <c r="E708" s="8">
        <v>19</v>
      </c>
      <c r="F708" s="9">
        <v>0.62035760741000001</v>
      </c>
      <c r="G708" s="44">
        <v>34000</v>
      </c>
      <c r="H708" s="50">
        <f t="shared" si="11"/>
        <v>34</v>
      </c>
    </row>
    <row r="709" spans="1:8" ht="25.5" x14ac:dyDescent="0.2">
      <c r="A709" s="14" t="s">
        <v>8</v>
      </c>
      <c r="B709" s="6" t="s">
        <v>21</v>
      </c>
      <c r="C709" s="16">
        <v>6</v>
      </c>
      <c r="D709" s="7">
        <v>31.24</v>
      </c>
      <c r="E709" s="8">
        <v>8</v>
      </c>
      <c r="F709" s="9">
        <v>1.34391005122</v>
      </c>
      <c r="G709" s="44">
        <v>34000</v>
      </c>
      <c r="H709" s="50">
        <f t="shared" si="11"/>
        <v>34</v>
      </c>
    </row>
    <row r="710" spans="1:8" ht="25.5" x14ac:dyDescent="0.2">
      <c r="A710" s="14" t="s">
        <v>291</v>
      </c>
      <c r="B710" s="6" t="s">
        <v>21</v>
      </c>
      <c r="C710" s="16">
        <v>6</v>
      </c>
      <c r="D710" s="7">
        <v>31.404285699999999</v>
      </c>
      <c r="E710" s="8">
        <v>6</v>
      </c>
      <c r="F710" s="9">
        <v>0.59089751171000005</v>
      </c>
      <c r="G710" s="44">
        <v>34000</v>
      </c>
      <c r="H710" s="50">
        <f t="shared" si="11"/>
        <v>34</v>
      </c>
    </row>
    <row r="711" spans="1:8" ht="25.5" x14ac:dyDescent="0.2">
      <c r="A711" s="14" t="s">
        <v>8</v>
      </c>
      <c r="B711" s="6" t="s">
        <v>77</v>
      </c>
      <c r="C711" s="16">
        <v>6</v>
      </c>
      <c r="D711" s="7">
        <v>35.49</v>
      </c>
      <c r="E711" s="8">
        <v>1</v>
      </c>
      <c r="F711" s="9">
        <v>0.73795435334000004</v>
      </c>
      <c r="G711" s="44">
        <v>34000</v>
      </c>
      <c r="H711" s="50">
        <f t="shared" si="11"/>
        <v>34</v>
      </c>
    </row>
    <row r="712" spans="1:8" ht="25.5" x14ac:dyDescent="0.2">
      <c r="A712" s="14" t="s">
        <v>308</v>
      </c>
      <c r="B712" s="6" t="s">
        <v>384</v>
      </c>
      <c r="C712" s="16">
        <v>6</v>
      </c>
      <c r="D712" s="7">
        <v>35.533888900000001</v>
      </c>
      <c r="E712" s="8">
        <v>18</v>
      </c>
      <c r="F712" s="9">
        <v>0.72916308375000005</v>
      </c>
      <c r="G712" s="44">
        <v>34000</v>
      </c>
      <c r="H712" s="50">
        <f t="shared" si="11"/>
        <v>34</v>
      </c>
    </row>
    <row r="713" spans="1:8" ht="38.25" x14ac:dyDescent="0.2">
      <c r="A713" s="14" t="s">
        <v>8</v>
      </c>
      <c r="B713" s="6" t="s">
        <v>84</v>
      </c>
      <c r="C713" s="16">
        <v>6</v>
      </c>
      <c r="D713" s="7">
        <v>36.729999999999997</v>
      </c>
      <c r="E713" s="8">
        <v>1</v>
      </c>
      <c r="F713" s="9">
        <v>0.71304111080999999</v>
      </c>
      <c r="G713" s="44">
        <v>34000</v>
      </c>
      <c r="H713" s="50">
        <f t="shared" si="11"/>
        <v>34</v>
      </c>
    </row>
    <row r="714" spans="1:8" ht="38.25" x14ac:dyDescent="0.2">
      <c r="A714" s="14" t="s">
        <v>533</v>
      </c>
      <c r="B714" s="6" t="s">
        <v>536</v>
      </c>
      <c r="C714" s="12">
        <v>6</v>
      </c>
      <c r="D714" s="7">
        <v>39.479310300000002</v>
      </c>
      <c r="E714" s="8">
        <v>58</v>
      </c>
      <c r="F714" s="9">
        <v>0.4400427985</v>
      </c>
      <c r="G714" s="44">
        <v>34000</v>
      </c>
      <c r="H714" s="50">
        <f t="shared" si="11"/>
        <v>34</v>
      </c>
    </row>
    <row r="715" spans="1:8" ht="25.5" x14ac:dyDescent="0.2">
      <c r="A715" s="14" t="s">
        <v>533</v>
      </c>
      <c r="B715" s="6" t="s">
        <v>540</v>
      </c>
      <c r="C715" s="16">
        <v>6</v>
      </c>
      <c r="D715" s="7">
        <v>39.666082500000002</v>
      </c>
      <c r="E715" s="8">
        <v>95</v>
      </c>
      <c r="F715" s="9">
        <v>0.43210980322999998</v>
      </c>
      <c r="G715" s="44">
        <v>34000</v>
      </c>
      <c r="H715" s="50">
        <f t="shared" si="11"/>
        <v>34</v>
      </c>
    </row>
    <row r="716" spans="1:8" ht="25.5" x14ac:dyDescent="0.2">
      <c r="A716" s="14" t="s">
        <v>604</v>
      </c>
      <c r="B716" s="6" t="s">
        <v>21</v>
      </c>
      <c r="C716" s="16">
        <v>6</v>
      </c>
      <c r="D716" s="7">
        <v>39.9870588</v>
      </c>
      <c r="E716" s="8">
        <v>12</v>
      </c>
      <c r="F716" s="9">
        <v>0.67410779958</v>
      </c>
      <c r="G716" s="44">
        <v>34000</v>
      </c>
      <c r="H716" s="50">
        <f t="shared" si="11"/>
        <v>34</v>
      </c>
    </row>
    <row r="717" spans="1:8" ht="25.5" x14ac:dyDescent="0.2">
      <c r="A717" s="14" t="s">
        <v>533</v>
      </c>
      <c r="B717" s="6" t="s">
        <v>77</v>
      </c>
      <c r="C717" s="16">
        <v>6</v>
      </c>
      <c r="D717" s="7">
        <v>43.004166699999999</v>
      </c>
      <c r="E717" s="8">
        <v>12</v>
      </c>
      <c r="F717" s="9">
        <v>0.40786745470000002</v>
      </c>
      <c r="G717" s="44">
        <v>34000</v>
      </c>
      <c r="H717" s="50">
        <f t="shared" si="11"/>
        <v>34</v>
      </c>
    </row>
    <row r="718" spans="1:8" ht="38.25" x14ac:dyDescent="0.2">
      <c r="A718" s="14" t="s">
        <v>8</v>
      </c>
      <c r="B718" s="6" t="s">
        <v>62</v>
      </c>
      <c r="C718" s="16">
        <v>6</v>
      </c>
      <c r="D718" s="7">
        <v>60.813333299999996</v>
      </c>
      <c r="E718" s="8">
        <v>3</v>
      </c>
      <c r="F718" s="9">
        <v>0.46091865819</v>
      </c>
      <c r="G718" s="44">
        <v>34000</v>
      </c>
      <c r="H718" s="50">
        <f t="shared" si="11"/>
        <v>34</v>
      </c>
    </row>
    <row r="719" spans="1:8" ht="25.5" x14ac:dyDescent="0.2">
      <c r="A719" s="14" t="s">
        <v>308</v>
      </c>
      <c r="B719" s="6" t="s">
        <v>418</v>
      </c>
      <c r="C719" s="16">
        <v>6</v>
      </c>
      <c r="D719" s="7">
        <v>143.96777779999999</v>
      </c>
      <c r="E719" s="8">
        <v>18</v>
      </c>
      <c r="F719" s="9">
        <v>0.23819064450999999</v>
      </c>
      <c r="G719" s="44">
        <v>34000</v>
      </c>
      <c r="H719" s="50">
        <f t="shared" si="11"/>
        <v>34</v>
      </c>
    </row>
    <row r="720" spans="1:8" ht="25.5" x14ac:dyDescent="0.2">
      <c r="A720" s="14" t="s">
        <v>308</v>
      </c>
      <c r="B720" s="6" t="s">
        <v>357</v>
      </c>
      <c r="C720" s="16">
        <v>6</v>
      </c>
      <c r="D720" s="7">
        <v>159.7363636</v>
      </c>
      <c r="E720" s="8">
        <v>11</v>
      </c>
      <c r="F720" s="9">
        <v>0.22491491661999999</v>
      </c>
      <c r="G720" s="44">
        <v>34000</v>
      </c>
      <c r="H720" s="50">
        <f t="shared" si="11"/>
        <v>34</v>
      </c>
    </row>
    <row r="721" spans="1:8" ht="25.5" x14ac:dyDescent="0.2">
      <c r="A721" s="14" t="s">
        <v>308</v>
      </c>
      <c r="B721" s="6" t="s">
        <v>322</v>
      </c>
      <c r="C721" s="12">
        <v>6</v>
      </c>
      <c r="D721" s="7">
        <v>161.2223529</v>
      </c>
      <c r="E721" s="8">
        <v>17</v>
      </c>
      <c r="F721" s="9">
        <v>0.23854559651000001</v>
      </c>
      <c r="G721" s="44">
        <v>34000</v>
      </c>
      <c r="H721" s="50">
        <f t="shared" si="11"/>
        <v>34</v>
      </c>
    </row>
    <row r="722" spans="1:8" ht="25.5" x14ac:dyDescent="0.2">
      <c r="A722" s="14" t="s">
        <v>308</v>
      </c>
      <c r="B722" s="6" t="s">
        <v>360</v>
      </c>
      <c r="C722" s="16">
        <v>6</v>
      </c>
      <c r="D722" s="7">
        <v>240.41153850000001</v>
      </c>
      <c r="E722" s="8">
        <v>26</v>
      </c>
      <c r="F722" s="9">
        <v>0.22164813541</v>
      </c>
      <c r="G722" s="44">
        <v>34000</v>
      </c>
      <c r="H722" s="50">
        <f t="shared" si="11"/>
        <v>34</v>
      </c>
    </row>
    <row r="723" spans="1:8" ht="38.25" x14ac:dyDescent="0.2">
      <c r="A723" s="14" t="s">
        <v>308</v>
      </c>
      <c r="B723" s="6" t="s">
        <v>398</v>
      </c>
      <c r="C723" s="16">
        <v>6</v>
      </c>
      <c r="D723" s="7">
        <v>338.69749999999999</v>
      </c>
      <c r="E723" s="8">
        <v>40</v>
      </c>
      <c r="F723" s="9">
        <v>0.21883221754000001</v>
      </c>
      <c r="G723" s="44">
        <v>34000</v>
      </c>
      <c r="H723" s="50">
        <f t="shared" si="11"/>
        <v>34</v>
      </c>
    </row>
    <row r="724" spans="1:8" ht="25.5" x14ac:dyDescent="0.2">
      <c r="A724" s="14" t="s">
        <v>308</v>
      </c>
      <c r="B724" s="6" t="s">
        <v>404</v>
      </c>
      <c r="C724" s="16">
        <v>6</v>
      </c>
      <c r="D724" s="7">
        <v>387.07888889999998</v>
      </c>
      <c r="E724" s="8">
        <v>18</v>
      </c>
      <c r="F724" s="9">
        <v>0.21890685504999999</v>
      </c>
      <c r="G724" s="44">
        <v>34000</v>
      </c>
      <c r="H724" s="50">
        <f t="shared" si="11"/>
        <v>34</v>
      </c>
    </row>
    <row r="725" spans="1:8" ht="25.5" x14ac:dyDescent="0.2">
      <c r="A725" s="14" t="s">
        <v>533</v>
      </c>
      <c r="B725" s="6" t="s">
        <v>537</v>
      </c>
      <c r="C725" s="16">
        <v>6</v>
      </c>
      <c r="D725" s="7">
        <v>42.336666700000002</v>
      </c>
      <c r="E725" s="8">
        <v>3</v>
      </c>
      <c r="F725" s="9">
        <v>0.44185497205000002</v>
      </c>
      <c r="G725" s="44">
        <v>34070</v>
      </c>
      <c r="H725" s="50">
        <f t="shared" si="11"/>
        <v>34</v>
      </c>
    </row>
    <row r="726" spans="1:8" ht="38.25" x14ac:dyDescent="0.2">
      <c r="A726" s="14" t="s">
        <v>308</v>
      </c>
      <c r="B726" s="6" t="s">
        <v>369</v>
      </c>
      <c r="C726" s="16">
        <v>6</v>
      </c>
      <c r="D726" s="7">
        <v>237.68333329999999</v>
      </c>
      <c r="E726" s="8">
        <v>33</v>
      </c>
      <c r="F726" s="9">
        <v>0.22261348497</v>
      </c>
      <c r="G726" s="44">
        <v>34070</v>
      </c>
      <c r="H726" s="50">
        <f t="shared" si="11"/>
        <v>34</v>
      </c>
    </row>
    <row r="727" spans="1:8" ht="25.5" x14ac:dyDescent="0.2">
      <c r="A727" s="14" t="s">
        <v>308</v>
      </c>
      <c r="B727" s="6" t="s">
        <v>348</v>
      </c>
      <c r="C727" s="16">
        <v>6</v>
      </c>
      <c r="D727" s="7">
        <v>364.56041670000002</v>
      </c>
      <c r="E727" s="8">
        <v>24</v>
      </c>
      <c r="F727" s="9">
        <v>0.22110224071000001</v>
      </c>
      <c r="G727" s="44">
        <v>34070</v>
      </c>
      <c r="H727" s="50">
        <f t="shared" si="11"/>
        <v>34</v>
      </c>
    </row>
    <row r="728" spans="1:8" ht="25.5" x14ac:dyDescent="0.2">
      <c r="A728" s="14" t="s">
        <v>308</v>
      </c>
      <c r="B728" s="6" t="s">
        <v>366</v>
      </c>
      <c r="C728" s="16">
        <v>6</v>
      </c>
      <c r="D728" s="7">
        <v>144.46789469999999</v>
      </c>
      <c r="E728" s="8">
        <v>37</v>
      </c>
      <c r="F728" s="9">
        <v>0.22385705802</v>
      </c>
      <c r="G728" s="44">
        <v>34080</v>
      </c>
      <c r="H728" s="50">
        <f t="shared" si="11"/>
        <v>34</v>
      </c>
    </row>
    <row r="729" spans="1:8" ht="25.5" x14ac:dyDescent="0.2">
      <c r="A729" s="14" t="s">
        <v>308</v>
      </c>
      <c r="B729" s="6" t="s">
        <v>425</v>
      </c>
      <c r="C729" s="12">
        <v>6</v>
      </c>
      <c r="D729" s="7">
        <v>229.00454550000001</v>
      </c>
      <c r="E729" s="8">
        <v>44</v>
      </c>
      <c r="F729" s="9">
        <v>0.22972023183000001</v>
      </c>
      <c r="G729" s="44">
        <v>34080</v>
      </c>
      <c r="H729" s="50">
        <f t="shared" si="11"/>
        <v>34</v>
      </c>
    </row>
    <row r="730" spans="1:8" ht="38.25" x14ac:dyDescent="0.2">
      <c r="A730" s="14" t="s">
        <v>308</v>
      </c>
      <c r="B730" s="6" t="s">
        <v>370</v>
      </c>
      <c r="C730" s="12">
        <v>6</v>
      </c>
      <c r="D730" s="7">
        <v>260.948125</v>
      </c>
      <c r="E730" s="8">
        <v>16</v>
      </c>
      <c r="F730" s="9">
        <v>0.22879762980000001</v>
      </c>
      <c r="G730" s="44">
        <v>34080</v>
      </c>
      <c r="H730" s="50">
        <f t="shared" si="11"/>
        <v>34</v>
      </c>
    </row>
    <row r="731" spans="1:8" ht="25.5" x14ac:dyDescent="0.2">
      <c r="A731" s="14" t="s">
        <v>533</v>
      </c>
      <c r="B731" s="6" t="s">
        <v>545</v>
      </c>
      <c r="C731" s="12">
        <v>6</v>
      </c>
      <c r="D731" s="7">
        <v>24.513750000000002</v>
      </c>
      <c r="E731" s="8">
        <v>8</v>
      </c>
      <c r="F731" s="9">
        <v>0.65427566161999995</v>
      </c>
      <c r="G731" s="44">
        <v>34090</v>
      </c>
      <c r="H731" s="50">
        <f t="shared" si="11"/>
        <v>34</v>
      </c>
    </row>
    <row r="732" spans="1:8" ht="25.5" x14ac:dyDescent="0.2">
      <c r="A732" s="14" t="s">
        <v>533</v>
      </c>
      <c r="B732" s="6" t="s">
        <v>551</v>
      </c>
      <c r="C732" s="16">
        <v>6</v>
      </c>
      <c r="D732" s="7">
        <v>9.3744999999999994</v>
      </c>
      <c r="E732" s="8">
        <v>20</v>
      </c>
      <c r="F732" s="9">
        <v>1.6779561576599999</v>
      </c>
      <c r="G732" s="44">
        <v>34200</v>
      </c>
      <c r="H732" s="50">
        <f t="shared" si="11"/>
        <v>34</v>
      </c>
    </row>
    <row r="733" spans="1:8" x14ac:dyDescent="0.2">
      <c r="A733" s="14" t="s">
        <v>533</v>
      </c>
      <c r="B733" s="6" t="s">
        <v>544</v>
      </c>
      <c r="C733" s="16">
        <v>6</v>
      </c>
      <c r="D733" s="7">
        <v>13.77</v>
      </c>
      <c r="E733" s="8">
        <v>1</v>
      </c>
      <c r="F733" s="9">
        <v>1.1423384168499999</v>
      </c>
      <c r="G733" s="44">
        <v>34200</v>
      </c>
      <c r="H733" s="50">
        <f t="shared" si="11"/>
        <v>34</v>
      </c>
    </row>
    <row r="734" spans="1:8" ht="25.5" x14ac:dyDescent="0.2">
      <c r="A734" s="14" t="s">
        <v>533</v>
      </c>
      <c r="B734" s="6" t="s">
        <v>538</v>
      </c>
      <c r="C734" s="16">
        <v>6</v>
      </c>
      <c r="D734" s="7">
        <v>122.3116667</v>
      </c>
      <c r="E734" s="8">
        <v>6</v>
      </c>
      <c r="F734" s="9">
        <v>0.18520991455999999</v>
      </c>
      <c r="G734" s="44">
        <v>34200</v>
      </c>
      <c r="H734" s="50">
        <f t="shared" si="11"/>
        <v>34</v>
      </c>
    </row>
    <row r="735" spans="1:8" x14ac:dyDescent="0.2">
      <c r="A735" s="14" t="s">
        <v>308</v>
      </c>
      <c r="B735" s="6" t="s">
        <v>402</v>
      </c>
      <c r="C735" s="16">
        <v>6</v>
      </c>
      <c r="D735" s="7">
        <v>184.36805559999999</v>
      </c>
      <c r="E735" s="8">
        <v>36</v>
      </c>
      <c r="F735" s="9">
        <v>0.2262408377</v>
      </c>
      <c r="G735" s="44">
        <v>34200</v>
      </c>
      <c r="H735" s="50">
        <f t="shared" si="11"/>
        <v>34</v>
      </c>
    </row>
    <row r="736" spans="1:8" x14ac:dyDescent="0.2">
      <c r="A736" s="14" t="s">
        <v>308</v>
      </c>
      <c r="B736" s="6" t="s">
        <v>453</v>
      </c>
      <c r="C736" s="16">
        <v>6</v>
      </c>
      <c r="D736" s="7">
        <v>315.20578949999998</v>
      </c>
      <c r="E736" s="8">
        <v>38</v>
      </c>
      <c r="F736" s="9">
        <v>0.22383263399</v>
      </c>
      <c r="G736" s="44">
        <v>34200</v>
      </c>
      <c r="H736" s="50">
        <f t="shared" si="11"/>
        <v>34</v>
      </c>
    </row>
    <row r="737" spans="1:8" ht="38.25" x14ac:dyDescent="0.2">
      <c r="A737" s="14" t="s">
        <v>533</v>
      </c>
      <c r="B737" s="6" t="s">
        <v>548</v>
      </c>
      <c r="C737" s="16">
        <v>6</v>
      </c>
      <c r="D737" s="7">
        <v>9.6</v>
      </c>
      <c r="E737" s="8">
        <v>8</v>
      </c>
      <c r="F737" s="9">
        <v>1.6385416666699999</v>
      </c>
      <c r="G737" s="44">
        <v>34300</v>
      </c>
      <c r="H737" s="50">
        <f t="shared" si="11"/>
        <v>34</v>
      </c>
    </row>
    <row r="738" spans="1:8" x14ac:dyDescent="0.2">
      <c r="A738" s="14" t="s">
        <v>533</v>
      </c>
      <c r="B738" s="6" t="s">
        <v>547</v>
      </c>
      <c r="C738" s="16">
        <v>6</v>
      </c>
      <c r="D738" s="7">
        <v>32.5</v>
      </c>
      <c r="E738" s="8">
        <v>2</v>
      </c>
      <c r="F738" s="9">
        <v>0.48399999999999999</v>
      </c>
      <c r="G738" s="44">
        <v>34300</v>
      </c>
      <c r="H738" s="50">
        <f t="shared" si="11"/>
        <v>34</v>
      </c>
    </row>
    <row r="739" spans="1:8" ht="25.5" x14ac:dyDescent="0.2">
      <c r="A739" s="14" t="s">
        <v>308</v>
      </c>
      <c r="B739" s="6" t="s">
        <v>365</v>
      </c>
      <c r="C739" s="16">
        <v>6</v>
      </c>
      <c r="D739" s="7">
        <v>87.86</v>
      </c>
      <c r="E739" s="8">
        <v>1</v>
      </c>
      <c r="F739" s="9">
        <v>0.29490097882999999</v>
      </c>
      <c r="G739" s="44">
        <v>34400</v>
      </c>
      <c r="H739" s="50">
        <f t="shared" si="11"/>
        <v>34</v>
      </c>
    </row>
    <row r="740" spans="1:8" ht="25.5" x14ac:dyDescent="0.2">
      <c r="A740" s="14" t="s">
        <v>308</v>
      </c>
      <c r="B740" s="6" t="s">
        <v>412</v>
      </c>
      <c r="C740" s="16">
        <v>6</v>
      </c>
      <c r="D740" s="7">
        <v>197.4109091</v>
      </c>
      <c r="E740" s="8">
        <v>11</v>
      </c>
      <c r="F740" s="9">
        <v>0.22048979517</v>
      </c>
      <c r="G740" s="44">
        <v>34400</v>
      </c>
      <c r="H740" s="50">
        <f t="shared" si="11"/>
        <v>34</v>
      </c>
    </row>
    <row r="741" spans="1:8" ht="38.25" x14ac:dyDescent="0.2">
      <c r="A741" s="14" t="s">
        <v>308</v>
      </c>
      <c r="B741" s="6" t="s">
        <v>373</v>
      </c>
      <c r="C741" s="12">
        <v>6</v>
      </c>
      <c r="D741" s="7">
        <v>488.05399999999997</v>
      </c>
      <c r="E741" s="8">
        <v>5</v>
      </c>
      <c r="F741" s="9">
        <v>0.21738045380000001</v>
      </c>
      <c r="G741" s="44">
        <v>34410</v>
      </c>
      <c r="H741" s="50">
        <f t="shared" si="11"/>
        <v>34</v>
      </c>
    </row>
    <row r="742" spans="1:8" ht="25.5" x14ac:dyDescent="0.2">
      <c r="A742" s="14" t="s">
        <v>489</v>
      </c>
      <c r="B742" s="6" t="s">
        <v>513</v>
      </c>
      <c r="C742" s="16">
        <v>6</v>
      </c>
      <c r="D742" s="7">
        <v>27.4128571</v>
      </c>
      <c r="E742" s="8">
        <v>6</v>
      </c>
      <c r="F742" s="9">
        <v>0.17000364792</v>
      </c>
      <c r="G742" s="44">
        <v>34500</v>
      </c>
      <c r="H742" s="50">
        <f t="shared" si="11"/>
        <v>34</v>
      </c>
    </row>
    <row r="743" spans="1:8" ht="25.5" x14ac:dyDescent="0.2">
      <c r="A743" s="14" t="s">
        <v>489</v>
      </c>
      <c r="B743" s="6" t="s">
        <v>509</v>
      </c>
      <c r="C743" s="16">
        <v>6</v>
      </c>
      <c r="D743" s="7">
        <v>28.231428600000001</v>
      </c>
      <c r="E743" s="8">
        <v>20</v>
      </c>
      <c r="F743" s="9">
        <v>0.17000303613000001</v>
      </c>
      <c r="G743" s="44">
        <v>34500</v>
      </c>
      <c r="H743" s="50">
        <f t="shared" si="11"/>
        <v>34</v>
      </c>
    </row>
    <row r="744" spans="1:8" ht="38.25" x14ac:dyDescent="0.2">
      <c r="A744" s="14" t="s">
        <v>489</v>
      </c>
      <c r="B744" s="6" t="s">
        <v>520</v>
      </c>
      <c r="C744" s="16">
        <v>6</v>
      </c>
      <c r="D744" s="7">
        <v>99.87</v>
      </c>
      <c r="E744" s="8">
        <v>7</v>
      </c>
      <c r="F744" s="9">
        <v>0.16999957087000001</v>
      </c>
      <c r="G744" s="44">
        <v>34500</v>
      </c>
      <c r="H744" s="50">
        <f t="shared" si="11"/>
        <v>34</v>
      </c>
    </row>
    <row r="745" spans="1:8" ht="38.25" x14ac:dyDescent="0.2">
      <c r="A745" s="14" t="s">
        <v>308</v>
      </c>
      <c r="B745" s="6" t="s">
        <v>374</v>
      </c>
      <c r="C745" s="16">
        <v>6</v>
      </c>
      <c r="D745" s="7">
        <v>138.8233333</v>
      </c>
      <c r="E745" s="8">
        <v>3</v>
      </c>
      <c r="F745" s="9">
        <v>0.23645880856000001</v>
      </c>
      <c r="G745" s="44">
        <v>34600</v>
      </c>
      <c r="H745" s="50">
        <f t="shared" si="11"/>
        <v>34</v>
      </c>
    </row>
    <row r="746" spans="1:8" ht="25.5" x14ac:dyDescent="0.2">
      <c r="A746" s="14" t="s">
        <v>8</v>
      </c>
      <c r="B746" s="6" t="s">
        <v>83</v>
      </c>
      <c r="C746" s="16">
        <v>6</v>
      </c>
      <c r="D746" s="7">
        <v>17.23</v>
      </c>
      <c r="E746" s="8">
        <v>3</v>
      </c>
      <c r="F746" s="9">
        <v>1.52002321532</v>
      </c>
      <c r="G746" s="44">
        <v>34700</v>
      </c>
      <c r="H746" s="50">
        <f t="shared" si="11"/>
        <v>34</v>
      </c>
    </row>
    <row r="747" spans="1:8" ht="25.5" x14ac:dyDescent="0.2">
      <c r="A747" s="14" t="s">
        <v>308</v>
      </c>
      <c r="B747" s="6" t="s">
        <v>362</v>
      </c>
      <c r="C747" s="16">
        <v>6</v>
      </c>
      <c r="D747" s="7">
        <v>58.310400000000001</v>
      </c>
      <c r="E747" s="8">
        <v>25</v>
      </c>
      <c r="F747" s="9">
        <v>0.44126810997999999</v>
      </c>
      <c r="G747" s="44">
        <v>34830</v>
      </c>
      <c r="H747" s="50">
        <f t="shared" si="11"/>
        <v>34</v>
      </c>
    </row>
    <row r="748" spans="1:8" ht="38.25" x14ac:dyDescent="0.2">
      <c r="A748" s="14" t="s">
        <v>533</v>
      </c>
      <c r="B748" s="6" t="s">
        <v>550</v>
      </c>
      <c r="C748" s="16">
        <v>6</v>
      </c>
      <c r="D748" s="7">
        <v>21.13</v>
      </c>
      <c r="E748" s="8">
        <v>4</v>
      </c>
      <c r="F748" s="9">
        <v>0.74443918599000003</v>
      </c>
      <c r="G748" s="44">
        <v>34920</v>
      </c>
      <c r="H748" s="50">
        <f t="shared" si="11"/>
        <v>34</v>
      </c>
    </row>
    <row r="749" spans="1:8" ht="25.5" x14ac:dyDescent="0.2">
      <c r="A749" s="14" t="s">
        <v>533</v>
      </c>
      <c r="B749" s="6" t="s">
        <v>549</v>
      </c>
      <c r="C749" s="12">
        <v>6</v>
      </c>
      <c r="D749" s="7">
        <v>59.96</v>
      </c>
      <c r="E749" s="8">
        <v>1</v>
      </c>
      <c r="F749" s="9">
        <v>0.30353569046000001</v>
      </c>
      <c r="G749" s="44">
        <v>34970</v>
      </c>
      <c r="H749" s="50">
        <f t="shared" si="11"/>
        <v>34</v>
      </c>
    </row>
    <row r="750" spans="1:8" ht="25.5" x14ac:dyDescent="0.2">
      <c r="A750" s="14" t="s">
        <v>184</v>
      </c>
      <c r="B750" s="6" t="s">
        <v>233</v>
      </c>
      <c r="C750" s="12">
        <v>6</v>
      </c>
      <c r="D750" s="7">
        <v>54.032857100000001</v>
      </c>
      <c r="E750" s="8">
        <v>18</v>
      </c>
      <c r="F750" s="9">
        <v>0.12124956302000001</v>
      </c>
      <c r="G750" s="44">
        <v>37130</v>
      </c>
      <c r="H750" s="50">
        <f t="shared" si="11"/>
        <v>37</v>
      </c>
    </row>
    <row r="751" spans="1:8" ht="25.5" x14ac:dyDescent="0.2">
      <c r="A751" s="14" t="s">
        <v>489</v>
      </c>
      <c r="B751" s="6" t="s">
        <v>504</v>
      </c>
      <c r="C751" s="16">
        <v>6</v>
      </c>
      <c r="D751" s="7">
        <v>18.5242857</v>
      </c>
      <c r="E751" s="8">
        <v>7</v>
      </c>
      <c r="F751" s="9">
        <v>0.17001619496000001</v>
      </c>
      <c r="G751" s="44">
        <v>37520</v>
      </c>
      <c r="H751" s="50">
        <f t="shared" si="11"/>
        <v>37</v>
      </c>
    </row>
    <row r="752" spans="1:8" ht="25.5" x14ac:dyDescent="0.2">
      <c r="A752" s="14" t="s">
        <v>134</v>
      </c>
      <c r="B752" s="6" t="s">
        <v>139</v>
      </c>
      <c r="C752" s="12">
        <v>6</v>
      </c>
      <c r="D752" s="7">
        <v>111.4086667</v>
      </c>
      <c r="E752" s="8">
        <v>26</v>
      </c>
      <c r="F752" s="9">
        <v>0.23489435291999999</v>
      </c>
      <c r="G752" s="44">
        <v>38120</v>
      </c>
      <c r="H752" s="50">
        <f t="shared" si="11"/>
        <v>38</v>
      </c>
    </row>
    <row r="753" spans="1:8" ht="25.5" x14ac:dyDescent="0.2">
      <c r="A753" s="14" t="s">
        <v>556</v>
      </c>
      <c r="B753" s="6" t="s">
        <v>139</v>
      </c>
      <c r="C753" s="12">
        <v>6</v>
      </c>
      <c r="D753" s="7">
        <v>119.92023260000001</v>
      </c>
      <c r="E753" s="8">
        <v>30</v>
      </c>
      <c r="F753" s="9">
        <v>0.21028105892000001</v>
      </c>
      <c r="G753" s="44">
        <v>38120</v>
      </c>
      <c r="H753" s="50">
        <f t="shared" si="11"/>
        <v>38</v>
      </c>
    </row>
    <row r="754" spans="1:8" ht="25.5" x14ac:dyDescent="0.2">
      <c r="A754" s="14" t="s">
        <v>134</v>
      </c>
      <c r="B754" s="6" t="s">
        <v>150</v>
      </c>
      <c r="C754" s="16">
        <v>6</v>
      </c>
      <c r="D754" s="7">
        <v>43.15</v>
      </c>
      <c r="E754" s="8">
        <v>2</v>
      </c>
      <c r="F754" s="9">
        <v>0.32179026650999998</v>
      </c>
      <c r="G754" s="44">
        <v>38160</v>
      </c>
      <c r="H754" s="50">
        <f t="shared" si="11"/>
        <v>38</v>
      </c>
    </row>
    <row r="755" spans="1:8" ht="25.5" x14ac:dyDescent="0.2">
      <c r="A755" s="14" t="s">
        <v>556</v>
      </c>
      <c r="B755" s="6" t="s">
        <v>150</v>
      </c>
      <c r="C755" s="16">
        <v>6</v>
      </c>
      <c r="D755" s="7">
        <v>44.559384600000001</v>
      </c>
      <c r="E755" s="8">
        <v>41</v>
      </c>
      <c r="F755" s="9">
        <v>0.21090575756999999</v>
      </c>
      <c r="G755" s="44">
        <v>38160</v>
      </c>
      <c r="H755" s="50">
        <f t="shared" si="11"/>
        <v>38</v>
      </c>
    </row>
    <row r="756" spans="1:8" ht="25.5" x14ac:dyDescent="0.2">
      <c r="A756" s="14" t="s">
        <v>556</v>
      </c>
      <c r="B756" s="6" t="s">
        <v>148</v>
      </c>
      <c r="C756" s="16">
        <v>6</v>
      </c>
      <c r="D756" s="7">
        <v>83.723333299999993</v>
      </c>
      <c r="E756" s="8">
        <v>56</v>
      </c>
      <c r="F756" s="9">
        <v>0.19453374208999999</v>
      </c>
      <c r="G756" s="44">
        <v>38160</v>
      </c>
      <c r="H756" s="50">
        <f t="shared" si="11"/>
        <v>38</v>
      </c>
    </row>
    <row r="757" spans="1:8" ht="25.5" x14ac:dyDescent="0.2">
      <c r="A757" s="14" t="s">
        <v>134</v>
      </c>
      <c r="B757" s="6" t="s">
        <v>148</v>
      </c>
      <c r="C757" s="12">
        <v>6</v>
      </c>
      <c r="D757" s="7">
        <v>91.284999999999997</v>
      </c>
      <c r="E757" s="8">
        <v>2</v>
      </c>
      <c r="F757" s="9">
        <v>0.28170564715000002</v>
      </c>
      <c r="G757" s="44">
        <v>38160</v>
      </c>
      <c r="H757" s="50">
        <f t="shared" si="11"/>
        <v>38</v>
      </c>
    </row>
    <row r="758" spans="1:8" ht="38.25" x14ac:dyDescent="0.2">
      <c r="A758" s="14" t="s">
        <v>134</v>
      </c>
      <c r="B758" s="6" t="s">
        <v>135</v>
      </c>
      <c r="C758" s="16">
        <v>6</v>
      </c>
      <c r="D758" s="7">
        <v>33.375882400000002</v>
      </c>
      <c r="E758" s="8">
        <v>13</v>
      </c>
      <c r="F758" s="9">
        <v>0.45656779287999999</v>
      </c>
      <c r="G758" s="44">
        <v>38433</v>
      </c>
      <c r="H758" s="50">
        <f t="shared" si="11"/>
        <v>38</v>
      </c>
    </row>
    <row r="759" spans="1:8" ht="25.5" x14ac:dyDescent="0.2">
      <c r="A759" s="14" t="s">
        <v>556</v>
      </c>
      <c r="B759" s="6" t="s">
        <v>559</v>
      </c>
      <c r="C759" s="16">
        <v>6</v>
      </c>
      <c r="D759" s="7">
        <v>35.884999999999998</v>
      </c>
      <c r="E759" s="8">
        <v>2</v>
      </c>
      <c r="F759" s="9">
        <v>0.29274069945999998</v>
      </c>
      <c r="G759" s="44">
        <v>38520</v>
      </c>
      <c r="H759" s="50">
        <f t="shared" si="11"/>
        <v>38</v>
      </c>
    </row>
    <row r="760" spans="1:8" ht="25.5" x14ac:dyDescent="0.2">
      <c r="A760" s="14" t="s">
        <v>134</v>
      </c>
      <c r="B760" s="6" t="s">
        <v>145</v>
      </c>
      <c r="C760" s="12">
        <v>6</v>
      </c>
      <c r="D760" s="7">
        <v>126.83210529999999</v>
      </c>
      <c r="E760" s="8">
        <v>8</v>
      </c>
      <c r="F760" s="9">
        <v>0.21078383773000001</v>
      </c>
      <c r="G760" s="44">
        <v>38530</v>
      </c>
      <c r="H760" s="50">
        <f t="shared" si="11"/>
        <v>38</v>
      </c>
    </row>
    <row r="761" spans="1:8" ht="25.5" x14ac:dyDescent="0.2">
      <c r="A761" s="14" t="s">
        <v>556</v>
      </c>
      <c r="B761" s="6" t="s">
        <v>145</v>
      </c>
      <c r="C761" s="16">
        <v>6</v>
      </c>
      <c r="D761" s="7">
        <v>186.55375000000001</v>
      </c>
      <c r="E761" s="8">
        <v>20</v>
      </c>
      <c r="F761" s="9">
        <v>0.16430474683999999</v>
      </c>
      <c r="G761" s="44">
        <v>38530</v>
      </c>
      <c r="H761" s="50">
        <f t="shared" si="11"/>
        <v>38</v>
      </c>
    </row>
    <row r="762" spans="1:8" ht="25.5" x14ac:dyDescent="0.2">
      <c r="A762" s="14" t="s">
        <v>556</v>
      </c>
      <c r="B762" s="6" t="s">
        <v>136</v>
      </c>
      <c r="C762" s="16">
        <v>6</v>
      </c>
      <c r="D762" s="7">
        <v>83.67</v>
      </c>
      <c r="E762" s="8">
        <v>6</v>
      </c>
      <c r="F762" s="9">
        <v>0.24062729429999999</v>
      </c>
      <c r="G762" s="44">
        <v>38600</v>
      </c>
      <c r="H762" s="50">
        <f t="shared" si="11"/>
        <v>38</v>
      </c>
    </row>
    <row r="763" spans="1:8" ht="25.5" x14ac:dyDescent="0.2">
      <c r="A763" s="14" t="s">
        <v>134</v>
      </c>
      <c r="B763" s="6" t="s">
        <v>136</v>
      </c>
      <c r="C763" s="12">
        <v>6</v>
      </c>
      <c r="D763" s="7">
        <v>127.7305405</v>
      </c>
      <c r="E763" s="8">
        <v>18</v>
      </c>
      <c r="F763" s="9">
        <v>0.28018950366000001</v>
      </c>
      <c r="G763" s="44">
        <v>38600</v>
      </c>
      <c r="H763" s="50">
        <f t="shared" si="11"/>
        <v>38</v>
      </c>
    </row>
    <row r="764" spans="1:8" ht="38.25" x14ac:dyDescent="0.2">
      <c r="A764" s="14" t="s">
        <v>562</v>
      </c>
      <c r="B764" s="6" t="s">
        <v>584</v>
      </c>
      <c r="C764" s="16">
        <v>6</v>
      </c>
      <c r="D764" s="7">
        <v>1163.3352632000001</v>
      </c>
      <c r="E764" s="8">
        <v>19</v>
      </c>
      <c r="F764" s="9">
        <v>0.24722379438</v>
      </c>
      <c r="G764" s="44">
        <v>40054</v>
      </c>
      <c r="H764" s="50">
        <f t="shared" si="11"/>
        <v>40</v>
      </c>
    </row>
    <row r="765" spans="1:8" ht="25.5" x14ac:dyDescent="0.2">
      <c r="A765" s="14" t="s">
        <v>604</v>
      </c>
      <c r="B765" s="6" t="s">
        <v>132</v>
      </c>
      <c r="C765" s="16">
        <v>6</v>
      </c>
      <c r="D765" s="7">
        <v>19.940000000000001</v>
      </c>
      <c r="E765" s="8">
        <v>1</v>
      </c>
      <c r="F765" s="9">
        <v>1.60050150451</v>
      </c>
      <c r="G765" s="44">
        <v>42000</v>
      </c>
      <c r="H765" s="50">
        <f t="shared" si="11"/>
        <v>42</v>
      </c>
    </row>
    <row r="766" spans="1:8" ht="25.5" x14ac:dyDescent="0.2">
      <c r="A766" s="14" t="s">
        <v>489</v>
      </c>
      <c r="B766" s="6" t="s">
        <v>496</v>
      </c>
      <c r="C766" s="16">
        <v>6</v>
      </c>
      <c r="D766" s="7">
        <v>14.193</v>
      </c>
      <c r="E766" s="8">
        <v>10</v>
      </c>
      <c r="F766" s="9">
        <v>0.16999929543</v>
      </c>
      <c r="G766" s="44">
        <v>42008</v>
      </c>
      <c r="H766" s="50">
        <f t="shared" si="11"/>
        <v>42</v>
      </c>
    </row>
    <row r="767" spans="1:8" ht="25.5" x14ac:dyDescent="0.2">
      <c r="A767" s="14" t="s">
        <v>489</v>
      </c>
      <c r="B767" s="6" t="s">
        <v>24</v>
      </c>
      <c r="C767" s="12">
        <v>6</v>
      </c>
      <c r="D767" s="7">
        <v>14.3233333</v>
      </c>
      <c r="E767" s="8">
        <v>3</v>
      </c>
      <c r="F767" s="9">
        <v>0.17002559925999999</v>
      </c>
      <c r="G767" s="44">
        <v>42008</v>
      </c>
      <c r="H767" s="50">
        <f t="shared" si="11"/>
        <v>42</v>
      </c>
    </row>
    <row r="768" spans="1:8" ht="25.5" x14ac:dyDescent="0.2">
      <c r="A768" s="14" t="s">
        <v>489</v>
      </c>
      <c r="B768" s="6" t="s">
        <v>499</v>
      </c>
      <c r="C768" s="16">
        <v>6</v>
      </c>
      <c r="D768" s="7">
        <v>14.45</v>
      </c>
      <c r="E768" s="8">
        <v>1</v>
      </c>
      <c r="F768" s="9">
        <v>0.17003460208000001</v>
      </c>
      <c r="G768" s="44">
        <v>42008</v>
      </c>
      <c r="H768" s="50">
        <f t="shared" si="11"/>
        <v>42</v>
      </c>
    </row>
    <row r="769" spans="1:8" ht="25.5" x14ac:dyDescent="0.2">
      <c r="A769" s="14" t="s">
        <v>8</v>
      </c>
      <c r="B769" s="6" t="s">
        <v>24</v>
      </c>
      <c r="C769" s="16">
        <v>6</v>
      </c>
      <c r="D769" s="7">
        <v>14.556666699999999</v>
      </c>
      <c r="E769" s="8">
        <v>3</v>
      </c>
      <c r="F769" s="9">
        <v>0.33895122509999998</v>
      </c>
      <c r="G769" s="44">
        <v>42008</v>
      </c>
      <c r="H769" s="50">
        <f t="shared" si="11"/>
        <v>42</v>
      </c>
    </row>
    <row r="770" spans="1:8" ht="25.5" x14ac:dyDescent="0.2">
      <c r="A770" s="14" t="s">
        <v>489</v>
      </c>
      <c r="B770" s="6" t="s">
        <v>23</v>
      </c>
      <c r="C770" s="16">
        <v>6</v>
      </c>
      <c r="D770" s="7">
        <v>14.67</v>
      </c>
      <c r="E770" s="8">
        <v>2</v>
      </c>
      <c r="F770" s="9">
        <v>0.17000681663</v>
      </c>
      <c r="G770" s="44">
        <v>42008</v>
      </c>
      <c r="H770" s="50">
        <f t="shared" si="11"/>
        <v>42</v>
      </c>
    </row>
    <row r="771" spans="1:8" ht="25.5" x14ac:dyDescent="0.2">
      <c r="A771" s="14" t="s">
        <v>604</v>
      </c>
      <c r="B771" s="6" t="s">
        <v>49</v>
      </c>
      <c r="C771" s="12">
        <v>6</v>
      </c>
      <c r="D771" s="7">
        <v>15.244545499999999</v>
      </c>
      <c r="E771" s="8">
        <v>8</v>
      </c>
      <c r="F771" s="9">
        <v>1.3423459955899999</v>
      </c>
      <c r="G771" s="44">
        <v>42008</v>
      </c>
      <c r="H771" s="50">
        <f t="shared" ref="H771:H834" si="12">IF(LEN(G771)=4,VALUE(LEFT(G771,1)),VALUE(LEFT(G771,2)))</f>
        <v>42</v>
      </c>
    </row>
    <row r="772" spans="1:8" ht="25.5" x14ac:dyDescent="0.2">
      <c r="A772" s="14" t="s">
        <v>8</v>
      </c>
      <c r="B772" s="6" t="s">
        <v>49</v>
      </c>
      <c r="C772" s="12">
        <v>6</v>
      </c>
      <c r="D772" s="7">
        <v>15.7766667</v>
      </c>
      <c r="E772" s="8">
        <v>3</v>
      </c>
      <c r="F772" s="9">
        <v>2.6412423410099999</v>
      </c>
      <c r="G772" s="44">
        <v>42008</v>
      </c>
      <c r="H772" s="50">
        <f t="shared" si="12"/>
        <v>42</v>
      </c>
    </row>
    <row r="773" spans="1:8" ht="25.5" x14ac:dyDescent="0.2">
      <c r="A773" s="14" t="s">
        <v>291</v>
      </c>
      <c r="B773" s="6" t="s">
        <v>49</v>
      </c>
      <c r="C773" s="16">
        <v>6</v>
      </c>
      <c r="D773" s="7">
        <v>16.725000000000001</v>
      </c>
      <c r="E773" s="8">
        <v>2</v>
      </c>
      <c r="F773" s="9">
        <v>0.43931240657999998</v>
      </c>
      <c r="G773" s="44">
        <v>42008</v>
      </c>
      <c r="H773" s="50">
        <f t="shared" si="12"/>
        <v>42</v>
      </c>
    </row>
    <row r="774" spans="1:8" ht="38.25" x14ac:dyDescent="0.2">
      <c r="A774" s="14" t="s">
        <v>291</v>
      </c>
      <c r="B774" s="6" t="s">
        <v>121</v>
      </c>
      <c r="C774" s="16">
        <v>6</v>
      </c>
      <c r="D774" s="7">
        <v>17.7854545</v>
      </c>
      <c r="E774" s="8">
        <v>9</v>
      </c>
      <c r="F774" s="9">
        <v>0.67887446330000001</v>
      </c>
      <c r="G774" s="44">
        <v>42008</v>
      </c>
      <c r="H774" s="50">
        <f t="shared" si="12"/>
        <v>42</v>
      </c>
    </row>
    <row r="775" spans="1:8" ht="38.25" x14ac:dyDescent="0.2">
      <c r="A775" s="14" t="s">
        <v>291</v>
      </c>
      <c r="B775" s="6" t="s">
        <v>131</v>
      </c>
      <c r="C775" s="12">
        <v>6</v>
      </c>
      <c r="D775" s="7">
        <v>18.2075</v>
      </c>
      <c r="E775" s="8">
        <v>4</v>
      </c>
      <c r="F775" s="9">
        <v>0.42387752299999998</v>
      </c>
      <c r="G775" s="44">
        <v>42008</v>
      </c>
      <c r="H775" s="50">
        <f t="shared" si="12"/>
        <v>42</v>
      </c>
    </row>
    <row r="776" spans="1:8" ht="25.5" x14ac:dyDescent="0.2">
      <c r="A776" s="14" t="s">
        <v>489</v>
      </c>
      <c r="B776" s="6" t="s">
        <v>515</v>
      </c>
      <c r="C776" s="12">
        <v>6</v>
      </c>
      <c r="D776" s="7">
        <v>18.989090900000001</v>
      </c>
      <c r="E776" s="8">
        <v>21</v>
      </c>
      <c r="F776" s="9">
        <v>0.16999952126000001</v>
      </c>
      <c r="G776" s="44">
        <v>42008</v>
      </c>
      <c r="H776" s="50">
        <f t="shared" si="12"/>
        <v>42</v>
      </c>
    </row>
    <row r="777" spans="1:8" ht="38.25" x14ac:dyDescent="0.2">
      <c r="A777" s="14" t="s">
        <v>120</v>
      </c>
      <c r="B777" s="6" t="s">
        <v>121</v>
      </c>
      <c r="C777" s="16">
        <v>6</v>
      </c>
      <c r="D777" s="7">
        <v>20.040263199999998</v>
      </c>
      <c r="E777" s="8">
        <v>21</v>
      </c>
      <c r="F777" s="9">
        <v>1.17520123961</v>
      </c>
      <c r="G777" s="44">
        <v>42008</v>
      </c>
      <c r="H777" s="50">
        <f t="shared" si="12"/>
        <v>42</v>
      </c>
    </row>
    <row r="778" spans="1:8" ht="38.25" x14ac:dyDescent="0.2">
      <c r="A778" s="14" t="s">
        <v>604</v>
      </c>
      <c r="B778" s="6" t="s">
        <v>131</v>
      </c>
      <c r="C778" s="16">
        <v>6</v>
      </c>
      <c r="D778" s="7">
        <v>20.0848485</v>
      </c>
      <c r="E778" s="8">
        <v>23</v>
      </c>
      <c r="F778" s="9">
        <v>1.1403168376599999</v>
      </c>
      <c r="G778" s="44">
        <v>42008</v>
      </c>
      <c r="H778" s="50">
        <f t="shared" si="12"/>
        <v>42</v>
      </c>
    </row>
    <row r="779" spans="1:8" ht="25.5" x14ac:dyDescent="0.2">
      <c r="A779" s="14" t="s">
        <v>489</v>
      </c>
      <c r="B779" s="6" t="s">
        <v>43</v>
      </c>
      <c r="C779" s="12">
        <v>6</v>
      </c>
      <c r="D779" s="7">
        <v>20.352</v>
      </c>
      <c r="E779" s="8">
        <v>5</v>
      </c>
      <c r="F779" s="9">
        <v>0.16999803459000001</v>
      </c>
      <c r="G779" s="44">
        <v>42008</v>
      </c>
      <c r="H779" s="50">
        <f t="shared" si="12"/>
        <v>42</v>
      </c>
    </row>
    <row r="780" spans="1:8" ht="25.5" x14ac:dyDescent="0.2">
      <c r="A780" s="14" t="s">
        <v>8</v>
      </c>
      <c r="B780" s="6" t="s">
        <v>43</v>
      </c>
      <c r="C780" s="12">
        <v>6</v>
      </c>
      <c r="D780" s="7">
        <v>22.281428600000002</v>
      </c>
      <c r="E780" s="8">
        <v>7</v>
      </c>
      <c r="F780" s="9">
        <v>1.35269603129</v>
      </c>
      <c r="G780" s="44">
        <v>42008</v>
      </c>
      <c r="H780" s="50">
        <f t="shared" si="12"/>
        <v>42</v>
      </c>
    </row>
    <row r="781" spans="1:8" ht="25.5" x14ac:dyDescent="0.2">
      <c r="A781" s="14" t="s">
        <v>308</v>
      </c>
      <c r="B781" s="6" t="s">
        <v>377</v>
      </c>
      <c r="C781" s="16">
        <v>6</v>
      </c>
      <c r="D781" s="7">
        <v>24.551428600000001</v>
      </c>
      <c r="E781" s="8">
        <v>7</v>
      </c>
      <c r="F781" s="9">
        <v>1.0553357383899999</v>
      </c>
      <c r="G781" s="44">
        <v>42008</v>
      </c>
      <c r="H781" s="50">
        <f t="shared" si="12"/>
        <v>42</v>
      </c>
    </row>
    <row r="782" spans="1:8" ht="38.25" x14ac:dyDescent="0.2">
      <c r="A782" s="14" t="s">
        <v>103</v>
      </c>
      <c r="B782" s="6" t="s">
        <v>109</v>
      </c>
      <c r="C782" s="16">
        <v>6</v>
      </c>
      <c r="D782" s="7">
        <v>27.033333299999999</v>
      </c>
      <c r="E782" s="8">
        <v>23</v>
      </c>
      <c r="F782" s="9">
        <v>0.36118372380000002</v>
      </c>
      <c r="G782" s="44">
        <v>42008</v>
      </c>
      <c r="H782" s="50">
        <f t="shared" si="12"/>
        <v>42</v>
      </c>
    </row>
    <row r="783" spans="1:8" ht="25.5" x14ac:dyDescent="0.2">
      <c r="A783" s="14" t="s">
        <v>184</v>
      </c>
      <c r="B783" s="6" t="s">
        <v>237</v>
      </c>
      <c r="C783" s="16">
        <v>6</v>
      </c>
      <c r="D783" s="7">
        <v>28.37</v>
      </c>
      <c r="E783" s="8">
        <v>1</v>
      </c>
      <c r="F783" s="9">
        <v>0.11299494771</v>
      </c>
      <c r="G783" s="44">
        <v>42008</v>
      </c>
      <c r="H783" s="50">
        <f t="shared" si="12"/>
        <v>42</v>
      </c>
    </row>
    <row r="784" spans="1:8" ht="38.25" x14ac:dyDescent="0.2">
      <c r="A784" s="14" t="s">
        <v>604</v>
      </c>
      <c r="B784" s="6" t="s">
        <v>109</v>
      </c>
      <c r="C784" s="16">
        <v>6</v>
      </c>
      <c r="D784" s="7">
        <v>29.030666700000001</v>
      </c>
      <c r="E784" s="8">
        <v>10</v>
      </c>
      <c r="F784" s="9">
        <v>0.91363845128999999</v>
      </c>
      <c r="G784" s="44">
        <v>42008</v>
      </c>
      <c r="H784" s="50">
        <f t="shared" si="12"/>
        <v>42</v>
      </c>
    </row>
    <row r="785" spans="1:8" ht="25.5" x14ac:dyDescent="0.2">
      <c r="A785" s="14" t="s">
        <v>291</v>
      </c>
      <c r="B785" s="6" t="s">
        <v>50</v>
      </c>
      <c r="C785" s="16">
        <v>6</v>
      </c>
      <c r="D785" s="7">
        <v>30.01</v>
      </c>
      <c r="E785" s="8">
        <v>5</v>
      </c>
      <c r="F785" s="9">
        <v>0.64791736087999996</v>
      </c>
      <c r="G785" s="44">
        <v>42008</v>
      </c>
      <c r="H785" s="50">
        <f t="shared" si="12"/>
        <v>42</v>
      </c>
    </row>
    <row r="786" spans="1:8" ht="38.25" x14ac:dyDescent="0.2">
      <c r="A786" s="14" t="s">
        <v>308</v>
      </c>
      <c r="B786" s="6" t="s">
        <v>378</v>
      </c>
      <c r="C786" s="16">
        <v>6</v>
      </c>
      <c r="D786" s="7">
        <v>30.054285700000001</v>
      </c>
      <c r="E786" s="8">
        <v>55</v>
      </c>
      <c r="F786" s="9">
        <v>0.86210666413000003</v>
      </c>
      <c r="G786" s="44">
        <v>42008</v>
      </c>
      <c r="H786" s="50">
        <f t="shared" si="12"/>
        <v>42</v>
      </c>
    </row>
    <row r="787" spans="1:8" ht="38.25" x14ac:dyDescent="0.2">
      <c r="A787" s="14" t="s">
        <v>291</v>
      </c>
      <c r="B787" s="6" t="s">
        <v>109</v>
      </c>
      <c r="C787" s="16">
        <v>6</v>
      </c>
      <c r="D787" s="7">
        <v>31.355</v>
      </c>
      <c r="E787" s="8">
        <v>2</v>
      </c>
      <c r="F787" s="9">
        <v>0.35214479349</v>
      </c>
      <c r="G787" s="44">
        <v>42008</v>
      </c>
      <c r="H787" s="50">
        <f t="shared" si="12"/>
        <v>42</v>
      </c>
    </row>
    <row r="788" spans="1:8" ht="25.5" x14ac:dyDescent="0.2">
      <c r="A788" s="14" t="s">
        <v>604</v>
      </c>
      <c r="B788" s="6" t="s">
        <v>50</v>
      </c>
      <c r="C788" s="16">
        <v>6</v>
      </c>
      <c r="D788" s="7">
        <v>35.447499999999998</v>
      </c>
      <c r="E788" s="8">
        <v>10</v>
      </c>
      <c r="F788" s="9">
        <v>0.87691480357999996</v>
      </c>
      <c r="G788" s="44">
        <v>42008</v>
      </c>
      <c r="H788" s="50">
        <f t="shared" si="12"/>
        <v>42</v>
      </c>
    </row>
    <row r="789" spans="1:8" ht="25.5" x14ac:dyDescent="0.2">
      <c r="A789" s="14" t="s">
        <v>8</v>
      </c>
      <c r="B789" s="6" t="s">
        <v>50</v>
      </c>
      <c r="C789" s="16">
        <v>6</v>
      </c>
      <c r="D789" s="7">
        <v>47.145714300000002</v>
      </c>
      <c r="E789" s="8">
        <v>7</v>
      </c>
      <c r="F789" s="9">
        <v>0.91427792254999996</v>
      </c>
      <c r="G789" s="44">
        <v>42008</v>
      </c>
      <c r="H789" s="50">
        <f t="shared" si="12"/>
        <v>42</v>
      </c>
    </row>
    <row r="790" spans="1:8" ht="38.25" x14ac:dyDescent="0.2">
      <c r="A790" s="14" t="s">
        <v>308</v>
      </c>
      <c r="B790" s="6" t="s">
        <v>375</v>
      </c>
      <c r="C790" s="16">
        <v>6</v>
      </c>
      <c r="D790" s="7">
        <v>90.053214299999993</v>
      </c>
      <c r="E790" s="8">
        <v>56</v>
      </c>
      <c r="F790" s="9">
        <v>0.32217994122999999</v>
      </c>
      <c r="G790" s="44">
        <v>42008</v>
      </c>
      <c r="H790" s="50">
        <f t="shared" si="12"/>
        <v>42</v>
      </c>
    </row>
    <row r="791" spans="1:8" ht="25.5" x14ac:dyDescent="0.2">
      <c r="A791" s="14" t="s">
        <v>308</v>
      </c>
      <c r="B791" s="6" t="s">
        <v>396</v>
      </c>
      <c r="C791" s="16">
        <v>6</v>
      </c>
      <c r="D791" s="7">
        <v>136.28461540000001</v>
      </c>
      <c r="E791" s="8">
        <v>52</v>
      </c>
      <c r="F791" s="9">
        <v>0.23963424958999999</v>
      </c>
      <c r="G791" s="44">
        <v>42008</v>
      </c>
      <c r="H791" s="50">
        <f t="shared" si="12"/>
        <v>42</v>
      </c>
    </row>
    <row r="792" spans="1:8" ht="25.5" x14ac:dyDescent="0.2">
      <c r="A792" s="14" t="s">
        <v>308</v>
      </c>
      <c r="B792" s="6" t="s">
        <v>380</v>
      </c>
      <c r="C792" s="16">
        <v>6</v>
      </c>
      <c r="D792" s="7">
        <v>176.25</v>
      </c>
      <c r="E792" s="8">
        <v>1</v>
      </c>
      <c r="F792" s="9">
        <v>0.22114042552999999</v>
      </c>
      <c r="G792" s="44">
        <v>42008</v>
      </c>
      <c r="H792" s="50">
        <f t="shared" si="12"/>
        <v>42</v>
      </c>
    </row>
    <row r="793" spans="1:8" ht="25.5" x14ac:dyDescent="0.2">
      <c r="A793" s="14" t="s">
        <v>112</v>
      </c>
      <c r="B793" s="6" t="s">
        <v>117</v>
      </c>
      <c r="C793" s="12">
        <v>6</v>
      </c>
      <c r="D793" s="7">
        <v>252.03333330000001</v>
      </c>
      <c r="E793" s="8">
        <v>2</v>
      </c>
      <c r="F793" s="9">
        <v>0.15087422299</v>
      </c>
      <c r="G793" s="44">
        <v>42008</v>
      </c>
      <c r="H793" s="50">
        <f t="shared" si="12"/>
        <v>42</v>
      </c>
    </row>
    <row r="794" spans="1:8" ht="38.25" x14ac:dyDescent="0.2">
      <c r="A794" s="14" t="s">
        <v>8</v>
      </c>
      <c r="B794" s="6" t="s">
        <v>44</v>
      </c>
      <c r="C794" s="16">
        <v>6</v>
      </c>
      <c r="D794" s="7">
        <v>730.98</v>
      </c>
      <c r="E794" s="8">
        <v>2</v>
      </c>
      <c r="F794" s="9">
        <v>0.34149497934</v>
      </c>
      <c r="G794" s="44">
        <v>42008</v>
      </c>
      <c r="H794" s="50">
        <f t="shared" si="12"/>
        <v>42</v>
      </c>
    </row>
    <row r="795" spans="1:8" ht="25.5" x14ac:dyDescent="0.2">
      <c r="A795" s="14" t="s">
        <v>103</v>
      </c>
      <c r="B795" s="6" t="s">
        <v>106</v>
      </c>
      <c r="C795" s="16">
        <v>6</v>
      </c>
      <c r="D795" s="7">
        <v>18.284736800000001</v>
      </c>
      <c r="E795" s="8">
        <v>13</v>
      </c>
      <c r="F795" s="9">
        <v>0.29619181946000001</v>
      </c>
      <c r="G795" s="44">
        <v>43100</v>
      </c>
      <c r="H795" s="50">
        <f t="shared" si="12"/>
        <v>43</v>
      </c>
    </row>
    <row r="796" spans="1:8" ht="25.5" x14ac:dyDescent="0.2">
      <c r="A796" s="14" t="s">
        <v>604</v>
      </c>
      <c r="B796" s="6" t="s">
        <v>106</v>
      </c>
      <c r="C796" s="16">
        <v>6</v>
      </c>
      <c r="D796" s="7">
        <v>18.351111100000001</v>
      </c>
      <c r="E796" s="8">
        <v>6</v>
      </c>
      <c r="F796" s="9">
        <v>1.3044199564100001</v>
      </c>
      <c r="G796" s="44">
        <v>43100</v>
      </c>
      <c r="H796" s="50">
        <f t="shared" si="12"/>
        <v>43</v>
      </c>
    </row>
    <row r="797" spans="1:8" ht="25.5" x14ac:dyDescent="0.2">
      <c r="A797" s="14" t="s">
        <v>291</v>
      </c>
      <c r="B797" s="6" t="s">
        <v>106</v>
      </c>
      <c r="C797" s="16">
        <v>6</v>
      </c>
      <c r="D797" s="7">
        <v>22.192499999999999</v>
      </c>
      <c r="E797" s="8">
        <v>4</v>
      </c>
      <c r="F797" s="9">
        <v>0.39318463445000001</v>
      </c>
      <c r="G797" s="44">
        <v>43100</v>
      </c>
      <c r="H797" s="50">
        <f t="shared" si="12"/>
        <v>43</v>
      </c>
    </row>
    <row r="798" spans="1:8" ht="38.25" x14ac:dyDescent="0.2">
      <c r="A798" s="14" t="s">
        <v>554</v>
      </c>
      <c r="B798" s="6" t="s">
        <v>555</v>
      </c>
      <c r="C798" s="16">
        <v>6</v>
      </c>
      <c r="D798" s="7">
        <v>158.2222222</v>
      </c>
      <c r="E798" s="8">
        <v>8</v>
      </c>
      <c r="F798" s="9">
        <v>7.6931179779999997E-2</v>
      </c>
      <c r="G798" s="44">
        <v>43420</v>
      </c>
      <c r="H798" s="50">
        <f t="shared" si="12"/>
        <v>43</v>
      </c>
    </row>
    <row r="799" spans="1:8" ht="25.5" x14ac:dyDescent="0.2">
      <c r="A799" s="14" t="s">
        <v>308</v>
      </c>
      <c r="B799" s="6" t="s">
        <v>376</v>
      </c>
      <c r="C799" s="12">
        <v>6</v>
      </c>
      <c r="D799" s="7">
        <v>13.59</v>
      </c>
      <c r="E799" s="8">
        <v>1</v>
      </c>
      <c r="F799" s="9">
        <v>1.9065489330400001</v>
      </c>
      <c r="G799" s="44">
        <v>43750</v>
      </c>
      <c r="H799" s="50">
        <f t="shared" si="12"/>
        <v>43</v>
      </c>
    </row>
    <row r="800" spans="1:8" ht="38.25" x14ac:dyDescent="0.2">
      <c r="A800" s="14" t="s">
        <v>8</v>
      </c>
      <c r="B800" s="6" t="s">
        <v>19</v>
      </c>
      <c r="C800" s="12">
        <v>6</v>
      </c>
      <c r="D800" s="7">
        <v>87.67</v>
      </c>
      <c r="E800" s="8">
        <v>4</v>
      </c>
      <c r="F800" s="9">
        <v>0.56372761492000001</v>
      </c>
      <c r="G800" s="44">
        <v>44000</v>
      </c>
      <c r="H800" s="50">
        <f t="shared" si="12"/>
        <v>44</v>
      </c>
    </row>
    <row r="801" spans="1:8" ht="38.25" x14ac:dyDescent="0.2">
      <c r="A801" s="14" t="s">
        <v>8</v>
      </c>
      <c r="B801" s="6" t="s">
        <v>60</v>
      </c>
      <c r="C801" s="16">
        <v>6</v>
      </c>
      <c r="D801" s="7">
        <v>30.114999999999998</v>
      </c>
      <c r="E801" s="8">
        <v>4</v>
      </c>
      <c r="F801" s="9">
        <v>1.72397476341</v>
      </c>
      <c r="G801" s="44">
        <v>45000</v>
      </c>
      <c r="H801" s="50">
        <f t="shared" si="12"/>
        <v>45</v>
      </c>
    </row>
    <row r="802" spans="1:8" ht="25.5" x14ac:dyDescent="0.2">
      <c r="A802" s="14" t="s">
        <v>184</v>
      </c>
      <c r="B802" s="6" t="s">
        <v>267</v>
      </c>
      <c r="C802" s="16">
        <v>6</v>
      </c>
      <c r="D802" s="7">
        <v>229.8</v>
      </c>
      <c r="E802" s="8">
        <v>3</v>
      </c>
      <c r="F802" s="9">
        <v>0.11636858138</v>
      </c>
      <c r="G802" s="44">
        <v>45300</v>
      </c>
      <c r="H802" s="50">
        <f t="shared" si="12"/>
        <v>45</v>
      </c>
    </row>
    <row r="803" spans="1:8" ht="25.5" x14ac:dyDescent="0.2">
      <c r="A803" s="14" t="s">
        <v>297</v>
      </c>
      <c r="B803" s="6" t="s">
        <v>267</v>
      </c>
      <c r="C803" s="16">
        <v>6</v>
      </c>
      <c r="D803" s="7">
        <v>404.19407410000002</v>
      </c>
      <c r="E803" s="8">
        <v>19</v>
      </c>
      <c r="F803" s="9">
        <v>0.33515784497000001</v>
      </c>
      <c r="G803" s="44">
        <v>45300</v>
      </c>
      <c r="H803" s="50">
        <f t="shared" si="12"/>
        <v>45</v>
      </c>
    </row>
    <row r="804" spans="1:8" ht="25.5" x14ac:dyDescent="0.2">
      <c r="A804" s="14" t="s">
        <v>160</v>
      </c>
      <c r="B804" s="6" t="s">
        <v>166</v>
      </c>
      <c r="C804" s="12">
        <v>6</v>
      </c>
      <c r="D804" s="7">
        <v>813.26666669999997</v>
      </c>
      <c r="E804" s="8">
        <v>3</v>
      </c>
      <c r="F804" s="9">
        <v>0.19998196572999999</v>
      </c>
      <c r="G804" s="44">
        <v>46000</v>
      </c>
      <c r="H804" s="50">
        <f t="shared" si="12"/>
        <v>46</v>
      </c>
    </row>
    <row r="805" spans="1:8" ht="38.25" x14ac:dyDescent="0.2">
      <c r="A805" s="14" t="s">
        <v>8</v>
      </c>
      <c r="B805" s="6" t="s">
        <v>48</v>
      </c>
      <c r="C805" s="16">
        <v>6</v>
      </c>
      <c r="D805" s="7">
        <v>19.647500000000001</v>
      </c>
      <c r="E805" s="8">
        <v>4</v>
      </c>
      <c r="F805" s="9">
        <v>1.87911948085</v>
      </c>
      <c r="G805" s="44">
        <v>46100</v>
      </c>
      <c r="H805" s="50">
        <f t="shared" si="12"/>
        <v>46</v>
      </c>
    </row>
    <row r="806" spans="1:8" ht="25.5" x14ac:dyDescent="0.2">
      <c r="A806" s="14" t="s">
        <v>8</v>
      </c>
      <c r="B806" s="6" t="s">
        <v>12</v>
      </c>
      <c r="C806" s="16">
        <v>6</v>
      </c>
      <c r="D806" s="7">
        <v>22.396666700000001</v>
      </c>
      <c r="E806" s="8">
        <v>3</v>
      </c>
      <c r="F806" s="9">
        <v>1.6484595922</v>
      </c>
      <c r="G806" s="44">
        <v>46100</v>
      </c>
      <c r="H806" s="50">
        <f t="shared" si="12"/>
        <v>46</v>
      </c>
    </row>
    <row r="807" spans="1:8" ht="25.5" x14ac:dyDescent="0.2">
      <c r="A807" s="5" t="s">
        <v>160</v>
      </c>
      <c r="B807" s="6" t="s">
        <v>167</v>
      </c>
      <c r="C807" s="16">
        <v>6</v>
      </c>
      <c r="D807" s="7">
        <v>247.16666670000001</v>
      </c>
      <c r="E807" s="8">
        <v>3</v>
      </c>
      <c r="F807" s="9">
        <v>0.18443155764999999</v>
      </c>
      <c r="G807" s="44">
        <v>46400</v>
      </c>
      <c r="H807" s="50">
        <f t="shared" si="12"/>
        <v>46</v>
      </c>
    </row>
    <row r="808" spans="1:8" ht="38.25" x14ac:dyDescent="0.2">
      <c r="A808" s="14" t="s">
        <v>489</v>
      </c>
      <c r="B808" s="6" t="s">
        <v>26</v>
      </c>
      <c r="C808" s="16">
        <v>6</v>
      </c>
      <c r="D808" s="7">
        <v>14.145</v>
      </c>
      <c r="E808" s="8">
        <v>4</v>
      </c>
      <c r="F808" s="9">
        <v>0.17000706964000001</v>
      </c>
      <c r="G808" s="44">
        <v>47000</v>
      </c>
      <c r="H808" s="50">
        <f t="shared" si="12"/>
        <v>47</v>
      </c>
    </row>
    <row r="809" spans="1:8" ht="38.25" x14ac:dyDescent="0.2">
      <c r="A809" s="14" t="s">
        <v>8</v>
      </c>
      <c r="B809" s="6" t="s">
        <v>26</v>
      </c>
      <c r="C809" s="16">
        <v>6</v>
      </c>
      <c r="D809" s="7">
        <v>14.935</v>
      </c>
      <c r="E809" s="8">
        <v>4</v>
      </c>
      <c r="F809" s="9">
        <v>0.33913625711000001</v>
      </c>
      <c r="G809" s="44">
        <v>47000</v>
      </c>
      <c r="H809" s="50">
        <f t="shared" si="12"/>
        <v>47</v>
      </c>
    </row>
    <row r="810" spans="1:8" ht="38.25" x14ac:dyDescent="0.2">
      <c r="A810" s="14" t="s">
        <v>489</v>
      </c>
      <c r="B810" s="6" t="s">
        <v>500</v>
      </c>
      <c r="C810" s="16">
        <v>6</v>
      </c>
      <c r="D810" s="7">
        <v>20.213125000000002</v>
      </c>
      <c r="E810" s="8">
        <v>15</v>
      </c>
      <c r="F810" s="9">
        <v>0.16999783556</v>
      </c>
      <c r="G810" s="44">
        <v>47000</v>
      </c>
      <c r="H810" s="50">
        <f t="shared" si="12"/>
        <v>47</v>
      </c>
    </row>
    <row r="811" spans="1:8" ht="25.5" x14ac:dyDescent="0.2">
      <c r="A811" s="14" t="s">
        <v>489</v>
      </c>
      <c r="B811" s="6" t="s">
        <v>25</v>
      </c>
      <c r="C811" s="12">
        <v>6</v>
      </c>
      <c r="D811" s="7">
        <v>20.864999999999998</v>
      </c>
      <c r="E811" s="8">
        <v>2</v>
      </c>
      <c r="F811" s="9">
        <v>0.16999760363999999</v>
      </c>
      <c r="G811" s="44">
        <v>47000</v>
      </c>
      <c r="H811" s="50">
        <f t="shared" si="12"/>
        <v>47</v>
      </c>
    </row>
    <row r="812" spans="1:8" ht="25.5" x14ac:dyDescent="0.2">
      <c r="A812" s="14" t="s">
        <v>489</v>
      </c>
      <c r="B812" s="6" t="s">
        <v>33</v>
      </c>
      <c r="C812" s="16">
        <v>6</v>
      </c>
      <c r="D812" s="7">
        <v>23.692499999999999</v>
      </c>
      <c r="E812" s="8">
        <v>4</v>
      </c>
      <c r="F812" s="9">
        <v>0.17001160705000001</v>
      </c>
      <c r="G812" s="44">
        <v>47000</v>
      </c>
      <c r="H812" s="50">
        <f t="shared" si="12"/>
        <v>47</v>
      </c>
    </row>
    <row r="813" spans="1:8" ht="25.5" x14ac:dyDescent="0.2">
      <c r="A813" s="14" t="s">
        <v>8</v>
      </c>
      <c r="B813" s="6" t="s">
        <v>25</v>
      </c>
      <c r="C813" s="12">
        <v>6</v>
      </c>
      <c r="D813" s="7">
        <v>24.46</v>
      </c>
      <c r="E813" s="8">
        <v>4</v>
      </c>
      <c r="F813" s="9">
        <v>0.33891046607000003</v>
      </c>
      <c r="G813" s="44">
        <v>47000</v>
      </c>
      <c r="H813" s="50">
        <f t="shared" si="12"/>
        <v>47</v>
      </c>
    </row>
    <row r="814" spans="1:8" ht="25.5" x14ac:dyDescent="0.2">
      <c r="A814" s="14" t="s">
        <v>8</v>
      </c>
      <c r="B814" s="6" t="s">
        <v>33</v>
      </c>
      <c r="C814" s="16">
        <v>6</v>
      </c>
      <c r="D814" s="7">
        <v>40.1</v>
      </c>
      <c r="E814" s="8">
        <v>2</v>
      </c>
      <c r="F814" s="9">
        <v>0.33892768080000002</v>
      </c>
      <c r="G814" s="44">
        <v>47000</v>
      </c>
      <c r="H814" s="50">
        <f t="shared" si="12"/>
        <v>47</v>
      </c>
    </row>
    <row r="815" spans="1:8" x14ac:dyDescent="0.2">
      <c r="A815" s="14" t="s">
        <v>562</v>
      </c>
      <c r="B815" s="6" t="s">
        <v>573</v>
      </c>
      <c r="C815" s="16">
        <v>6</v>
      </c>
      <c r="D815" s="7">
        <v>693.58947369999999</v>
      </c>
      <c r="E815" s="8">
        <v>19</v>
      </c>
      <c r="F815" s="9">
        <v>0.26199147076000001</v>
      </c>
      <c r="G815" s="44">
        <v>47035</v>
      </c>
      <c r="H815" s="50">
        <f t="shared" si="12"/>
        <v>47</v>
      </c>
    </row>
    <row r="816" spans="1:8" ht="38.25" x14ac:dyDescent="0.2">
      <c r="A816" s="14" t="s">
        <v>489</v>
      </c>
      <c r="B816" s="6" t="s">
        <v>502</v>
      </c>
      <c r="C816" s="16">
        <v>6</v>
      </c>
      <c r="D816" s="7">
        <v>19.328888899999999</v>
      </c>
      <c r="E816" s="8">
        <v>9</v>
      </c>
      <c r="F816" s="9">
        <v>0.16999885031</v>
      </c>
      <c r="G816" s="44">
        <v>47150</v>
      </c>
      <c r="H816" s="50">
        <f t="shared" si="12"/>
        <v>47</v>
      </c>
    </row>
    <row r="817" spans="1:8" x14ac:dyDescent="0.2">
      <c r="A817" s="14" t="s">
        <v>562</v>
      </c>
      <c r="B817" s="6" t="s">
        <v>578</v>
      </c>
      <c r="C817" s="16">
        <v>6</v>
      </c>
      <c r="D817" s="7">
        <v>969.68499999999995</v>
      </c>
      <c r="E817" s="8">
        <v>19</v>
      </c>
      <c r="F817" s="9">
        <v>0.24774632999000001</v>
      </c>
      <c r="G817" s="44">
        <v>47900</v>
      </c>
      <c r="H817" s="50">
        <f t="shared" si="12"/>
        <v>47</v>
      </c>
    </row>
    <row r="818" spans="1:8" ht="38.25" x14ac:dyDescent="0.2">
      <c r="A818" s="14" t="s">
        <v>287</v>
      </c>
      <c r="B818" s="6" t="s">
        <v>288</v>
      </c>
      <c r="C818" s="12">
        <v>6</v>
      </c>
      <c r="D818" s="7">
        <v>151.45051280000001</v>
      </c>
      <c r="E818" s="8">
        <v>76</v>
      </c>
      <c r="F818" s="9">
        <v>0.24042782021</v>
      </c>
      <c r="G818" s="44">
        <v>49124</v>
      </c>
      <c r="H818" s="50">
        <f t="shared" si="12"/>
        <v>49</v>
      </c>
    </row>
    <row r="819" spans="1:8" ht="38.25" x14ac:dyDescent="0.2">
      <c r="A819" s="14" t="s">
        <v>562</v>
      </c>
      <c r="B819" s="6" t="s">
        <v>583</v>
      </c>
      <c r="C819" s="12">
        <v>6</v>
      </c>
      <c r="D819" s="7">
        <v>785.02499999999998</v>
      </c>
      <c r="E819" s="8">
        <v>4</v>
      </c>
      <c r="F819" s="9">
        <v>0.24821311423</v>
      </c>
      <c r="G819" s="44">
        <v>50065</v>
      </c>
      <c r="H819" s="50">
        <f t="shared" si="12"/>
        <v>50</v>
      </c>
    </row>
    <row r="820" spans="1:8" ht="25.5" x14ac:dyDescent="0.2">
      <c r="A820" s="14" t="s">
        <v>562</v>
      </c>
      <c r="B820" s="6" t="s">
        <v>566</v>
      </c>
      <c r="C820" s="16">
        <v>6</v>
      </c>
      <c r="D820" s="7">
        <v>1356.05</v>
      </c>
      <c r="E820" s="8">
        <v>8</v>
      </c>
      <c r="F820" s="9">
        <v>0.24743335423000001</v>
      </c>
      <c r="G820" s="44">
        <v>51011</v>
      </c>
      <c r="H820" s="50">
        <f t="shared" si="12"/>
        <v>51</v>
      </c>
    </row>
    <row r="821" spans="1:8" ht="38.25" x14ac:dyDescent="0.2">
      <c r="A821" s="14" t="s">
        <v>562</v>
      </c>
      <c r="B821" s="6" t="s">
        <v>587</v>
      </c>
      <c r="C821" s="16">
        <v>6</v>
      </c>
      <c r="D821" s="7">
        <v>528.6</v>
      </c>
      <c r="E821" s="8">
        <v>1</v>
      </c>
      <c r="F821" s="9">
        <v>0.28461975027999997</v>
      </c>
      <c r="G821" s="44">
        <v>52022</v>
      </c>
      <c r="H821" s="50">
        <f t="shared" si="12"/>
        <v>52</v>
      </c>
    </row>
    <row r="822" spans="1:8" ht="38.25" x14ac:dyDescent="0.2">
      <c r="A822" s="14" t="s">
        <v>8</v>
      </c>
      <c r="B822" s="6" t="s">
        <v>74</v>
      </c>
      <c r="C822" s="16">
        <v>6</v>
      </c>
      <c r="D822" s="7">
        <v>915.02</v>
      </c>
      <c r="E822" s="8">
        <v>1</v>
      </c>
      <c r="F822" s="9">
        <v>0.38967454263000001</v>
      </c>
      <c r="G822" s="44">
        <v>53204</v>
      </c>
      <c r="H822" s="50">
        <f t="shared" si="12"/>
        <v>53</v>
      </c>
    </row>
    <row r="823" spans="1:8" ht="25.5" x14ac:dyDescent="0.2">
      <c r="A823" s="14" t="s">
        <v>112</v>
      </c>
      <c r="B823" s="6" t="s">
        <v>118</v>
      </c>
      <c r="C823" s="16">
        <v>6</v>
      </c>
      <c r="D823" s="7">
        <v>160.0586792</v>
      </c>
      <c r="E823" s="8">
        <v>18</v>
      </c>
      <c r="F823" s="9">
        <v>0.23493376838999999</v>
      </c>
      <c r="G823" s="44">
        <v>54000</v>
      </c>
      <c r="H823" s="50">
        <f t="shared" si="12"/>
        <v>54</v>
      </c>
    </row>
    <row r="824" spans="1:8" ht="25.5" x14ac:dyDescent="0.2">
      <c r="A824" s="14" t="s">
        <v>112</v>
      </c>
      <c r="B824" s="6" t="s">
        <v>119</v>
      </c>
      <c r="C824" s="12">
        <v>6</v>
      </c>
      <c r="D824" s="7">
        <v>184.1565152</v>
      </c>
      <c r="E824" s="8">
        <v>22</v>
      </c>
      <c r="F824" s="9">
        <v>0.21897784576000001</v>
      </c>
      <c r="G824" s="44">
        <v>54000</v>
      </c>
      <c r="H824" s="50">
        <f t="shared" si="12"/>
        <v>54</v>
      </c>
    </row>
    <row r="825" spans="1:8" ht="38.25" x14ac:dyDescent="0.2">
      <c r="A825" s="14" t="s">
        <v>562</v>
      </c>
      <c r="B825" s="6" t="s">
        <v>570</v>
      </c>
      <c r="C825" s="16">
        <v>6</v>
      </c>
      <c r="D825" s="7">
        <v>244.25</v>
      </c>
      <c r="E825" s="8">
        <v>14</v>
      </c>
      <c r="F825" s="9">
        <v>0.61387922211000001</v>
      </c>
      <c r="G825" s="44">
        <v>55025</v>
      </c>
      <c r="H825" s="50">
        <f t="shared" si="12"/>
        <v>55</v>
      </c>
    </row>
    <row r="826" spans="1:8" ht="38.25" x14ac:dyDescent="0.2">
      <c r="A826" s="14" t="s">
        <v>562</v>
      </c>
      <c r="B826" s="6" t="s">
        <v>577</v>
      </c>
      <c r="C826" s="12">
        <v>6</v>
      </c>
      <c r="D826" s="7">
        <v>843.18529409999996</v>
      </c>
      <c r="E826" s="8">
        <v>17</v>
      </c>
      <c r="F826" s="9">
        <v>0.26097508398000002</v>
      </c>
      <c r="G826" s="44">
        <v>55053</v>
      </c>
      <c r="H826" s="50">
        <f t="shared" si="12"/>
        <v>55</v>
      </c>
    </row>
    <row r="827" spans="1:8" ht="25.5" x14ac:dyDescent="0.2">
      <c r="A827" s="14" t="s">
        <v>287</v>
      </c>
      <c r="B827" s="6" t="s">
        <v>289</v>
      </c>
      <c r="C827" s="16">
        <v>6</v>
      </c>
      <c r="D827" s="7">
        <v>32.43</v>
      </c>
      <c r="E827" s="8">
        <v>1</v>
      </c>
      <c r="F827" s="9">
        <v>0.14609929078</v>
      </c>
      <c r="G827" s="44">
        <v>56000</v>
      </c>
      <c r="H827" s="50">
        <f t="shared" si="12"/>
        <v>56</v>
      </c>
    </row>
    <row r="828" spans="1:8" ht="25.5" x14ac:dyDescent="0.2">
      <c r="A828" s="14" t="s">
        <v>562</v>
      </c>
      <c r="B828" s="6" t="s">
        <v>588</v>
      </c>
      <c r="C828" s="16">
        <v>6</v>
      </c>
      <c r="D828" s="7">
        <v>586.81500000000005</v>
      </c>
      <c r="E828" s="8">
        <v>20</v>
      </c>
      <c r="F828" s="9">
        <v>0.27757163672000001</v>
      </c>
      <c r="G828" s="44">
        <v>56035</v>
      </c>
      <c r="H828" s="50">
        <f t="shared" si="12"/>
        <v>56</v>
      </c>
    </row>
    <row r="829" spans="1:8" ht="25.5" x14ac:dyDescent="0.2">
      <c r="A829" s="14" t="s">
        <v>562</v>
      </c>
      <c r="B829" s="6" t="s">
        <v>575</v>
      </c>
      <c r="C829" s="16">
        <v>6</v>
      </c>
      <c r="D829" s="7">
        <v>382.92700000000002</v>
      </c>
      <c r="E829" s="8">
        <v>20</v>
      </c>
      <c r="F829" s="9">
        <v>0.40384185497000002</v>
      </c>
      <c r="G829" s="44">
        <v>59013</v>
      </c>
      <c r="H829" s="50">
        <f t="shared" si="12"/>
        <v>59</v>
      </c>
    </row>
    <row r="830" spans="1:8" ht="25.5" x14ac:dyDescent="0.2">
      <c r="A830" s="14" t="s">
        <v>562</v>
      </c>
      <c r="B830" s="6" t="s">
        <v>574</v>
      </c>
      <c r="C830" s="12">
        <v>6</v>
      </c>
      <c r="D830" s="7">
        <v>1125.687619</v>
      </c>
      <c r="E830" s="8">
        <v>21</v>
      </c>
      <c r="F830" s="9">
        <v>0.25301267711999997</v>
      </c>
      <c r="G830" s="44">
        <v>59013</v>
      </c>
      <c r="H830" s="50">
        <f t="shared" si="12"/>
        <v>59</v>
      </c>
    </row>
    <row r="831" spans="1:8" ht="25.5" x14ac:dyDescent="0.2">
      <c r="A831" s="14" t="s">
        <v>298</v>
      </c>
      <c r="B831" s="6" t="s">
        <v>301</v>
      </c>
      <c r="C831" s="12">
        <v>6</v>
      </c>
      <c r="D831" s="7">
        <v>185.08226669999999</v>
      </c>
      <c r="E831" s="8">
        <v>28</v>
      </c>
      <c r="F831" s="9">
        <v>0.28075111823999999</v>
      </c>
      <c r="G831" s="44">
        <v>59147</v>
      </c>
      <c r="H831" s="50">
        <f t="shared" si="12"/>
        <v>59</v>
      </c>
    </row>
    <row r="832" spans="1:8" ht="25.5" x14ac:dyDescent="0.2">
      <c r="A832" s="14" t="s">
        <v>298</v>
      </c>
      <c r="B832" s="6" t="s">
        <v>300</v>
      </c>
      <c r="C832" s="16">
        <v>6</v>
      </c>
      <c r="D832" s="7">
        <v>33.624000000000002</v>
      </c>
      <c r="E832" s="8">
        <v>9</v>
      </c>
      <c r="F832" s="9">
        <v>1.8151796335999999</v>
      </c>
      <c r="G832" s="44">
        <v>59166</v>
      </c>
      <c r="H832" s="50">
        <f t="shared" si="12"/>
        <v>59</v>
      </c>
    </row>
    <row r="833" spans="1:8" ht="38.25" x14ac:dyDescent="0.2">
      <c r="A833" s="14" t="s">
        <v>8</v>
      </c>
      <c r="B833" s="6" t="s">
        <v>38</v>
      </c>
      <c r="C833" s="16">
        <v>6</v>
      </c>
      <c r="D833" s="7">
        <v>237.4722222</v>
      </c>
      <c r="E833" s="8">
        <v>9</v>
      </c>
      <c r="F833" s="9">
        <v>0.51923546614000005</v>
      </c>
      <c r="G833" s="44">
        <v>60126</v>
      </c>
      <c r="H833" s="50">
        <f t="shared" si="12"/>
        <v>60</v>
      </c>
    </row>
    <row r="834" spans="1:8" ht="25.5" x14ac:dyDescent="0.2">
      <c r="A834" s="14" t="s">
        <v>298</v>
      </c>
      <c r="B834" s="6" t="s">
        <v>299</v>
      </c>
      <c r="C834" s="12">
        <v>6</v>
      </c>
      <c r="D834" s="7">
        <v>356.21</v>
      </c>
      <c r="E834" s="8">
        <v>1</v>
      </c>
      <c r="F834" s="9">
        <v>0.17412668556999999</v>
      </c>
      <c r="G834" s="44">
        <v>62200</v>
      </c>
      <c r="H834" s="50">
        <f t="shared" si="12"/>
        <v>62</v>
      </c>
    </row>
    <row r="835" spans="1:8" ht="38.25" x14ac:dyDescent="0.2">
      <c r="A835" s="14" t="s">
        <v>8</v>
      </c>
      <c r="B835" s="6" t="s">
        <v>29</v>
      </c>
      <c r="C835" s="16">
        <v>6</v>
      </c>
      <c r="D835" s="7">
        <v>20.72</v>
      </c>
      <c r="E835" s="8">
        <v>1</v>
      </c>
      <c r="F835" s="9">
        <v>1.6081081081099999</v>
      </c>
      <c r="G835" s="44">
        <v>63000</v>
      </c>
      <c r="H835" s="50">
        <f t="shared" ref="H835:H898" si="13">IF(LEN(G835)=4,VALUE(LEFT(G835,1)),VALUE(LEFT(G835,2)))</f>
        <v>63</v>
      </c>
    </row>
    <row r="836" spans="1:8" ht="38.25" x14ac:dyDescent="0.2">
      <c r="A836" s="14" t="s">
        <v>489</v>
      </c>
      <c r="B836" s="6" t="s">
        <v>30</v>
      </c>
      <c r="C836" s="16">
        <v>6</v>
      </c>
      <c r="D836" s="7">
        <v>20.745000000000001</v>
      </c>
      <c r="E836" s="8">
        <v>2</v>
      </c>
      <c r="F836" s="9">
        <v>0.16999276933999999</v>
      </c>
      <c r="G836" s="44">
        <v>63000</v>
      </c>
      <c r="H836" s="50">
        <f t="shared" si="13"/>
        <v>63</v>
      </c>
    </row>
    <row r="837" spans="1:8" ht="38.25" x14ac:dyDescent="0.2">
      <c r="A837" s="14" t="s">
        <v>8</v>
      </c>
      <c r="B837" s="6" t="s">
        <v>30</v>
      </c>
      <c r="C837" s="16">
        <v>6</v>
      </c>
      <c r="D837" s="7">
        <v>28.254285700000001</v>
      </c>
      <c r="E837" s="8">
        <v>7</v>
      </c>
      <c r="F837" s="9">
        <v>0.33905854990000001</v>
      </c>
      <c r="G837" s="44">
        <v>63000</v>
      </c>
      <c r="H837" s="50">
        <f t="shared" si="13"/>
        <v>63</v>
      </c>
    </row>
    <row r="838" spans="1:8" ht="38.25" x14ac:dyDescent="0.2">
      <c r="A838" s="14" t="s">
        <v>291</v>
      </c>
      <c r="B838" s="6" t="s">
        <v>292</v>
      </c>
      <c r="C838" s="16">
        <v>6</v>
      </c>
      <c r="D838" s="7">
        <v>42.0129412</v>
      </c>
      <c r="E838" s="8">
        <v>12</v>
      </c>
      <c r="F838" s="9">
        <v>0.41411609867999999</v>
      </c>
      <c r="G838" s="44">
        <v>63000</v>
      </c>
      <c r="H838" s="50">
        <f t="shared" si="13"/>
        <v>63</v>
      </c>
    </row>
    <row r="839" spans="1:8" ht="25.5" x14ac:dyDescent="0.2">
      <c r="A839" s="14" t="s">
        <v>291</v>
      </c>
      <c r="B839" s="6" t="s">
        <v>296</v>
      </c>
      <c r="C839" s="16">
        <v>6</v>
      </c>
      <c r="D839" s="7">
        <v>108.8843636</v>
      </c>
      <c r="E839" s="8">
        <v>39</v>
      </c>
      <c r="F839" s="9">
        <v>0.37080939912999999</v>
      </c>
      <c r="G839" s="44">
        <v>63000</v>
      </c>
      <c r="H839" s="50">
        <f t="shared" si="13"/>
        <v>63</v>
      </c>
    </row>
    <row r="840" spans="1:8" ht="38.25" x14ac:dyDescent="0.2">
      <c r="A840" s="14" t="s">
        <v>291</v>
      </c>
      <c r="B840" s="6" t="s">
        <v>295</v>
      </c>
      <c r="C840" s="12">
        <v>6</v>
      </c>
      <c r="D840" s="7">
        <v>112.8642105</v>
      </c>
      <c r="E840" s="8">
        <v>41</v>
      </c>
      <c r="F840" s="9">
        <v>0.36294786779999999</v>
      </c>
      <c r="G840" s="44">
        <v>63000</v>
      </c>
      <c r="H840" s="50">
        <f t="shared" si="13"/>
        <v>63</v>
      </c>
    </row>
    <row r="841" spans="1:8" ht="25.5" x14ac:dyDescent="0.2">
      <c r="A841" s="14" t="s">
        <v>460</v>
      </c>
      <c r="B841" s="6" t="s">
        <v>296</v>
      </c>
      <c r="C841" s="12">
        <v>6</v>
      </c>
      <c r="D841" s="7">
        <v>118.24</v>
      </c>
      <c r="E841" s="8">
        <v>1</v>
      </c>
      <c r="F841" s="9">
        <v>0.53535182679000004</v>
      </c>
      <c r="G841" s="44">
        <v>63000</v>
      </c>
      <c r="H841" s="50">
        <f t="shared" si="13"/>
        <v>63</v>
      </c>
    </row>
    <row r="842" spans="1:8" ht="25.5" x14ac:dyDescent="0.2">
      <c r="A842" s="14" t="s">
        <v>604</v>
      </c>
      <c r="B842" s="6" t="s">
        <v>133</v>
      </c>
      <c r="C842" s="12">
        <v>6</v>
      </c>
      <c r="D842" s="7">
        <v>209.38</v>
      </c>
      <c r="E842" s="8">
        <v>1</v>
      </c>
      <c r="F842" s="9">
        <v>0.26749450758999999</v>
      </c>
      <c r="G842" s="44">
        <v>63000</v>
      </c>
      <c r="H842" s="50">
        <f t="shared" si="13"/>
        <v>63</v>
      </c>
    </row>
    <row r="843" spans="1:8" ht="38.25" x14ac:dyDescent="0.2">
      <c r="A843" s="14" t="s">
        <v>460</v>
      </c>
      <c r="B843" s="6" t="s">
        <v>295</v>
      </c>
      <c r="C843" s="16">
        <v>6</v>
      </c>
      <c r="D843" s="7">
        <v>218.47</v>
      </c>
      <c r="E843" s="8">
        <v>1</v>
      </c>
      <c r="F843" s="9">
        <v>0.28974229871000001</v>
      </c>
      <c r="G843" s="44">
        <v>63000</v>
      </c>
      <c r="H843" s="50">
        <f t="shared" si="13"/>
        <v>63</v>
      </c>
    </row>
    <row r="844" spans="1:8" ht="25.5" x14ac:dyDescent="0.2">
      <c r="A844" s="14" t="s">
        <v>291</v>
      </c>
      <c r="B844" s="6" t="s">
        <v>133</v>
      </c>
      <c r="C844" s="16">
        <v>6</v>
      </c>
      <c r="D844" s="7">
        <v>453.17399999999998</v>
      </c>
      <c r="E844" s="8">
        <v>3</v>
      </c>
      <c r="F844" s="9">
        <v>0.23994977646999999</v>
      </c>
      <c r="G844" s="44">
        <v>63000</v>
      </c>
      <c r="H844" s="50">
        <f t="shared" si="13"/>
        <v>63</v>
      </c>
    </row>
    <row r="845" spans="1:8" ht="38.25" x14ac:dyDescent="0.2">
      <c r="A845" s="14" t="s">
        <v>291</v>
      </c>
      <c r="B845" s="6" t="s">
        <v>293</v>
      </c>
      <c r="C845" s="16">
        <v>6</v>
      </c>
      <c r="D845" s="7">
        <v>76.007118599999998</v>
      </c>
      <c r="E845" s="8">
        <v>43</v>
      </c>
      <c r="F845" s="9">
        <v>0.22584860472000001</v>
      </c>
      <c r="G845" s="44">
        <v>63400</v>
      </c>
      <c r="H845" s="50">
        <f t="shared" si="13"/>
        <v>63</v>
      </c>
    </row>
    <row r="846" spans="1:8" ht="38.25" x14ac:dyDescent="0.2">
      <c r="A846" s="14" t="s">
        <v>460</v>
      </c>
      <c r="B846" s="6" t="s">
        <v>293</v>
      </c>
      <c r="C846" s="16">
        <v>6</v>
      </c>
      <c r="D846" s="7">
        <v>77.44</v>
      </c>
      <c r="E846" s="8">
        <v>1</v>
      </c>
      <c r="F846" s="9">
        <v>0.81740702479000005</v>
      </c>
      <c r="G846" s="44">
        <v>63400</v>
      </c>
      <c r="H846" s="50">
        <f t="shared" si="13"/>
        <v>63</v>
      </c>
    </row>
    <row r="847" spans="1:8" ht="25.5" x14ac:dyDescent="0.2">
      <c r="A847" s="14" t="s">
        <v>489</v>
      </c>
      <c r="B847" s="6" t="s">
        <v>523</v>
      </c>
      <c r="C847" s="16">
        <v>6</v>
      </c>
      <c r="D847" s="7">
        <v>17.941428599999998</v>
      </c>
      <c r="E847" s="8">
        <v>14</v>
      </c>
      <c r="F847" s="9">
        <v>0.16999761126999999</v>
      </c>
      <c r="G847" s="44">
        <v>64000</v>
      </c>
      <c r="H847" s="50">
        <f t="shared" si="13"/>
        <v>64</v>
      </c>
    </row>
    <row r="848" spans="1:8" ht="38.25" x14ac:dyDescent="0.2">
      <c r="A848" s="14" t="s">
        <v>489</v>
      </c>
      <c r="B848" s="6" t="s">
        <v>35</v>
      </c>
      <c r="C848" s="16">
        <v>6</v>
      </c>
      <c r="D848" s="7">
        <v>22.008571400000001</v>
      </c>
      <c r="E848" s="8">
        <v>7</v>
      </c>
      <c r="F848" s="9">
        <v>0.17000519278000001</v>
      </c>
      <c r="G848" s="44">
        <v>64000</v>
      </c>
      <c r="H848" s="50">
        <f t="shared" si="13"/>
        <v>64</v>
      </c>
    </row>
    <row r="849" spans="1:8" ht="38.25" x14ac:dyDescent="0.2">
      <c r="A849" s="14" t="s">
        <v>8</v>
      </c>
      <c r="B849" s="6" t="s">
        <v>35</v>
      </c>
      <c r="C849" s="16">
        <v>6</v>
      </c>
      <c r="D849" s="7">
        <v>23.344999999999999</v>
      </c>
      <c r="E849" s="8">
        <v>6</v>
      </c>
      <c r="F849" s="9">
        <v>0.33905904191000003</v>
      </c>
      <c r="G849" s="44">
        <v>64000</v>
      </c>
      <c r="H849" s="50">
        <f t="shared" si="13"/>
        <v>64</v>
      </c>
    </row>
    <row r="850" spans="1:8" ht="25.5" x14ac:dyDescent="0.2">
      <c r="A850" s="14" t="s">
        <v>8</v>
      </c>
      <c r="B850" s="6" t="s">
        <v>17</v>
      </c>
      <c r="C850" s="16">
        <v>6</v>
      </c>
      <c r="D850" s="7">
        <v>43.436666700000004</v>
      </c>
      <c r="E850" s="8">
        <v>3</v>
      </c>
      <c r="F850" s="9">
        <v>0.88373877676000001</v>
      </c>
      <c r="G850" s="44">
        <v>64230</v>
      </c>
      <c r="H850" s="50">
        <f t="shared" si="13"/>
        <v>64</v>
      </c>
    </row>
    <row r="851" spans="1:8" ht="38.25" x14ac:dyDescent="0.2">
      <c r="A851" s="14" t="s">
        <v>489</v>
      </c>
      <c r="B851" s="6" t="s">
        <v>524</v>
      </c>
      <c r="C851" s="12">
        <v>6</v>
      </c>
      <c r="D851" s="7">
        <v>16.331428599999999</v>
      </c>
      <c r="E851" s="8">
        <v>14</v>
      </c>
      <c r="F851" s="9">
        <v>0.17000087474</v>
      </c>
      <c r="G851" s="44">
        <v>64600</v>
      </c>
      <c r="H851" s="50">
        <f t="shared" si="13"/>
        <v>64</v>
      </c>
    </row>
    <row r="852" spans="1:8" ht="25.5" x14ac:dyDescent="0.2">
      <c r="A852" s="14" t="s">
        <v>593</v>
      </c>
      <c r="B852" s="6" t="s">
        <v>595</v>
      </c>
      <c r="C852" s="16">
        <v>6</v>
      </c>
      <c r="D852" s="7">
        <v>375.4210526</v>
      </c>
      <c r="E852" s="8">
        <v>18</v>
      </c>
      <c r="F852" s="9">
        <v>0.20330996775999999</v>
      </c>
      <c r="G852" s="44">
        <v>65000</v>
      </c>
      <c r="H852" s="50">
        <f t="shared" si="13"/>
        <v>65</v>
      </c>
    </row>
    <row r="853" spans="1:8" ht="25.5" x14ac:dyDescent="0.2">
      <c r="A853" s="14" t="s">
        <v>489</v>
      </c>
      <c r="B853" s="6" t="s">
        <v>497</v>
      </c>
      <c r="C853" s="12">
        <v>6</v>
      </c>
      <c r="D853" s="7">
        <v>36.321111100000003</v>
      </c>
      <c r="E853" s="8">
        <v>9</v>
      </c>
      <c r="F853" s="9">
        <v>0.17000214139</v>
      </c>
      <c r="G853" s="44">
        <v>66210</v>
      </c>
      <c r="H853" s="50">
        <f t="shared" si="13"/>
        <v>66</v>
      </c>
    </row>
    <row r="854" spans="1:8" ht="25.5" x14ac:dyDescent="0.2">
      <c r="A854" s="14" t="s">
        <v>8</v>
      </c>
      <c r="B854" s="6" t="s">
        <v>97</v>
      </c>
      <c r="C854" s="12">
        <v>6</v>
      </c>
      <c r="D854" s="7">
        <v>56.3333333</v>
      </c>
      <c r="E854" s="8">
        <v>3</v>
      </c>
      <c r="F854" s="9">
        <v>0.69568047337000005</v>
      </c>
      <c r="G854" s="44">
        <v>68000</v>
      </c>
      <c r="H854" s="50">
        <f t="shared" si="13"/>
        <v>68</v>
      </c>
    </row>
    <row r="855" spans="1:8" ht="25.5" x14ac:dyDescent="0.2">
      <c r="A855" s="14" t="s">
        <v>308</v>
      </c>
      <c r="B855" s="6" t="s">
        <v>97</v>
      </c>
      <c r="C855" s="16">
        <v>6</v>
      </c>
      <c r="D855" s="7">
        <v>209.87</v>
      </c>
      <c r="E855" s="8">
        <v>1</v>
      </c>
      <c r="F855" s="9">
        <v>0.22019821794</v>
      </c>
      <c r="G855" s="44">
        <v>68000</v>
      </c>
      <c r="H855" s="50">
        <f t="shared" si="13"/>
        <v>68</v>
      </c>
    </row>
    <row r="856" spans="1:8" ht="25.5" x14ac:dyDescent="0.2">
      <c r="A856" s="14" t="s">
        <v>291</v>
      </c>
      <c r="B856" s="6" t="s">
        <v>97</v>
      </c>
      <c r="C856" s="16">
        <v>6</v>
      </c>
      <c r="D856" s="7">
        <v>400.09</v>
      </c>
      <c r="E856" s="8">
        <v>1</v>
      </c>
      <c r="F856" s="9">
        <v>0.20931790347000001</v>
      </c>
      <c r="G856" s="44">
        <v>68000</v>
      </c>
      <c r="H856" s="50">
        <f t="shared" si="13"/>
        <v>68</v>
      </c>
    </row>
    <row r="857" spans="1:8" ht="25.5" x14ac:dyDescent="0.2">
      <c r="A857" s="14" t="s">
        <v>112</v>
      </c>
      <c r="B857" s="6" t="s">
        <v>97</v>
      </c>
      <c r="C857" s="16">
        <v>6</v>
      </c>
      <c r="D857" s="7">
        <v>526.47611110000003</v>
      </c>
      <c r="E857" s="8">
        <v>5</v>
      </c>
      <c r="F857" s="9">
        <v>9.2209312020000003E-2</v>
      </c>
      <c r="G857" s="44">
        <v>68000</v>
      </c>
      <c r="H857" s="50">
        <f t="shared" si="13"/>
        <v>68</v>
      </c>
    </row>
    <row r="858" spans="1:8" ht="25.5" x14ac:dyDescent="0.2">
      <c r="A858" s="14" t="s">
        <v>160</v>
      </c>
      <c r="B858" s="6" t="s">
        <v>97</v>
      </c>
      <c r="C858" s="16">
        <v>6</v>
      </c>
      <c r="D858" s="7">
        <v>575.16833329999997</v>
      </c>
      <c r="E858" s="8">
        <v>6</v>
      </c>
      <c r="F858" s="9">
        <v>0.25803750205999998</v>
      </c>
      <c r="G858" s="44">
        <v>68000</v>
      </c>
      <c r="H858" s="50">
        <f t="shared" si="13"/>
        <v>68</v>
      </c>
    </row>
    <row r="859" spans="1:8" ht="38.25" x14ac:dyDescent="0.2">
      <c r="A859" s="14" t="s">
        <v>8</v>
      </c>
      <c r="B859" s="6" t="s">
        <v>79</v>
      </c>
      <c r="C859" s="12">
        <v>6</v>
      </c>
      <c r="D859" s="7">
        <v>38</v>
      </c>
      <c r="E859" s="8">
        <v>4</v>
      </c>
      <c r="F859" s="9">
        <v>1.17013157895</v>
      </c>
      <c r="G859" s="44">
        <v>68210</v>
      </c>
      <c r="H859" s="50">
        <f t="shared" si="13"/>
        <v>68</v>
      </c>
    </row>
    <row r="860" spans="1:8" ht="38.25" x14ac:dyDescent="0.2">
      <c r="A860" s="14" t="s">
        <v>291</v>
      </c>
      <c r="B860" s="6" t="s">
        <v>126</v>
      </c>
      <c r="C860" s="16">
        <v>6</v>
      </c>
      <c r="D860" s="7">
        <v>18.185454499999999</v>
      </c>
      <c r="E860" s="8">
        <v>8</v>
      </c>
      <c r="F860" s="9">
        <v>0.66722155568999997</v>
      </c>
      <c r="G860" s="44">
        <v>69000</v>
      </c>
      <c r="H860" s="50">
        <f t="shared" si="13"/>
        <v>69</v>
      </c>
    </row>
    <row r="861" spans="1:8" ht="38.25" x14ac:dyDescent="0.2">
      <c r="A861" s="14" t="s">
        <v>604</v>
      </c>
      <c r="B861" s="6" t="s">
        <v>126</v>
      </c>
      <c r="C861" s="16">
        <v>6</v>
      </c>
      <c r="D861" s="7">
        <v>20.920857099999999</v>
      </c>
      <c r="E861" s="8">
        <v>22</v>
      </c>
      <c r="F861" s="9">
        <v>1.13024596097</v>
      </c>
      <c r="G861" s="44">
        <v>69000</v>
      </c>
      <c r="H861" s="50">
        <f t="shared" si="13"/>
        <v>69</v>
      </c>
    </row>
    <row r="862" spans="1:8" ht="38.25" x14ac:dyDescent="0.2">
      <c r="A862" s="14" t="s">
        <v>556</v>
      </c>
      <c r="B862" s="6" t="s">
        <v>137</v>
      </c>
      <c r="C862" s="12">
        <v>6</v>
      </c>
      <c r="D862" s="7">
        <v>36.159999999999997</v>
      </c>
      <c r="E862" s="8">
        <v>2</v>
      </c>
      <c r="F862" s="9">
        <v>0.29051438053</v>
      </c>
      <c r="G862" s="44">
        <v>69000</v>
      </c>
      <c r="H862" s="50">
        <f t="shared" si="13"/>
        <v>69</v>
      </c>
    </row>
    <row r="863" spans="1:8" ht="38.25" x14ac:dyDescent="0.2">
      <c r="A863" s="14" t="s">
        <v>134</v>
      </c>
      <c r="B863" s="6" t="s">
        <v>137</v>
      </c>
      <c r="C863" s="16">
        <v>6</v>
      </c>
      <c r="D863" s="7">
        <v>43.361538500000002</v>
      </c>
      <c r="E863" s="8">
        <v>5</v>
      </c>
      <c r="F863" s="9">
        <v>0.34964874933000001</v>
      </c>
      <c r="G863" s="44">
        <v>69000</v>
      </c>
      <c r="H863" s="50">
        <f t="shared" si="13"/>
        <v>69</v>
      </c>
    </row>
    <row r="864" spans="1:8" x14ac:dyDescent="0.2">
      <c r="A864" s="14" t="s">
        <v>134</v>
      </c>
      <c r="B864" s="6" t="s">
        <v>143</v>
      </c>
      <c r="C864" s="16">
        <v>6</v>
      </c>
      <c r="D864" s="7">
        <v>203.96761900000001</v>
      </c>
      <c r="E864" s="8">
        <v>11</v>
      </c>
      <c r="F864" s="9">
        <v>0.20542453050000001</v>
      </c>
      <c r="G864" s="44">
        <v>69002</v>
      </c>
      <c r="H864" s="50">
        <f t="shared" si="13"/>
        <v>69</v>
      </c>
    </row>
    <row r="865" spans="1:8" x14ac:dyDescent="0.2">
      <c r="A865" s="14" t="s">
        <v>556</v>
      </c>
      <c r="B865" s="6" t="s">
        <v>143</v>
      </c>
      <c r="C865" s="12">
        <v>6</v>
      </c>
      <c r="D865" s="7">
        <v>245.5937931</v>
      </c>
      <c r="E865" s="8">
        <v>24</v>
      </c>
      <c r="F865" s="9">
        <v>0.18353406662999999</v>
      </c>
      <c r="G865" s="44">
        <v>69002</v>
      </c>
      <c r="H865" s="50">
        <f t="shared" si="13"/>
        <v>69</v>
      </c>
    </row>
    <row r="866" spans="1:8" x14ac:dyDescent="0.2">
      <c r="A866" s="14" t="s">
        <v>134</v>
      </c>
      <c r="B866" s="6" t="s">
        <v>152</v>
      </c>
      <c r="C866" s="16">
        <v>6</v>
      </c>
      <c r="D866" s="7">
        <v>52.458888899999998</v>
      </c>
      <c r="E866" s="8">
        <v>7</v>
      </c>
      <c r="F866" s="9">
        <v>0.32825704784999998</v>
      </c>
      <c r="G866" s="44">
        <v>69006</v>
      </c>
      <c r="H866" s="50">
        <f t="shared" si="13"/>
        <v>69</v>
      </c>
    </row>
    <row r="867" spans="1:8" x14ac:dyDescent="0.2">
      <c r="A867" s="14" t="s">
        <v>556</v>
      </c>
      <c r="B867" s="6" t="s">
        <v>152</v>
      </c>
      <c r="C867" s="16">
        <v>6</v>
      </c>
      <c r="D867" s="7">
        <v>151.05333329999999</v>
      </c>
      <c r="E867" s="8">
        <v>2</v>
      </c>
      <c r="F867" s="9">
        <v>0.21253861770999999</v>
      </c>
      <c r="G867" s="44">
        <v>69006</v>
      </c>
      <c r="H867" s="50">
        <f t="shared" si="13"/>
        <v>69</v>
      </c>
    </row>
    <row r="868" spans="1:8" ht="38.25" x14ac:dyDescent="0.2">
      <c r="A868" s="14" t="s">
        <v>556</v>
      </c>
      <c r="B868" s="6" t="s">
        <v>153</v>
      </c>
      <c r="C868" s="16">
        <v>6</v>
      </c>
      <c r="D868" s="7">
        <v>56.61</v>
      </c>
      <c r="E868" s="8">
        <v>4</v>
      </c>
      <c r="F868" s="9">
        <v>0.22268150503</v>
      </c>
      <c r="G868" s="44">
        <v>69100</v>
      </c>
      <c r="H868" s="50">
        <f t="shared" si="13"/>
        <v>69</v>
      </c>
    </row>
    <row r="869" spans="1:8" ht="38.25" x14ac:dyDescent="0.2">
      <c r="A869" s="14" t="s">
        <v>134</v>
      </c>
      <c r="B869" s="6" t="s">
        <v>153</v>
      </c>
      <c r="C869" s="16">
        <v>6</v>
      </c>
      <c r="D869" s="7">
        <v>75.832999999999998</v>
      </c>
      <c r="E869" s="8">
        <v>7</v>
      </c>
      <c r="F869" s="9">
        <v>0.25450529452999998</v>
      </c>
      <c r="G869" s="44">
        <v>69100</v>
      </c>
      <c r="H869" s="50">
        <f t="shared" si="13"/>
        <v>69</v>
      </c>
    </row>
    <row r="870" spans="1:8" ht="38.25" x14ac:dyDescent="0.2">
      <c r="A870" s="14" t="s">
        <v>134</v>
      </c>
      <c r="B870" s="6" t="s">
        <v>159</v>
      </c>
      <c r="C870" s="16">
        <v>6</v>
      </c>
      <c r="D870" s="7">
        <v>268.8</v>
      </c>
      <c r="E870" s="8">
        <v>1</v>
      </c>
      <c r="F870" s="9">
        <v>0.21901971726</v>
      </c>
      <c r="G870" s="44">
        <v>69490</v>
      </c>
      <c r="H870" s="50">
        <f t="shared" si="13"/>
        <v>69</v>
      </c>
    </row>
    <row r="871" spans="1:8" ht="38.25" x14ac:dyDescent="0.2">
      <c r="A871" s="14" t="s">
        <v>160</v>
      </c>
      <c r="B871" s="6" t="s">
        <v>159</v>
      </c>
      <c r="C871" s="16">
        <v>6</v>
      </c>
      <c r="D871" s="7">
        <v>405.65</v>
      </c>
      <c r="E871" s="8">
        <v>2</v>
      </c>
      <c r="F871" s="9">
        <v>0.22401207938000001</v>
      </c>
      <c r="G871" s="44">
        <v>69490</v>
      </c>
      <c r="H871" s="50">
        <f t="shared" si="13"/>
        <v>69</v>
      </c>
    </row>
    <row r="872" spans="1:8" ht="25.5" x14ac:dyDescent="0.2">
      <c r="A872" s="14" t="s">
        <v>134</v>
      </c>
      <c r="B872" s="6" t="s">
        <v>141</v>
      </c>
      <c r="C872" s="16">
        <v>6</v>
      </c>
      <c r="D872" s="7">
        <v>368.21</v>
      </c>
      <c r="E872" s="8">
        <v>5</v>
      </c>
      <c r="F872" s="9">
        <v>0.22479454659000001</v>
      </c>
      <c r="G872" s="44">
        <v>69500</v>
      </c>
      <c r="H872" s="50">
        <f t="shared" si="13"/>
        <v>69</v>
      </c>
    </row>
    <row r="873" spans="1:8" ht="25.5" x14ac:dyDescent="0.2">
      <c r="A873" s="14" t="s">
        <v>556</v>
      </c>
      <c r="B873" s="6" t="s">
        <v>141</v>
      </c>
      <c r="C873" s="16">
        <v>6</v>
      </c>
      <c r="D873" s="7">
        <v>401.85</v>
      </c>
      <c r="E873" s="8">
        <v>10</v>
      </c>
      <c r="F873" s="9">
        <v>0.10506308323999999</v>
      </c>
      <c r="G873" s="44">
        <v>69500</v>
      </c>
      <c r="H873" s="50">
        <f t="shared" si="13"/>
        <v>69</v>
      </c>
    </row>
    <row r="874" spans="1:8" ht="25.5" x14ac:dyDescent="0.2">
      <c r="A874" s="14" t="s">
        <v>160</v>
      </c>
      <c r="B874" s="6" t="s">
        <v>158</v>
      </c>
      <c r="C874" s="16">
        <v>6</v>
      </c>
      <c r="D874" s="7">
        <v>311.64659569999998</v>
      </c>
      <c r="E874" s="8">
        <v>47</v>
      </c>
      <c r="F874" s="9">
        <v>0.22633452103000001</v>
      </c>
      <c r="G874" s="44">
        <v>69530</v>
      </c>
      <c r="H874" s="50">
        <f t="shared" si="13"/>
        <v>69</v>
      </c>
    </row>
    <row r="875" spans="1:8" ht="25.5" x14ac:dyDescent="0.2">
      <c r="A875" s="14" t="s">
        <v>134</v>
      </c>
      <c r="B875" s="6" t="s">
        <v>158</v>
      </c>
      <c r="C875" s="16">
        <v>6</v>
      </c>
      <c r="D875" s="7">
        <v>470.21</v>
      </c>
      <c r="E875" s="8">
        <v>1</v>
      </c>
      <c r="F875" s="9">
        <v>0.21652559495000001</v>
      </c>
      <c r="G875" s="44">
        <v>69530</v>
      </c>
      <c r="H875" s="50">
        <f t="shared" si="13"/>
        <v>69</v>
      </c>
    </row>
    <row r="876" spans="1:8" x14ac:dyDescent="0.2">
      <c r="A876" s="14" t="s">
        <v>134</v>
      </c>
      <c r="B876" s="6" t="s">
        <v>144</v>
      </c>
      <c r="C876" s="16">
        <v>6</v>
      </c>
      <c r="D876" s="7">
        <v>125.99</v>
      </c>
      <c r="E876" s="8">
        <v>2</v>
      </c>
      <c r="F876" s="9">
        <v>0.24109849988000001</v>
      </c>
      <c r="G876" s="44">
        <v>69700</v>
      </c>
      <c r="H876" s="50">
        <f t="shared" si="13"/>
        <v>69</v>
      </c>
    </row>
    <row r="877" spans="1:8" x14ac:dyDescent="0.2">
      <c r="A877" s="14" t="s">
        <v>556</v>
      </c>
      <c r="B877" s="6" t="s">
        <v>144</v>
      </c>
      <c r="C877" s="16">
        <v>6</v>
      </c>
      <c r="D877" s="7">
        <v>398.66666670000001</v>
      </c>
      <c r="E877" s="8">
        <v>2</v>
      </c>
      <c r="F877" s="9">
        <v>0.20765050166999999</v>
      </c>
      <c r="G877" s="44">
        <v>69700</v>
      </c>
      <c r="H877" s="50">
        <f t="shared" si="13"/>
        <v>69</v>
      </c>
    </row>
    <row r="878" spans="1:8" ht="38.25" x14ac:dyDescent="0.2">
      <c r="A878" s="14" t="s">
        <v>8</v>
      </c>
      <c r="B878" s="6" t="s">
        <v>68</v>
      </c>
      <c r="C878" s="16">
        <v>6</v>
      </c>
      <c r="D878" s="7">
        <v>50.43</v>
      </c>
      <c r="E878" s="8">
        <v>1</v>
      </c>
      <c r="F878" s="9">
        <v>0.72080111044999995</v>
      </c>
      <c r="G878" s="44">
        <v>69805</v>
      </c>
      <c r="H878" s="50">
        <f t="shared" si="13"/>
        <v>69</v>
      </c>
    </row>
    <row r="879" spans="1:8" ht="25.5" x14ac:dyDescent="0.2">
      <c r="A879" s="14" t="s">
        <v>556</v>
      </c>
      <c r="B879" s="6" t="s">
        <v>557</v>
      </c>
      <c r="C879" s="16">
        <v>6</v>
      </c>
      <c r="D879" s="7">
        <v>37.006666699999997</v>
      </c>
      <c r="E879" s="8">
        <v>2</v>
      </c>
      <c r="F879" s="9">
        <v>0.37849036209999998</v>
      </c>
      <c r="G879" s="44">
        <v>69890</v>
      </c>
      <c r="H879" s="50">
        <f t="shared" si="13"/>
        <v>69</v>
      </c>
    </row>
    <row r="880" spans="1:8" x14ac:dyDescent="0.2">
      <c r="A880" s="14" t="s">
        <v>134</v>
      </c>
      <c r="B880" s="6" t="s">
        <v>142</v>
      </c>
      <c r="C880" s="12">
        <v>6</v>
      </c>
      <c r="D880" s="7">
        <v>18.159047600000001</v>
      </c>
      <c r="E880" s="8">
        <v>10</v>
      </c>
      <c r="F880" s="9">
        <v>0.78964965646999996</v>
      </c>
      <c r="G880" s="44">
        <v>69960</v>
      </c>
      <c r="H880" s="50">
        <f t="shared" si="13"/>
        <v>69</v>
      </c>
    </row>
    <row r="881" spans="1:8" x14ac:dyDescent="0.2">
      <c r="A881" s="14" t="s">
        <v>556</v>
      </c>
      <c r="B881" s="6" t="s">
        <v>142</v>
      </c>
      <c r="C881" s="12">
        <v>6</v>
      </c>
      <c r="D881" s="7">
        <v>24.732500000000002</v>
      </c>
      <c r="E881" s="8">
        <v>16</v>
      </c>
      <c r="F881" s="9">
        <v>0.64804840363000005</v>
      </c>
      <c r="G881" s="44">
        <v>69960</v>
      </c>
      <c r="H881" s="50">
        <f t="shared" si="13"/>
        <v>69</v>
      </c>
    </row>
    <row r="882" spans="1:8" ht="25.5" x14ac:dyDescent="0.2">
      <c r="A882" s="14" t="s">
        <v>134</v>
      </c>
      <c r="B882" s="6" t="s">
        <v>138</v>
      </c>
      <c r="C882" s="16">
        <v>6</v>
      </c>
      <c r="D882" s="7">
        <v>82.742000000000004</v>
      </c>
      <c r="E882" s="8">
        <v>3</v>
      </c>
      <c r="F882" s="9">
        <v>0.25824128012000003</v>
      </c>
      <c r="G882" s="44">
        <v>69960</v>
      </c>
      <c r="H882" s="50">
        <f t="shared" si="13"/>
        <v>69</v>
      </c>
    </row>
    <row r="883" spans="1:8" ht="25.5" x14ac:dyDescent="0.2">
      <c r="A883" s="14" t="s">
        <v>160</v>
      </c>
      <c r="B883" s="6" t="s">
        <v>138</v>
      </c>
      <c r="C883" s="16">
        <v>6</v>
      </c>
      <c r="D883" s="7">
        <v>101.79695649999999</v>
      </c>
      <c r="E883" s="8">
        <v>23</v>
      </c>
      <c r="F883" s="9">
        <v>0.24696561355999999</v>
      </c>
      <c r="G883" s="44">
        <v>69960</v>
      </c>
      <c r="H883" s="50">
        <f t="shared" si="13"/>
        <v>69</v>
      </c>
    </row>
    <row r="884" spans="1:8" ht="25.5" x14ac:dyDescent="0.2">
      <c r="A884" s="14" t="s">
        <v>291</v>
      </c>
      <c r="B884" s="6" t="s">
        <v>124</v>
      </c>
      <c r="C884" s="16">
        <v>6</v>
      </c>
      <c r="D884" s="7">
        <v>17.662500000000001</v>
      </c>
      <c r="E884" s="8">
        <v>9</v>
      </c>
      <c r="F884" s="9">
        <v>0.66011323425000001</v>
      </c>
      <c r="G884" s="44">
        <v>71000</v>
      </c>
      <c r="H884" s="50">
        <f t="shared" si="13"/>
        <v>71</v>
      </c>
    </row>
    <row r="885" spans="1:8" ht="25.5" x14ac:dyDescent="0.2">
      <c r="A885" s="14" t="s">
        <v>604</v>
      </c>
      <c r="B885" s="6" t="s">
        <v>124</v>
      </c>
      <c r="C885" s="16">
        <v>6</v>
      </c>
      <c r="D885" s="7">
        <v>18.926976700000001</v>
      </c>
      <c r="E885" s="8">
        <v>25</v>
      </c>
      <c r="F885" s="9">
        <v>1.2523271815799999</v>
      </c>
      <c r="G885" s="44">
        <v>71000</v>
      </c>
      <c r="H885" s="50">
        <f t="shared" si="13"/>
        <v>71</v>
      </c>
    </row>
    <row r="886" spans="1:8" ht="38.25" x14ac:dyDescent="0.2">
      <c r="A886" s="14" t="s">
        <v>291</v>
      </c>
      <c r="B886" s="6" t="s">
        <v>181</v>
      </c>
      <c r="C886" s="16">
        <v>6</v>
      </c>
      <c r="D886" s="7">
        <v>144.4975</v>
      </c>
      <c r="E886" s="8">
        <v>9</v>
      </c>
      <c r="F886" s="9">
        <v>0.39220805435</v>
      </c>
      <c r="G886" s="44">
        <v>71000</v>
      </c>
      <c r="H886" s="50">
        <f t="shared" si="13"/>
        <v>71</v>
      </c>
    </row>
    <row r="887" spans="1:8" ht="38.25" x14ac:dyDescent="0.2">
      <c r="A887" s="14" t="s">
        <v>160</v>
      </c>
      <c r="B887" s="6" t="s">
        <v>181</v>
      </c>
      <c r="C887" s="16">
        <v>6</v>
      </c>
      <c r="D887" s="7">
        <v>218.84444439999999</v>
      </c>
      <c r="E887" s="8">
        <v>9</v>
      </c>
      <c r="F887" s="9">
        <v>0.34331336311999999</v>
      </c>
      <c r="G887" s="44">
        <v>71000</v>
      </c>
      <c r="H887" s="50">
        <f t="shared" si="13"/>
        <v>71</v>
      </c>
    </row>
    <row r="888" spans="1:8" ht="25.5" x14ac:dyDescent="0.2">
      <c r="A888" s="14" t="s">
        <v>134</v>
      </c>
      <c r="B888" s="6" t="s">
        <v>157</v>
      </c>
      <c r="C888" s="12">
        <v>6</v>
      </c>
      <c r="D888" s="7">
        <v>161.39074070000001</v>
      </c>
      <c r="E888" s="8">
        <v>16</v>
      </c>
      <c r="F888" s="9">
        <v>7.8232034059999997E-2</v>
      </c>
      <c r="G888" s="44">
        <v>73000</v>
      </c>
      <c r="H888" s="50">
        <f t="shared" si="13"/>
        <v>73</v>
      </c>
    </row>
    <row r="889" spans="1:8" ht="25.5" x14ac:dyDescent="0.2">
      <c r="A889" s="14" t="s">
        <v>556</v>
      </c>
      <c r="B889" s="6" t="s">
        <v>140</v>
      </c>
      <c r="C889" s="16">
        <v>6</v>
      </c>
      <c r="D889" s="7">
        <v>168.17018179999999</v>
      </c>
      <c r="E889" s="8">
        <v>43</v>
      </c>
      <c r="F889" s="9">
        <v>0.17499113452000001</v>
      </c>
      <c r="G889" s="44">
        <v>73000</v>
      </c>
      <c r="H889" s="50">
        <f t="shared" si="13"/>
        <v>73</v>
      </c>
    </row>
    <row r="890" spans="1:8" ht="25.5" x14ac:dyDescent="0.2">
      <c r="A890" s="14" t="s">
        <v>556</v>
      </c>
      <c r="B890" s="6" t="s">
        <v>157</v>
      </c>
      <c r="C890" s="12">
        <v>6</v>
      </c>
      <c r="D890" s="7">
        <v>169.57384619999999</v>
      </c>
      <c r="E890" s="8">
        <v>31</v>
      </c>
      <c r="F890" s="9">
        <v>0.17307942383</v>
      </c>
      <c r="G890" s="44">
        <v>73000</v>
      </c>
      <c r="H890" s="50">
        <f t="shared" si="13"/>
        <v>73</v>
      </c>
    </row>
    <row r="891" spans="1:8" ht="25.5" x14ac:dyDescent="0.2">
      <c r="A891" s="14" t="s">
        <v>134</v>
      </c>
      <c r="B891" s="6" t="s">
        <v>140</v>
      </c>
      <c r="C891" s="16">
        <v>6</v>
      </c>
      <c r="D891" s="7">
        <v>241.28864859999999</v>
      </c>
      <c r="E891" s="8">
        <v>20</v>
      </c>
      <c r="F891" s="9">
        <v>0.20624574358</v>
      </c>
      <c r="G891" s="44">
        <v>73000</v>
      </c>
      <c r="H891" s="50">
        <f t="shared" si="13"/>
        <v>73</v>
      </c>
    </row>
    <row r="892" spans="1:8" ht="25.5" x14ac:dyDescent="0.2">
      <c r="A892" s="14" t="s">
        <v>8</v>
      </c>
      <c r="B892" s="6" t="s">
        <v>14</v>
      </c>
      <c r="C892" s="16">
        <v>6</v>
      </c>
      <c r="D892" s="7">
        <v>145.9533333</v>
      </c>
      <c r="E892" s="8">
        <v>6</v>
      </c>
      <c r="F892" s="9">
        <v>0.57505138628999997</v>
      </c>
      <c r="G892" s="44">
        <v>73120</v>
      </c>
      <c r="H892" s="50">
        <f t="shared" si="13"/>
        <v>73</v>
      </c>
    </row>
    <row r="893" spans="1:8" ht="38.25" x14ac:dyDescent="0.2">
      <c r="A893" s="14" t="s">
        <v>8</v>
      </c>
      <c r="B893" s="6" t="s">
        <v>81</v>
      </c>
      <c r="C893" s="16">
        <v>6</v>
      </c>
      <c r="D893" s="7">
        <v>85.41</v>
      </c>
      <c r="E893" s="8">
        <v>4</v>
      </c>
      <c r="F893" s="9">
        <v>0.46669008312999999</v>
      </c>
      <c r="G893" s="44">
        <v>73440</v>
      </c>
      <c r="H893" s="50">
        <f t="shared" si="13"/>
        <v>73</v>
      </c>
    </row>
    <row r="894" spans="1:8" ht="25.5" x14ac:dyDescent="0.2">
      <c r="A894" s="14" t="s">
        <v>556</v>
      </c>
      <c r="B894" s="6" t="s">
        <v>149</v>
      </c>
      <c r="C894" s="12">
        <v>6</v>
      </c>
      <c r="D894" s="7">
        <v>39.856944400000003</v>
      </c>
      <c r="E894" s="8">
        <v>20</v>
      </c>
      <c r="F894" s="9">
        <v>0.38744816530999998</v>
      </c>
      <c r="G894" s="44">
        <v>74000</v>
      </c>
      <c r="H894" s="50">
        <f t="shared" si="13"/>
        <v>74</v>
      </c>
    </row>
    <row r="895" spans="1:8" ht="25.5" x14ac:dyDescent="0.2">
      <c r="A895" s="14" t="s">
        <v>134</v>
      </c>
      <c r="B895" s="6" t="s">
        <v>149</v>
      </c>
      <c r="C895" s="16">
        <v>6</v>
      </c>
      <c r="D895" s="7">
        <v>40.825000000000003</v>
      </c>
      <c r="E895" s="8">
        <v>3</v>
      </c>
      <c r="F895" s="9">
        <v>0.36711982037000002</v>
      </c>
      <c r="G895" s="44">
        <v>74000</v>
      </c>
      <c r="H895" s="50">
        <f t="shared" si="13"/>
        <v>74</v>
      </c>
    </row>
    <row r="896" spans="1:8" ht="25.5" x14ac:dyDescent="0.2">
      <c r="A896" s="14" t="s">
        <v>308</v>
      </c>
      <c r="B896" s="6" t="s">
        <v>383</v>
      </c>
      <c r="C896" s="16">
        <v>6</v>
      </c>
      <c r="D896" s="7">
        <v>31.692499999999999</v>
      </c>
      <c r="E896" s="8">
        <v>4</v>
      </c>
      <c r="F896" s="9">
        <v>0.81754358286999995</v>
      </c>
      <c r="G896" s="44">
        <v>74100</v>
      </c>
      <c r="H896" s="50">
        <f t="shared" si="13"/>
        <v>74</v>
      </c>
    </row>
    <row r="897" spans="1:8" ht="25.5" x14ac:dyDescent="0.2">
      <c r="A897" s="14" t="s">
        <v>8</v>
      </c>
      <c r="B897" s="6" t="s">
        <v>66</v>
      </c>
      <c r="C897" s="16">
        <v>6</v>
      </c>
      <c r="D897" s="7">
        <v>124.6</v>
      </c>
      <c r="E897" s="8">
        <v>1</v>
      </c>
      <c r="F897" s="9">
        <v>0.48562600320999999</v>
      </c>
      <c r="G897" s="44">
        <v>74100</v>
      </c>
      <c r="H897" s="50">
        <f t="shared" si="13"/>
        <v>74</v>
      </c>
    </row>
    <row r="898" spans="1:8" ht="38.25" x14ac:dyDescent="0.2">
      <c r="A898" s="14" t="s">
        <v>604</v>
      </c>
      <c r="B898" s="6" t="s">
        <v>105</v>
      </c>
      <c r="C898" s="12">
        <v>6</v>
      </c>
      <c r="D898" s="7">
        <v>19.807692299999999</v>
      </c>
      <c r="E898" s="8">
        <v>7</v>
      </c>
      <c r="F898" s="9">
        <v>1.53470291262</v>
      </c>
      <c r="G898" s="44">
        <v>75000</v>
      </c>
      <c r="H898" s="50">
        <f t="shared" si="13"/>
        <v>75</v>
      </c>
    </row>
    <row r="899" spans="1:8" ht="38.25" x14ac:dyDescent="0.2">
      <c r="A899" s="14" t="s">
        <v>291</v>
      </c>
      <c r="B899" s="6" t="s">
        <v>108</v>
      </c>
      <c r="C899" s="12">
        <v>6</v>
      </c>
      <c r="D899" s="7">
        <v>20.28</v>
      </c>
      <c r="E899" s="8">
        <v>2</v>
      </c>
      <c r="F899" s="9">
        <v>0.40660749506999999</v>
      </c>
      <c r="G899" s="44">
        <v>75000</v>
      </c>
      <c r="H899" s="50">
        <f t="shared" ref="H899:H962" si="14">IF(LEN(G899)=4,VALUE(LEFT(G899,1)),VALUE(LEFT(G899,2)))</f>
        <v>75</v>
      </c>
    </row>
    <row r="900" spans="1:8" ht="38.25" x14ac:dyDescent="0.2">
      <c r="A900" s="14" t="s">
        <v>103</v>
      </c>
      <c r="B900" s="6" t="s">
        <v>108</v>
      </c>
      <c r="C900" s="16">
        <v>6</v>
      </c>
      <c r="D900" s="7">
        <v>21.772558100000001</v>
      </c>
      <c r="E900" s="8">
        <v>33</v>
      </c>
      <c r="F900" s="9">
        <v>0.47244237466</v>
      </c>
      <c r="G900" s="44">
        <v>75000</v>
      </c>
      <c r="H900" s="50">
        <f t="shared" si="14"/>
        <v>75</v>
      </c>
    </row>
    <row r="901" spans="1:8" ht="38.25" x14ac:dyDescent="0.2">
      <c r="A901" s="14" t="s">
        <v>103</v>
      </c>
      <c r="B901" s="6" t="s">
        <v>105</v>
      </c>
      <c r="C901" s="16">
        <v>6</v>
      </c>
      <c r="D901" s="7">
        <v>23.4575</v>
      </c>
      <c r="E901" s="8">
        <v>16</v>
      </c>
      <c r="F901" s="9">
        <v>0.69373690007</v>
      </c>
      <c r="G901" s="44">
        <v>75000</v>
      </c>
      <c r="H901" s="50">
        <f t="shared" si="14"/>
        <v>75</v>
      </c>
    </row>
    <row r="902" spans="1:8" ht="38.25" x14ac:dyDescent="0.2">
      <c r="A902" s="14" t="s">
        <v>604</v>
      </c>
      <c r="B902" s="6" t="s">
        <v>108</v>
      </c>
      <c r="C902" s="16">
        <v>6</v>
      </c>
      <c r="D902" s="7">
        <v>25.07</v>
      </c>
      <c r="E902" s="8">
        <v>12</v>
      </c>
      <c r="F902" s="9">
        <v>0.99753322277000001</v>
      </c>
      <c r="G902" s="44">
        <v>75000</v>
      </c>
      <c r="H902" s="50">
        <f t="shared" si="14"/>
        <v>75</v>
      </c>
    </row>
    <row r="903" spans="1:8" ht="38.25" x14ac:dyDescent="0.2">
      <c r="A903" s="14" t="s">
        <v>291</v>
      </c>
      <c r="B903" s="6" t="s">
        <v>105</v>
      </c>
      <c r="C903" s="12">
        <v>6</v>
      </c>
      <c r="D903" s="7">
        <v>26.73</v>
      </c>
      <c r="E903" s="8">
        <v>3</v>
      </c>
      <c r="F903" s="9">
        <v>0.36936026935999999</v>
      </c>
      <c r="G903" s="44">
        <v>75000</v>
      </c>
      <c r="H903" s="50">
        <f t="shared" si="14"/>
        <v>75</v>
      </c>
    </row>
    <row r="904" spans="1:8" ht="25.5" x14ac:dyDescent="0.2">
      <c r="A904" s="14" t="s">
        <v>604</v>
      </c>
      <c r="B904" s="6" t="s">
        <v>130</v>
      </c>
      <c r="C904" s="12">
        <v>6</v>
      </c>
      <c r="D904" s="7">
        <v>33.334081599999998</v>
      </c>
      <c r="E904" s="8">
        <v>30</v>
      </c>
      <c r="F904" s="9">
        <v>0.83778017228000001</v>
      </c>
      <c r="G904" s="44">
        <v>75000</v>
      </c>
      <c r="H904" s="50">
        <f t="shared" si="14"/>
        <v>75</v>
      </c>
    </row>
    <row r="905" spans="1:8" ht="25.5" x14ac:dyDescent="0.2">
      <c r="A905" s="14" t="s">
        <v>291</v>
      </c>
      <c r="B905" s="6" t="s">
        <v>130</v>
      </c>
      <c r="C905" s="16">
        <v>6</v>
      </c>
      <c r="D905" s="7">
        <v>34.003571399999998</v>
      </c>
      <c r="E905" s="8">
        <v>14</v>
      </c>
      <c r="F905" s="9">
        <v>0.34437979204000002</v>
      </c>
      <c r="G905" s="44">
        <v>75000</v>
      </c>
      <c r="H905" s="50">
        <f t="shared" si="14"/>
        <v>75</v>
      </c>
    </row>
    <row r="906" spans="1:8" ht="25.5" x14ac:dyDescent="0.2">
      <c r="A906" s="14" t="s">
        <v>184</v>
      </c>
      <c r="B906" s="6" t="s">
        <v>238</v>
      </c>
      <c r="C906" s="16">
        <v>6</v>
      </c>
      <c r="D906" s="7">
        <v>36.872999999999998</v>
      </c>
      <c r="E906" s="8">
        <v>41</v>
      </c>
      <c r="F906" s="9">
        <v>0.15297028538999999</v>
      </c>
      <c r="G906" s="44">
        <v>75000</v>
      </c>
      <c r="H906" s="50">
        <f t="shared" si="14"/>
        <v>75</v>
      </c>
    </row>
    <row r="907" spans="1:8" ht="38.25" x14ac:dyDescent="0.2">
      <c r="A907" s="14" t="s">
        <v>184</v>
      </c>
      <c r="B907" s="6" t="s">
        <v>252</v>
      </c>
      <c r="C907" s="16">
        <v>6</v>
      </c>
      <c r="D907" s="7">
        <v>40.962222199999999</v>
      </c>
      <c r="E907" s="8">
        <v>15</v>
      </c>
      <c r="F907" s="9">
        <v>0.14201884302000001</v>
      </c>
      <c r="G907" s="44">
        <v>75000</v>
      </c>
      <c r="H907" s="50">
        <f t="shared" si="14"/>
        <v>75</v>
      </c>
    </row>
    <row r="908" spans="1:8" ht="25.5" x14ac:dyDescent="0.2">
      <c r="A908" s="14" t="s">
        <v>291</v>
      </c>
      <c r="B908" s="6" t="s">
        <v>107</v>
      </c>
      <c r="C908" s="16">
        <v>6</v>
      </c>
      <c r="D908" s="7">
        <v>67.872857100000004</v>
      </c>
      <c r="E908" s="8">
        <v>7</v>
      </c>
      <c r="F908" s="9">
        <v>0.29861295279</v>
      </c>
      <c r="G908" s="44">
        <v>75000</v>
      </c>
      <c r="H908" s="50">
        <f t="shared" si="14"/>
        <v>75</v>
      </c>
    </row>
    <row r="909" spans="1:8" ht="25.5" x14ac:dyDescent="0.2">
      <c r="A909" s="14" t="s">
        <v>103</v>
      </c>
      <c r="B909" s="6" t="s">
        <v>107</v>
      </c>
      <c r="C909" s="12">
        <v>6</v>
      </c>
      <c r="D909" s="7">
        <v>72.313333299999996</v>
      </c>
      <c r="E909" s="8">
        <v>14</v>
      </c>
      <c r="F909" s="9">
        <v>4.5007836269999997E-2</v>
      </c>
      <c r="G909" s="44">
        <v>75000</v>
      </c>
      <c r="H909" s="50">
        <f t="shared" si="14"/>
        <v>75</v>
      </c>
    </row>
    <row r="910" spans="1:8" ht="25.5" x14ac:dyDescent="0.2">
      <c r="A910" s="14" t="s">
        <v>184</v>
      </c>
      <c r="B910" s="6" t="s">
        <v>259</v>
      </c>
      <c r="C910" s="16">
        <v>6</v>
      </c>
      <c r="D910" s="7">
        <v>76.140821900000006</v>
      </c>
      <c r="E910" s="8">
        <v>20</v>
      </c>
      <c r="F910" s="9">
        <v>0.10441161654</v>
      </c>
      <c r="G910" s="44">
        <v>75000</v>
      </c>
      <c r="H910" s="50">
        <f t="shared" si="14"/>
        <v>75</v>
      </c>
    </row>
    <row r="911" spans="1:8" ht="25.5" x14ac:dyDescent="0.2">
      <c r="A911" s="14" t="s">
        <v>604</v>
      </c>
      <c r="B911" s="6" t="s">
        <v>107</v>
      </c>
      <c r="C911" s="12">
        <v>6</v>
      </c>
      <c r="D911" s="7">
        <v>76.785714299999995</v>
      </c>
      <c r="E911" s="8">
        <v>5</v>
      </c>
      <c r="F911" s="9">
        <v>0.45882046512000002</v>
      </c>
      <c r="G911" s="44">
        <v>75000</v>
      </c>
      <c r="H911" s="50">
        <f t="shared" si="14"/>
        <v>75</v>
      </c>
    </row>
    <row r="912" spans="1:8" ht="25.5" x14ac:dyDescent="0.2">
      <c r="A912" s="14" t="s">
        <v>184</v>
      </c>
      <c r="B912" s="6" t="s">
        <v>258</v>
      </c>
      <c r="C912" s="16">
        <v>6</v>
      </c>
      <c r="D912" s="7">
        <v>79.406329099999994</v>
      </c>
      <c r="E912" s="8">
        <v>21</v>
      </c>
      <c r="F912" s="9">
        <v>9.9239450990000005E-2</v>
      </c>
      <c r="G912" s="44">
        <v>75000</v>
      </c>
      <c r="H912" s="50">
        <f t="shared" si="14"/>
        <v>75</v>
      </c>
    </row>
    <row r="913" spans="1:8" ht="38.25" x14ac:dyDescent="0.2">
      <c r="A913" s="14" t="s">
        <v>184</v>
      </c>
      <c r="B913" s="6" t="s">
        <v>247</v>
      </c>
      <c r="C913" s="16">
        <v>6</v>
      </c>
      <c r="D913" s="7">
        <v>136.6503846</v>
      </c>
      <c r="E913" s="8">
        <v>22</v>
      </c>
      <c r="F913" s="9">
        <v>8.6820943959999994E-2</v>
      </c>
      <c r="G913" s="44">
        <v>75000</v>
      </c>
      <c r="H913" s="50">
        <f t="shared" si="14"/>
        <v>75</v>
      </c>
    </row>
    <row r="914" spans="1:8" ht="38.25" x14ac:dyDescent="0.2">
      <c r="A914" s="14" t="s">
        <v>184</v>
      </c>
      <c r="B914" s="6" t="s">
        <v>265</v>
      </c>
      <c r="C914" s="12">
        <v>6</v>
      </c>
      <c r="D914" s="7">
        <v>305.2667568</v>
      </c>
      <c r="E914" s="8">
        <v>11</v>
      </c>
      <c r="F914" s="9">
        <v>7.4624143530000006E-2</v>
      </c>
      <c r="G914" s="44">
        <v>75000</v>
      </c>
      <c r="H914" s="50">
        <f t="shared" si="14"/>
        <v>75</v>
      </c>
    </row>
    <row r="915" spans="1:8" ht="25.5" x14ac:dyDescent="0.2">
      <c r="A915" s="14" t="s">
        <v>184</v>
      </c>
      <c r="B915" s="6" t="s">
        <v>277</v>
      </c>
      <c r="C915" s="12">
        <v>6</v>
      </c>
      <c r="D915" s="7">
        <v>305.82153849999997</v>
      </c>
      <c r="E915" s="8">
        <v>21</v>
      </c>
      <c r="F915" s="9">
        <v>7.4378596869999994E-2</v>
      </c>
      <c r="G915" s="44">
        <v>75000</v>
      </c>
      <c r="H915" s="50">
        <f t="shared" si="14"/>
        <v>75</v>
      </c>
    </row>
    <row r="916" spans="1:8" ht="25.5" x14ac:dyDescent="0.2">
      <c r="A916" s="14" t="s">
        <v>8</v>
      </c>
      <c r="B916" s="6" t="s">
        <v>9</v>
      </c>
      <c r="C916" s="16">
        <v>6</v>
      </c>
      <c r="D916" s="7">
        <v>23.34</v>
      </c>
      <c r="E916" s="8">
        <v>8</v>
      </c>
      <c r="F916" s="9">
        <v>2.4164524421600002</v>
      </c>
      <c r="G916" s="44">
        <v>75003</v>
      </c>
      <c r="H916" s="50">
        <f t="shared" si="14"/>
        <v>75</v>
      </c>
    </row>
    <row r="917" spans="1:8" ht="38.25" x14ac:dyDescent="0.2">
      <c r="A917" s="14" t="s">
        <v>184</v>
      </c>
      <c r="B917" s="6" t="s">
        <v>203</v>
      </c>
      <c r="C917" s="12">
        <v>6</v>
      </c>
      <c r="D917" s="7">
        <v>105.8</v>
      </c>
      <c r="E917" s="8">
        <v>5</v>
      </c>
      <c r="F917" s="9">
        <v>9.5450985690000004E-2</v>
      </c>
      <c r="G917" s="44">
        <v>75005</v>
      </c>
      <c r="H917" s="50">
        <f t="shared" si="14"/>
        <v>75</v>
      </c>
    </row>
    <row r="918" spans="1:8" ht="38.25" x14ac:dyDescent="0.2">
      <c r="A918" s="14" t="s">
        <v>184</v>
      </c>
      <c r="B918" s="6" t="s">
        <v>223</v>
      </c>
      <c r="C918" s="16">
        <v>6</v>
      </c>
      <c r="D918" s="7">
        <v>214.42857140000001</v>
      </c>
      <c r="E918" s="8">
        <v>5</v>
      </c>
      <c r="F918" s="9">
        <v>7.0092826999999996E-2</v>
      </c>
      <c r="G918" s="44">
        <v>75005</v>
      </c>
      <c r="H918" s="50">
        <f t="shared" si="14"/>
        <v>75</v>
      </c>
    </row>
    <row r="919" spans="1:8" ht="25.5" x14ac:dyDescent="0.2">
      <c r="A919" s="14" t="s">
        <v>8</v>
      </c>
      <c r="B919" s="6" t="s">
        <v>11</v>
      </c>
      <c r="C919" s="16">
        <v>6</v>
      </c>
      <c r="D919" s="7">
        <v>31.105</v>
      </c>
      <c r="E919" s="8">
        <v>2</v>
      </c>
      <c r="F919" s="9">
        <v>1.8132133097600001</v>
      </c>
      <c r="G919" s="44">
        <v>75006</v>
      </c>
      <c r="H919" s="50">
        <f t="shared" si="14"/>
        <v>75</v>
      </c>
    </row>
    <row r="920" spans="1:8" ht="38.25" x14ac:dyDescent="0.2">
      <c r="A920" s="14" t="s">
        <v>8</v>
      </c>
      <c r="B920" s="6" t="s">
        <v>20</v>
      </c>
      <c r="C920" s="16">
        <v>6</v>
      </c>
      <c r="D920" s="7">
        <v>32.216666699999998</v>
      </c>
      <c r="E920" s="8">
        <v>3</v>
      </c>
      <c r="F920" s="9">
        <v>1.7857216761500001</v>
      </c>
      <c r="G920" s="44">
        <v>75007</v>
      </c>
      <c r="H920" s="50">
        <f t="shared" si="14"/>
        <v>75</v>
      </c>
    </row>
    <row r="921" spans="1:8" ht="25.5" x14ac:dyDescent="0.2">
      <c r="A921" s="14" t="s">
        <v>184</v>
      </c>
      <c r="B921" s="6" t="s">
        <v>220</v>
      </c>
      <c r="C921" s="16">
        <v>6</v>
      </c>
      <c r="D921" s="7">
        <v>35.504285699999997</v>
      </c>
      <c r="E921" s="8">
        <v>5</v>
      </c>
      <c r="F921" s="9">
        <v>0.13073539075999999</v>
      </c>
      <c r="G921" s="44">
        <v>75008</v>
      </c>
      <c r="H921" s="50">
        <f t="shared" si="14"/>
        <v>75</v>
      </c>
    </row>
    <row r="922" spans="1:8" ht="25.5" x14ac:dyDescent="0.2">
      <c r="A922" s="14" t="s">
        <v>184</v>
      </c>
      <c r="B922" s="6" t="s">
        <v>224</v>
      </c>
      <c r="C922" s="12">
        <v>6</v>
      </c>
      <c r="D922" s="7">
        <v>34.637333300000002</v>
      </c>
      <c r="E922" s="8">
        <v>11</v>
      </c>
      <c r="F922" s="9">
        <v>0.14841468422000001</v>
      </c>
      <c r="G922" s="44">
        <v>75011</v>
      </c>
      <c r="H922" s="50">
        <f t="shared" si="14"/>
        <v>75</v>
      </c>
    </row>
    <row r="923" spans="1:8" ht="25.5" x14ac:dyDescent="0.2">
      <c r="A923" s="14" t="s">
        <v>184</v>
      </c>
      <c r="B923" s="6" t="s">
        <v>225</v>
      </c>
      <c r="C923" s="16">
        <v>6</v>
      </c>
      <c r="D923" s="7">
        <v>38.386000000000003</v>
      </c>
      <c r="E923" s="8">
        <v>11</v>
      </c>
      <c r="F923" s="9">
        <v>0.17332476539</v>
      </c>
      <c r="G923" s="44">
        <v>75011</v>
      </c>
      <c r="H923" s="50">
        <f t="shared" si="14"/>
        <v>75</v>
      </c>
    </row>
    <row r="924" spans="1:8" ht="38.25" x14ac:dyDescent="0.2">
      <c r="A924" s="14" t="s">
        <v>184</v>
      </c>
      <c r="B924" s="6" t="s">
        <v>227</v>
      </c>
      <c r="C924" s="12">
        <v>6</v>
      </c>
      <c r="D924" s="7">
        <v>113.4</v>
      </c>
      <c r="E924" s="8">
        <v>2</v>
      </c>
      <c r="F924" s="9">
        <v>8.5509994120000002E-2</v>
      </c>
      <c r="G924" s="44">
        <v>75011</v>
      </c>
      <c r="H924" s="50">
        <f t="shared" si="14"/>
        <v>75</v>
      </c>
    </row>
    <row r="925" spans="1:8" ht="25.5" x14ac:dyDescent="0.2">
      <c r="A925" s="14" t="s">
        <v>184</v>
      </c>
      <c r="B925" s="6" t="s">
        <v>205</v>
      </c>
      <c r="C925" s="16">
        <v>6</v>
      </c>
      <c r="D925" s="7">
        <v>148.05384620000001</v>
      </c>
      <c r="E925" s="8">
        <v>22</v>
      </c>
      <c r="F925" s="9">
        <v>8.2075734750000004E-2</v>
      </c>
      <c r="G925" s="44">
        <v>75011</v>
      </c>
      <c r="H925" s="50">
        <f t="shared" si="14"/>
        <v>75</v>
      </c>
    </row>
    <row r="926" spans="1:8" ht="38.25" x14ac:dyDescent="0.2">
      <c r="A926" s="14" t="s">
        <v>184</v>
      </c>
      <c r="B926" s="6" t="s">
        <v>198</v>
      </c>
      <c r="C926" s="16">
        <v>6</v>
      </c>
      <c r="D926" s="7">
        <v>248.89400000000001</v>
      </c>
      <c r="E926" s="8">
        <v>3</v>
      </c>
      <c r="F926" s="9">
        <v>6.8879121230000007E-2</v>
      </c>
      <c r="G926" s="44">
        <v>75011</v>
      </c>
      <c r="H926" s="50">
        <f t="shared" si="14"/>
        <v>75</v>
      </c>
    </row>
    <row r="927" spans="1:8" ht="38.25" x14ac:dyDescent="0.2">
      <c r="A927" s="14" t="s">
        <v>184</v>
      </c>
      <c r="B927" s="6" t="s">
        <v>200</v>
      </c>
      <c r="C927" s="12">
        <v>6</v>
      </c>
      <c r="D927" s="7">
        <v>180.0285714</v>
      </c>
      <c r="E927" s="8">
        <v>5</v>
      </c>
      <c r="F927" s="9">
        <v>7.5299687879999994E-2</v>
      </c>
      <c r="G927" s="44">
        <v>75012</v>
      </c>
      <c r="H927" s="50">
        <f t="shared" si="14"/>
        <v>75</v>
      </c>
    </row>
    <row r="928" spans="1:8" ht="38.25" x14ac:dyDescent="0.2">
      <c r="A928" s="14" t="s">
        <v>184</v>
      </c>
      <c r="B928" s="6" t="s">
        <v>207</v>
      </c>
      <c r="C928" s="16">
        <v>6</v>
      </c>
      <c r="D928" s="7">
        <v>79.788552600000003</v>
      </c>
      <c r="E928" s="8">
        <v>22</v>
      </c>
      <c r="F928" s="9">
        <v>0.10422086007</v>
      </c>
      <c r="G928" s="44">
        <v>75013</v>
      </c>
      <c r="H928" s="50">
        <f t="shared" si="14"/>
        <v>75</v>
      </c>
    </row>
    <row r="929" spans="1:8" ht="38.25" x14ac:dyDescent="0.2">
      <c r="A929" s="14" t="s">
        <v>290</v>
      </c>
      <c r="B929" s="6" t="s">
        <v>188</v>
      </c>
      <c r="C929" s="16">
        <v>6</v>
      </c>
      <c r="D929" s="7">
        <v>460.69333330000001</v>
      </c>
      <c r="E929" s="8">
        <v>6</v>
      </c>
      <c r="F929" s="9">
        <v>0.15394857750999999</v>
      </c>
      <c r="G929" s="44">
        <v>75014</v>
      </c>
      <c r="H929" s="50">
        <f t="shared" si="14"/>
        <v>75</v>
      </c>
    </row>
    <row r="930" spans="1:8" ht="38.25" x14ac:dyDescent="0.2">
      <c r="A930" s="14" t="s">
        <v>184</v>
      </c>
      <c r="B930" s="6" t="s">
        <v>188</v>
      </c>
      <c r="C930" s="12">
        <v>6</v>
      </c>
      <c r="D930" s="7">
        <v>478.26837840000002</v>
      </c>
      <c r="E930" s="8">
        <v>31</v>
      </c>
      <c r="F930" s="9">
        <v>7.4467970879999998E-2</v>
      </c>
      <c r="G930" s="44">
        <v>75014</v>
      </c>
      <c r="H930" s="50">
        <f t="shared" si="14"/>
        <v>75</v>
      </c>
    </row>
    <row r="931" spans="1:8" ht="25.5" x14ac:dyDescent="0.2">
      <c r="A931" s="14" t="s">
        <v>8</v>
      </c>
      <c r="B931" s="6" t="s">
        <v>80</v>
      </c>
      <c r="C931" s="16">
        <v>6</v>
      </c>
      <c r="D931" s="7">
        <v>15.4475</v>
      </c>
      <c r="E931" s="8">
        <v>4</v>
      </c>
      <c r="F931" s="9">
        <v>3.6510762259299998</v>
      </c>
      <c r="G931" s="44">
        <v>75015</v>
      </c>
      <c r="H931" s="50">
        <f t="shared" si="14"/>
        <v>75</v>
      </c>
    </row>
    <row r="932" spans="1:8" ht="38.25" x14ac:dyDescent="0.2">
      <c r="A932" s="14" t="s">
        <v>184</v>
      </c>
      <c r="B932" s="6" t="s">
        <v>222</v>
      </c>
      <c r="C932" s="16">
        <v>6</v>
      </c>
      <c r="D932" s="7">
        <v>81.86</v>
      </c>
      <c r="E932" s="8">
        <v>21</v>
      </c>
      <c r="F932" s="9">
        <v>9.3516980210000003E-2</v>
      </c>
      <c r="G932" s="44">
        <v>75015</v>
      </c>
      <c r="H932" s="50">
        <f t="shared" si="14"/>
        <v>75</v>
      </c>
    </row>
    <row r="933" spans="1:8" ht="38.25" x14ac:dyDescent="0.2">
      <c r="A933" s="14" t="s">
        <v>184</v>
      </c>
      <c r="B933" s="6" t="s">
        <v>195</v>
      </c>
      <c r="C933" s="16">
        <v>6</v>
      </c>
      <c r="D933" s="7">
        <v>127.1428571</v>
      </c>
      <c r="E933" s="8">
        <v>5</v>
      </c>
      <c r="F933" s="9">
        <v>8.6887265919999998E-2</v>
      </c>
      <c r="G933" s="44">
        <v>75015</v>
      </c>
      <c r="H933" s="50">
        <f t="shared" si="14"/>
        <v>75</v>
      </c>
    </row>
    <row r="934" spans="1:8" ht="25.5" x14ac:dyDescent="0.2">
      <c r="A934" s="14" t="s">
        <v>184</v>
      </c>
      <c r="B934" s="6" t="s">
        <v>213</v>
      </c>
      <c r="C934" s="16">
        <v>6</v>
      </c>
      <c r="D934" s="7">
        <v>249.8</v>
      </c>
      <c r="E934" s="8">
        <v>1</v>
      </c>
      <c r="F934" s="9">
        <v>8.0499065920000001E-2</v>
      </c>
      <c r="G934" s="44">
        <v>75015</v>
      </c>
      <c r="H934" s="50">
        <f t="shared" si="14"/>
        <v>75</v>
      </c>
    </row>
    <row r="935" spans="1:8" ht="38.25" x14ac:dyDescent="0.2">
      <c r="A935" s="14" t="s">
        <v>184</v>
      </c>
      <c r="B935" s="6" t="s">
        <v>186</v>
      </c>
      <c r="C935" s="16">
        <v>6</v>
      </c>
      <c r="D935" s="7">
        <v>72.891363600000005</v>
      </c>
      <c r="E935" s="8">
        <v>19</v>
      </c>
      <c r="F935" s="9">
        <v>9.5882415299999996E-2</v>
      </c>
      <c r="G935" s="44">
        <v>75016</v>
      </c>
      <c r="H935" s="50">
        <f t="shared" si="14"/>
        <v>75</v>
      </c>
    </row>
    <row r="936" spans="1:8" ht="38.25" x14ac:dyDescent="0.2">
      <c r="A936" s="14" t="s">
        <v>184</v>
      </c>
      <c r="B936" s="6" t="s">
        <v>251</v>
      </c>
      <c r="C936" s="12">
        <v>6</v>
      </c>
      <c r="D936" s="7">
        <v>57.281363599999999</v>
      </c>
      <c r="E936" s="8">
        <v>36</v>
      </c>
      <c r="F936" s="9">
        <v>0.12171894714000001</v>
      </c>
      <c r="G936" s="44">
        <v>75017</v>
      </c>
      <c r="H936" s="50">
        <f t="shared" si="14"/>
        <v>75</v>
      </c>
    </row>
    <row r="937" spans="1:8" ht="38.25" x14ac:dyDescent="0.2">
      <c r="A937" s="14" t="s">
        <v>184</v>
      </c>
      <c r="B937" s="6" t="s">
        <v>210</v>
      </c>
      <c r="C937" s="16">
        <v>6</v>
      </c>
      <c r="D937" s="7">
        <v>62.205714299999997</v>
      </c>
      <c r="E937" s="8">
        <v>14</v>
      </c>
      <c r="F937" s="9">
        <v>0.12296494843</v>
      </c>
      <c r="G937" s="44">
        <v>75017</v>
      </c>
      <c r="H937" s="50">
        <f t="shared" si="14"/>
        <v>75</v>
      </c>
    </row>
    <row r="938" spans="1:8" ht="38.25" x14ac:dyDescent="0.2">
      <c r="A938" s="14" t="s">
        <v>280</v>
      </c>
      <c r="B938" s="6" t="s">
        <v>281</v>
      </c>
      <c r="C938" s="12">
        <v>6</v>
      </c>
      <c r="D938" s="7">
        <v>101.8621831</v>
      </c>
      <c r="E938" s="8">
        <v>46</v>
      </c>
      <c r="F938" s="9">
        <v>0.12985240344999999</v>
      </c>
      <c r="G938" s="44">
        <v>75017</v>
      </c>
      <c r="H938" s="50">
        <f t="shared" si="14"/>
        <v>75</v>
      </c>
    </row>
    <row r="939" spans="1:8" ht="25.5" x14ac:dyDescent="0.2">
      <c r="A939" s="14" t="s">
        <v>184</v>
      </c>
      <c r="B939" s="6" t="s">
        <v>218</v>
      </c>
      <c r="C939" s="12">
        <v>6</v>
      </c>
      <c r="D939" s="7">
        <v>202.84</v>
      </c>
      <c r="E939" s="8">
        <v>3</v>
      </c>
      <c r="F939" s="9">
        <v>7.1413922300000002E-2</v>
      </c>
      <c r="G939" s="44">
        <v>75017</v>
      </c>
      <c r="H939" s="50">
        <f t="shared" si="14"/>
        <v>75</v>
      </c>
    </row>
    <row r="940" spans="1:8" ht="38.25" x14ac:dyDescent="0.2">
      <c r="A940" s="14" t="s">
        <v>184</v>
      </c>
      <c r="B940" s="6" t="s">
        <v>215</v>
      </c>
      <c r="C940" s="12">
        <v>6</v>
      </c>
      <c r="D940" s="7">
        <v>31.770377400000001</v>
      </c>
      <c r="E940" s="8">
        <v>16</v>
      </c>
      <c r="F940" s="9">
        <v>9.9270710230000003E-2</v>
      </c>
      <c r="G940" s="44">
        <v>75018</v>
      </c>
      <c r="H940" s="50">
        <f t="shared" si="14"/>
        <v>75</v>
      </c>
    </row>
    <row r="941" spans="1:8" ht="25.5" x14ac:dyDescent="0.2">
      <c r="A941" s="14" t="s">
        <v>184</v>
      </c>
      <c r="B941" s="6" t="s">
        <v>214</v>
      </c>
      <c r="C941" s="16">
        <v>6</v>
      </c>
      <c r="D941" s="7">
        <v>35.135814000000003</v>
      </c>
      <c r="E941" s="8">
        <v>16</v>
      </c>
      <c r="F941" s="9">
        <v>0.21645508459000001</v>
      </c>
      <c r="G941" s="44">
        <v>75018</v>
      </c>
      <c r="H941" s="50">
        <f t="shared" si="14"/>
        <v>75</v>
      </c>
    </row>
    <row r="942" spans="1:8" ht="25.5" x14ac:dyDescent="0.2">
      <c r="A942" s="14" t="s">
        <v>184</v>
      </c>
      <c r="B942" s="6" t="s">
        <v>243</v>
      </c>
      <c r="C942" s="16">
        <v>6</v>
      </c>
      <c r="D942" s="7">
        <v>808.00750000000005</v>
      </c>
      <c r="E942" s="8">
        <v>18</v>
      </c>
      <c r="F942" s="9">
        <v>7.3137708090000003E-2</v>
      </c>
      <c r="G942" s="44">
        <v>75019</v>
      </c>
      <c r="H942" s="50">
        <f t="shared" si="14"/>
        <v>75</v>
      </c>
    </row>
    <row r="943" spans="1:8" ht="38.25" x14ac:dyDescent="0.2">
      <c r="A943" s="14" t="s">
        <v>8</v>
      </c>
      <c r="B943" s="6" t="s">
        <v>59</v>
      </c>
      <c r="C943" s="16">
        <v>6</v>
      </c>
      <c r="D943" s="7">
        <v>211.45</v>
      </c>
      <c r="E943" s="8">
        <v>1</v>
      </c>
      <c r="F943" s="9">
        <v>0.40174982264999998</v>
      </c>
      <c r="G943" s="44">
        <v>75622</v>
      </c>
      <c r="H943" s="50">
        <f t="shared" si="14"/>
        <v>75</v>
      </c>
    </row>
    <row r="944" spans="1:8" x14ac:dyDescent="0.2">
      <c r="A944" s="14" t="s">
        <v>556</v>
      </c>
      <c r="B944" s="6" t="s">
        <v>558</v>
      </c>
      <c r="C944" s="16">
        <v>6</v>
      </c>
      <c r="D944" s="7">
        <v>18.9733333</v>
      </c>
      <c r="E944" s="8">
        <v>2</v>
      </c>
      <c r="F944" s="9">
        <v>0.73822909345999999</v>
      </c>
      <c r="G944" s="44">
        <v>76000</v>
      </c>
      <c r="H944" s="50">
        <f t="shared" si="14"/>
        <v>76</v>
      </c>
    </row>
    <row r="945" spans="1:8" ht="38.25" x14ac:dyDescent="0.2">
      <c r="A945" s="14" t="s">
        <v>8</v>
      </c>
      <c r="B945" s="6" t="s">
        <v>45</v>
      </c>
      <c r="C945" s="16">
        <v>6</v>
      </c>
      <c r="D945" s="7">
        <v>20.13</v>
      </c>
      <c r="E945" s="8">
        <v>3</v>
      </c>
      <c r="F945" s="9">
        <v>1.5764199370800001</v>
      </c>
      <c r="G945" s="44">
        <v>76370</v>
      </c>
      <c r="H945" s="50">
        <f t="shared" si="14"/>
        <v>76</v>
      </c>
    </row>
    <row r="946" spans="1:8" ht="25.5" x14ac:dyDescent="0.2">
      <c r="A946" s="14" t="s">
        <v>291</v>
      </c>
      <c r="B946" s="6" t="s">
        <v>125</v>
      </c>
      <c r="C946" s="12">
        <v>6</v>
      </c>
      <c r="D946" s="7">
        <v>17.687999999999999</v>
      </c>
      <c r="E946" s="8">
        <v>4</v>
      </c>
      <c r="F946" s="9">
        <v>0.97852781547000001</v>
      </c>
      <c r="G946" s="44">
        <v>77000</v>
      </c>
      <c r="H946" s="50">
        <f t="shared" si="14"/>
        <v>77</v>
      </c>
    </row>
    <row r="947" spans="1:8" ht="25.5" x14ac:dyDescent="0.2">
      <c r="A947" s="14" t="s">
        <v>604</v>
      </c>
      <c r="B947" s="6" t="s">
        <v>125</v>
      </c>
      <c r="C947" s="12">
        <v>6</v>
      </c>
      <c r="D947" s="7">
        <v>18.3562069</v>
      </c>
      <c r="E947" s="8">
        <v>18</v>
      </c>
      <c r="F947" s="9">
        <v>1.2444836849300001</v>
      </c>
      <c r="G947" s="44">
        <v>77000</v>
      </c>
      <c r="H947" s="50">
        <f t="shared" si="14"/>
        <v>77</v>
      </c>
    </row>
    <row r="948" spans="1:8" ht="25.5" x14ac:dyDescent="0.2">
      <c r="A948" s="14" t="s">
        <v>291</v>
      </c>
      <c r="B948" s="6" t="s">
        <v>104</v>
      </c>
      <c r="C948" s="16">
        <v>6</v>
      </c>
      <c r="D948" s="7">
        <v>18.673333299999999</v>
      </c>
      <c r="E948" s="8">
        <v>3</v>
      </c>
      <c r="F948" s="9">
        <v>0.41979650125000001</v>
      </c>
      <c r="G948" s="44">
        <v>77000</v>
      </c>
      <c r="H948" s="50">
        <f t="shared" si="14"/>
        <v>77</v>
      </c>
    </row>
    <row r="949" spans="1:8" ht="25.5" x14ac:dyDescent="0.2">
      <c r="A949" s="14" t="s">
        <v>604</v>
      </c>
      <c r="B949" s="6" t="s">
        <v>104</v>
      </c>
      <c r="C949" s="16">
        <v>6</v>
      </c>
      <c r="D949" s="7">
        <v>19.6918182</v>
      </c>
      <c r="E949" s="8">
        <v>7</v>
      </c>
      <c r="F949" s="9">
        <v>1.3057615068599999</v>
      </c>
      <c r="G949" s="44">
        <v>77000</v>
      </c>
      <c r="H949" s="50">
        <f t="shared" si="14"/>
        <v>77</v>
      </c>
    </row>
    <row r="950" spans="1:8" ht="25.5" x14ac:dyDescent="0.2">
      <c r="A950" s="14" t="s">
        <v>103</v>
      </c>
      <c r="B950" s="6" t="s">
        <v>104</v>
      </c>
      <c r="C950" s="12">
        <v>6</v>
      </c>
      <c r="D950" s="7">
        <v>22.5191667</v>
      </c>
      <c r="E950" s="8">
        <v>19</v>
      </c>
      <c r="F950" s="9">
        <v>0.36132183694999997</v>
      </c>
      <c r="G950" s="44">
        <v>77000</v>
      </c>
      <c r="H950" s="50">
        <f t="shared" si="14"/>
        <v>77</v>
      </c>
    </row>
    <row r="951" spans="1:8" ht="25.5" x14ac:dyDescent="0.2">
      <c r="A951" s="14" t="s">
        <v>184</v>
      </c>
      <c r="B951" s="6" t="s">
        <v>194</v>
      </c>
      <c r="C951" s="12">
        <v>6</v>
      </c>
      <c r="D951" s="7">
        <v>33.797818200000002</v>
      </c>
      <c r="E951" s="8">
        <v>16</v>
      </c>
      <c r="F951" s="9">
        <v>0.14992522379000001</v>
      </c>
      <c r="G951" s="44">
        <v>77130</v>
      </c>
      <c r="H951" s="50">
        <f t="shared" si="14"/>
        <v>77</v>
      </c>
    </row>
    <row r="952" spans="1:8" ht="25.5" x14ac:dyDescent="0.2">
      <c r="A952" s="14" t="s">
        <v>280</v>
      </c>
      <c r="B952" s="6" t="s">
        <v>282</v>
      </c>
      <c r="C952" s="16">
        <v>6</v>
      </c>
      <c r="D952" s="7">
        <v>233.97575760000001</v>
      </c>
      <c r="E952" s="8">
        <v>12</v>
      </c>
      <c r="F952" s="9">
        <v>0.27515243744000001</v>
      </c>
      <c r="G952" s="44">
        <v>77181</v>
      </c>
      <c r="H952" s="50">
        <f t="shared" si="14"/>
        <v>77</v>
      </c>
    </row>
    <row r="953" spans="1:8" ht="38.25" x14ac:dyDescent="0.2">
      <c r="A953" s="14" t="s">
        <v>184</v>
      </c>
      <c r="B953" s="6" t="s">
        <v>261</v>
      </c>
      <c r="C953" s="16">
        <v>6</v>
      </c>
      <c r="D953" s="7">
        <v>60.834782599999997</v>
      </c>
      <c r="E953" s="8">
        <v>19</v>
      </c>
      <c r="F953" s="9">
        <v>0.12105369735</v>
      </c>
      <c r="G953" s="44">
        <v>77500</v>
      </c>
      <c r="H953" s="50">
        <f t="shared" si="14"/>
        <v>77</v>
      </c>
    </row>
    <row r="954" spans="1:8" ht="25.5" x14ac:dyDescent="0.2">
      <c r="A954" s="14" t="s">
        <v>184</v>
      </c>
      <c r="B954" s="6" t="s">
        <v>187</v>
      </c>
      <c r="C954" s="16">
        <v>6</v>
      </c>
      <c r="D954" s="7">
        <v>54.7776</v>
      </c>
      <c r="E954" s="8">
        <v>20</v>
      </c>
      <c r="F954" s="9">
        <v>0.11786399307000001</v>
      </c>
      <c r="G954" s="44">
        <v>77830</v>
      </c>
      <c r="H954" s="50">
        <f t="shared" si="14"/>
        <v>77</v>
      </c>
    </row>
    <row r="955" spans="1:8" ht="25.5" x14ac:dyDescent="0.2">
      <c r="A955" s="14" t="s">
        <v>184</v>
      </c>
      <c r="B955" s="6" t="s">
        <v>256</v>
      </c>
      <c r="C955" s="16">
        <v>6</v>
      </c>
      <c r="D955" s="7">
        <v>70.799199999999999</v>
      </c>
      <c r="E955" s="8">
        <v>21</v>
      </c>
      <c r="F955" s="9">
        <v>0.1110688633</v>
      </c>
      <c r="G955" s="44">
        <v>78000</v>
      </c>
      <c r="H955" s="50">
        <f t="shared" si="14"/>
        <v>78</v>
      </c>
    </row>
    <row r="956" spans="1:8" ht="38.25" x14ac:dyDescent="0.2">
      <c r="A956" s="14" t="s">
        <v>184</v>
      </c>
      <c r="B956" s="6" t="s">
        <v>257</v>
      </c>
      <c r="C956" s="12">
        <v>6</v>
      </c>
      <c r="D956" s="7">
        <v>115.3356522</v>
      </c>
      <c r="E956" s="8">
        <v>20</v>
      </c>
      <c r="F956" s="9">
        <v>8.6625677289999994E-2</v>
      </c>
      <c r="G956" s="44">
        <v>78000</v>
      </c>
      <c r="H956" s="50">
        <f t="shared" si="14"/>
        <v>78</v>
      </c>
    </row>
    <row r="957" spans="1:8" ht="25.5" x14ac:dyDescent="0.2">
      <c r="A957" s="14" t="s">
        <v>184</v>
      </c>
      <c r="B957" s="6" t="s">
        <v>193</v>
      </c>
      <c r="C957" s="16">
        <v>6</v>
      </c>
      <c r="D957" s="7">
        <v>138.69423080000001</v>
      </c>
      <c r="E957" s="8">
        <v>22</v>
      </c>
      <c r="F957" s="9">
        <v>7.9160484929999997E-2</v>
      </c>
      <c r="G957" s="44">
        <v>78000</v>
      </c>
      <c r="H957" s="50">
        <f t="shared" si="14"/>
        <v>78</v>
      </c>
    </row>
    <row r="958" spans="1:8" ht="38.25" x14ac:dyDescent="0.2">
      <c r="A958" s="14" t="s">
        <v>184</v>
      </c>
      <c r="B958" s="6" t="s">
        <v>232</v>
      </c>
      <c r="C958" s="16">
        <v>6</v>
      </c>
      <c r="D958" s="7">
        <v>173.45947369999999</v>
      </c>
      <c r="E958" s="8">
        <v>16</v>
      </c>
      <c r="F958" s="9">
        <v>7.7442731449999996E-2</v>
      </c>
      <c r="G958" s="44">
        <v>78000</v>
      </c>
      <c r="H958" s="50">
        <f t="shared" si="14"/>
        <v>78</v>
      </c>
    </row>
    <row r="959" spans="1:8" ht="38.25" x14ac:dyDescent="0.2">
      <c r="A959" s="14" t="s">
        <v>184</v>
      </c>
      <c r="B959" s="6" t="s">
        <v>231</v>
      </c>
      <c r="C959" s="16">
        <v>6</v>
      </c>
      <c r="D959" s="7">
        <v>156.30526320000001</v>
      </c>
      <c r="E959" s="8">
        <v>17</v>
      </c>
      <c r="F959" s="9">
        <v>8.4800211010000001E-2</v>
      </c>
      <c r="G959" s="44">
        <v>78008</v>
      </c>
      <c r="H959" s="50">
        <f t="shared" si="14"/>
        <v>78</v>
      </c>
    </row>
    <row r="960" spans="1:8" ht="25.5" x14ac:dyDescent="0.2">
      <c r="A960" s="14" t="s">
        <v>160</v>
      </c>
      <c r="B960" s="6" t="s">
        <v>180</v>
      </c>
      <c r="C960" s="12">
        <v>6</v>
      </c>
      <c r="D960" s="7">
        <v>11.246</v>
      </c>
      <c r="E960" s="8">
        <v>5</v>
      </c>
      <c r="F960" s="9">
        <v>0.44919082339999999</v>
      </c>
      <c r="G960" s="44">
        <v>78043</v>
      </c>
      <c r="H960" s="50">
        <f t="shared" si="14"/>
        <v>78</v>
      </c>
    </row>
    <row r="961" spans="1:8" ht="38.25" x14ac:dyDescent="0.2">
      <c r="A961" s="14" t="s">
        <v>8</v>
      </c>
      <c r="B961" s="6" t="s">
        <v>89</v>
      </c>
      <c r="C961" s="16">
        <v>6</v>
      </c>
      <c r="D961" s="7">
        <v>664.32500000000005</v>
      </c>
      <c r="E961" s="8">
        <v>2</v>
      </c>
      <c r="F961" s="9">
        <v>0.38191020961</v>
      </c>
      <c r="G961" s="44">
        <v>78043</v>
      </c>
      <c r="H961" s="50">
        <f t="shared" si="14"/>
        <v>78</v>
      </c>
    </row>
    <row r="962" spans="1:8" ht="25.5" x14ac:dyDescent="0.2">
      <c r="A962" s="14" t="s">
        <v>184</v>
      </c>
      <c r="B962" s="6" t="s">
        <v>229</v>
      </c>
      <c r="C962" s="16">
        <v>6</v>
      </c>
      <c r="D962" s="7">
        <v>48.535925900000002</v>
      </c>
      <c r="E962" s="8">
        <v>21</v>
      </c>
      <c r="F962" s="9">
        <v>0.13384027613999999</v>
      </c>
      <c r="G962" s="44">
        <v>78120</v>
      </c>
      <c r="H962" s="50">
        <f t="shared" si="14"/>
        <v>78</v>
      </c>
    </row>
    <row r="963" spans="1:8" ht="38.25" x14ac:dyDescent="0.2">
      <c r="A963" s="14" t="s">
        <v>184</v>
      </c>
      <c r="B963" s="6" t="s">
        <v>230</v>
      </c>
      <c r="C963" s="12">
        <v>6</v>
      </c>
      <c r="D963" s="7">
        <v>113.0308824</v>
      </c>
      <c r="E963" s="8">
        <v>29</v>
      </c>
      <c r="F963" s="9">
        <v>9.2209486389999998E-2</v>
      </c>
      <c r="G963" s="44">
        <v>78158</v>
      </c>
      <c r="H963" s="50">
        <f t="shared" ref="H963:H1026" si="15">IF(LEN(G963)=4,VALUE(LEFT(G963,1)),VALUE(LEFT(G963,2)))</f>
        <v>78</v>
      </c>
    </row>
    <row r="964" spans="1:8" ht="38.25" x14ac:dyDescent="0.2">
      <c r="A964" s="14" t="s">
        <v>604</v>
      </c>
      <c r="B964" s="6" t="s">
        <v>128</v>
      </c>
      <c r="C964" s="12">
        <v>6</v>
      </c>
      <c r="D964" s="7">
        <v>16.484999999999999</v>
      </c>
      <c r="E964" s="8">
        <v>18</v>
      </c>
      <c r="F964" s="9">
        <v>1.5159127345200001</v>
      </c>
      <c r="G964" s="44">
        <v>78250</v>
      </c>
      <c r="H964" s="50">
        <f t="shared" si="15"/>
        <v>78</v>
      </c>
    </row>
    <row r="965" spans="1:8" ht="38.25" x14ac:dyDescent="0.2">
      <c r="A965" s="14" t="s">
        <v>291</v>
      </c>
      <c r="B965" s="6" t="s">
        <v>128</v>
      </c>
      <c r="C965" s="12">
        <v>6</v>
      </c>
      <c r="D965" s="7">
        <v>21.6245455</v>
      </c>
      <c r="E965" s="8">
        <v>9</v>
      </c>
      <c r="F965" s="9">
        <v>0.60517509564000005</v>
      </c>
      <c r="G965" s="44">
        <v>78250</v>
      </c>
      <c r="H965" s="50">
        <f t="shared" si="15"/>
        <v>78</v>
      </c>
    </row>
    <row r="966" spans="1:8" ht="25.5" x14ac:dyDescent="0.2">
      <c r="A966" s="14" t="s">
        <v>8</v>
      </c>
      <c r="B966" s="6" t="s">
        <v>90</v>
      </c>
      <c r="C966" s="16">
        <v>6</v>
      </c>
      <c r="D966" s="7">
        <v>102.3266667</v>
      </c>
      <c r="E966" s="8">
        <v>3</v>
      </c>
      <c r="F966" s="9">
        <v>0.62822333703</v>
      </c>
      <c r="G966" s="44">
        <v>78360</v>
      </c>
      <c r="H966" s="50">
        <f t="shared" si="15"/>
        <v>78</v>
      </c>
    </row>
    <row r="967" spans="1:8" ht="25.5" x14ac:dyDescent="0.2">
      <c r="A967" s="14" t="s">
        <v>184</v>
      </c>
      <c r="B967" s="6" t="s">
        <v>244</v>
      </c>
      <c r="C967" s="16">
        <v>6</v>
      </c>
      <c r="D967" s="7">
        <v>59.005833299999999</v>
      </c>
      <c r="E967" s="8">
        <v>18</v>
      </c>
      <c r="F967" s="9">
        <v>0.13162022587</v>
      </c>
      <c r="G967" s="44">
        <v>78390</v>
      </c>
      <c r="H967" s="50">
        <f t="shared" si="15"/>
        <v>78</v>
      </c>
    </row>
    <row r="968" spans="1:8" ht="38.25" x14ac:dyDescent="0.2">
      <c r="A968" s="14" t="s">
        <v>184</v>
      </c>
      <c r="B968" s="6" t="s">
        <v>241</v>
      </c>
      <c r="C968" s="16">
        <v>6</v>
      </c>
      <c r="D968" s="7">
        <v>77.125961500000003</v>
      </c>
      <c r="E968" s="8">
        <v>43</v>
      </c>
      <c r="F968" s="9">
        <v>0.10461142071</v>
      </c>
      <c r="G968" s="44">
        <v>78570</v>
      </c>
      <c r="H968" s="50">
        <f t="shared" si="15"/>
        <v>78</v>
      </c>
    </row>
    <row r="969" spans="1:8" ht="38.25" x14ac:dyDescent="0.2">
      <c r="A969" s="14" t="s">
        <v>184</v>
      </c>
      <c r="B969" s="6" t="s">
        <v>192</v>
      </c>
      <c r="C969" s="16">
        <v>6</v>
      </c>
      <c r="D969" s="7">
        <v>415.34199999999998</v>
      </c>
      <c r="E969" s="8">
        <v>39</v>
      </c>
      <c r="F969" s="9">
        <v>7.4136280730000004E-2</v>
      </c>
      <c r="G969" s="44">
        <v>78711</v>
      </c>
      <c r="H969" s="50">
        <f t="shared" si="15"/>
        <v>78</v>
      </c>
    </row>
    <row r="970" spans="1:8" ht="25.5" x14ac:dyDescent="0.2">
      <c r="A970" s="14" t="s">
        <v>280</v>
      </c>
      <c r="B970" s="6" t="s">
        <v>283</v>
      </c>
      <c r="C970" s="16">
        <v>6</v>
      </c>
      <c r="D970" s="7">
        <v>161.25102190000001</v>
      </c>
      <c r="E970" s="8">
        <v>44</v>
      </c>
      <c r="F970" s="9">
        <v>0.22425343085999999</v>
      </c>
      <c r="G970" s="44">
        <v>78800</v>
      </c>
      <c r="H970" s="50">
        <f t="shared" si="15"/>
        <v>78</v>
      </c>
    </row>
    <row r="971" spans="1:8" ht="25.5" x14ac:dyDescent="0.2">
      <c r="A971" s="14" t="s">
        <v>489</v>
      </c>
      <c r="B971" s="6" t="s">
        <v>491</v>
      </c>
      <c r="C971" s="12">
        <v>6</v>
      </c>
      <c r="D971" s="7">
        <v>68.405000000000001</v>
      </c>
      <c r="E971" s="8">
        <v>2</v>
      </c>
      <c r="F971" s="9">
        <v>0.17000219282000001</v>
      </c>
      <c r="G971" s="44">
        <v>78883</v>
      </c>
      <c r="H971" s="50">
        <f t="shared" si="15"/>
        <v>78</v>
      </c>
    </row>
    <row r="972" spans="1:8" ht="25.5" x14ac:dyDescent="0.2">
      <c r="A972" s="14" t="s">
        <v>184</v>
      </c>
      <c r="B972" s="6" t="s">
        <v>275</v>
      </c>
      <c r="C972" s="16">
        <v>6</v>
      </c>
      <c r="D972" s="7">
        <v>74.457857099999998</v>
      </c>
      <c r="E972" s="8">
        <v>22</v>
      </c>
      <c r="F972" s="9">
        <v>0.11457727765</v>
      </c>
      <c r="G972" s="44">
        <v>78960</v>
      </c>
      <c r="H972" s="50">
        <f t="shared" si="15"/>
        <v>78</v>
      </c>
    </row>
    <row r="973" spans="1:8" ht="25.5" x14ac:dyDescent="0.2">
      <c r="A973" s="14" t="s">
        <v>298</v>
      </c>
      <c r="B973" s="6" t="s">
        <v>168</v>
      </c>
      <c r="C973" s="16">
        <v>6</v>
      </c>
      <c r="D973" s="7">
        <v>94.103442599999994</v>
      </c>
      <c r="E973" s="8">
        <v>22</v>
      </c>
      <c r="F973" s="9">
        <v>0.71134381244</v>
      </c>
      <c r="G973" s="44">
        <v>80000</v>
      </c>
      <c r="H973" s="50">
        <f t="shared" si="15"/>
        <v>80</v>
      </c>
    </row>
    <row r="974" spans="1:8" ht="25.5" x14ac:dyDescent="0.2">
      <c r="A974" s="14" t="s">
        <v>160</v>
      </c>
      <c r="B974" s="6" t="s">
        <v>168</v>
      </c>
      <c r="C974" s="16">
        <v>6</v>
      </c>
      <c r="D974" s="7">
        <v>172.01</v>
      </c>
      <c r="E974" s="8">
        <v>2</v>
      </c>
      <c r="F974" s="9">
        <v>0.40429335504000002</v>
      </c>
      <c r="G974" s="44">
        <v>80000</v>
      </c>
      <c r="H974" s="50">
        <f t="shared" si="15"/>
        <v>80</v>
      </c>
    </row>
    <row r="975" spans="1:8" ht="38.25" x14ac:dyDescent="0.2">
      <c r="A975" s="14" t="s">
        <v>298</v>
      </c>
      <c r="B975" s="6" t="s">
        <v>304</v>
      </c>
      <c r="C975" s="16">
        <v>6</v>
      </c>
      <c r="D975" s="7">
        <v>195.4908824</v>
      </c>
      <c r="E975" s="8">
        <v>25</v>
      </c>
      <c r="F975" s="9">
        <v>0.28022218578000002</v>
      </c>
      <c r="G975" s="44">
        <v>80000</v>
      </c>
      <c r="H975" s="50">
        <f t="shared" si="15"/>
        <v>80</v>
      </c>
    </row>
    <row r="976" spans="1:8" ht="25.5" x14ac:dyDescent="0.2">
      <c r="A976" s="14" t="s">
        <v>298</v>
      </c>
      <c r="B976" s="6" t="s">
        <v>305</v>
      </c>
      <c r="C976" s="12">
        <v>6</v>
      </c>
      <c r="D976" s="7">
        <v>207.63797869999999</v>
      </c>
      <c r="E976" s="8">
        <v>35</v>
      </c>
      <c r="F976" s="9">
        <v>0.28977670320999999</v>
      </c>
      <c r="G976" s="44">
        <v>80000</v>
      </c>
      <c r="H976" s="50">
        <f t="shared" si="15"/>
        <v>80</v>
      </c>
    </row>
    <row r="977" spans="1:8" ht="25.5" x14ac:dyDescent="0.2">
      <c r="A977" s="14" t="s">
        <v>298</v>
      </c>
      <c r="B977" s="6" t="s">
        <v>303</v>
      </c>
      <c r="C977" s="16">
        <v>6</v>
      </c>
      <c r="D977" s="7">
        <v>237.3004225</v>
      </c>
      <c r="E977" s="8">
        <v>27</v>
      </c>
      <c r="F977" s="9">
        <v>0.30988002965</v>
      </c>
      <c r="G977" s="44">
        <v>80000</v>
      </c>
      <c r="H977" s="50">
        <f t="shared" si="15"/>
        <v>80</v>
      </c>
    </row>
    <row r="978" spans="1:8" ht="38.25" x14ac:dyDescent="0.2">
      <c r="A978" s="14" t="s">
        <v>160</v>
      </c>
      <c r="B978" s="6" t="s">
        <v>177</v>
      </c>
      <c r="C978" s="16">
        <v>6</v>
      </c>
      <c r="D978" s="7">
        <v>104.6333333</v>
      </c>
      <c r="E978" s="8">
        <v>3</v>
      </c>
      <c r="F978" s="9">
        <v>0.41599235424999997</v>
      </c>
      <c r="G978" s="44">
        <v>80210</v>
      </c>
      <c r="H978" s="50">
        <f t="shared" si="15"/>
        <v>80</v>
      </c>
    </row>
    <row r="979" spans="1:8" ht="38.25" x14ac:dyDescent="0.2">
      <c r="A979" s="14" t="s">
        <v>298</v>
      </c>
      <c r="B979" s="6" t="s">
        <v>177</v>
      </c>
      <c r="C979" s="12">
        <v>6</v>
      </c>
      <c r="D979" s="7">
        <v>169.2</v>
      </c>
      <c r="E979" s="8">
        <v>1</v>
      </c>
      <c r="F979" s="9">
        <v>0.32981481481000002</v>
      </c>
      <c r="G979" s="44">
        <v>80210</v>
      </c>
      <c r="H979" s="50">
        <f t="shared" si="15"/>
        <v>80</v>
      </c>
    </row>
    <row r="980" spans="1:8" ht="38.25" x14ac:dyDescent="0.2">
      <c r="A980" s="14" t="s">
        <v>160</v>
      </c>
      <c r="B980" s="6" t="s">
        <v>178</v>
      </c>
      <c r="C980" s="12">
        <v>6</v>
      </c>
      <c r="D980" s="7">
        <v>293.09666670000001</v>
      </c>
      <c r="E980" s="8">
        <v>6</v>
      </c>
      <c r="F980" s="9">
        <v>0.39679741610000002</v>
      </c>
      <c r="G980" s="44">
        <v>80210</v>
      </c>
      <c r="H980" s="50">
        <f t="shared" si="15"/>
        <v>80</v>
      </c>
    </row>
    <row r="981" spans="1:8" ht="38.25" x14ac:dyDescent="0.2">
      <c r="A981" s="14" t="s">
        <v>160</v>
      </c>
      <c r="B981" s="6" t="s">
        <v>182</v>
      </c>
      <c r="C981" s="12">
        <v>6</v>
      </c>
      <c r="D981" s="7">
        <v>183.85</v>
      </c>
      <c r="E981" s="8">
        <v>6</v>
      </c>
      <c r="F981" s="9">
        <v>0.40311939080999998</v>
      </c>
      <c r="G981" s="44">
        <v>80940</v>
      </c>
      <c r="H981" s="50">
        <f t="shared" si="15"/>
        <v>80</v>
      </c>
    </row>
    <row r="982" spans="1:8" ht="38.25" x14ac:dyDescent="0.2">
      <c r="A982" s="14" t="s">
        <v>8</v>
      </c>
      <c r="B982" s="6" t="s">
        <v>22</v>
      </c>
      <c r="C982" s="12">
        <v>6</v>
      </c>
      <c r="D982" s="7">
        <v>47.811999999999998</v>
      </c>
      <c r="E982" s="8">
        <v>5</v>
      </c>
      <c r="F982" s="9">
        <v>0.33902785911</v>
      </c>
      <c r="G982" s="44">
        <v>81000</v>
      </c>
      <c r="H982" s="50">
        <f t="shared" si="15"/>
        <v>81</v>
      </c>
    </row>
    <row r="983" spans="1:8" ht="38.25" x14ac:dyDescent="0.2">
      <c r="A983" s="14" t="s">
        <v>489</v>
      </c>
      <c r="B983" s="6" t="s">
        <v>22</v>
      </c>
      <c r="C983" s="16">
        <v>6</v>
      </c>
      <c r="D983" s="7">
        <v>57.5</v>
      </c>
      <c r="E983" s="8">
        <v>3</v>
      </c>
      <c r="F983" s="9">
        <v>0.17</v>
      </c>
      <c r="G983" s="44">
        <v>81000</v>
      </c>
      <c r="H983" s="50">
        <f t="shared" si="15"/>
        <v>81</v>
      </c>
    </row>
    <row r="984" spans="1:8" ht="25.5" x14ac:dyDescent="0.2">
      <c r="A984" s="14" t="s">
        <v>489</v>
      </c>
      <c r="B984" s="6" t="s">
        <v>492</v>
      </c>
      <c r="C984" s="16">
        <v>6</v>
      </c>
      <c r="D984" s="7">
        <v>65.260000000000005</v>
      </c>
      <c r="E984" s="8">
        <v>16</v>
      </c>
      <c r="F984" s="9">
        <v>0.16999980846000001</v>
      </c>
      <c r="G984" s="44">
        <v>81000</v>
      </c>
      <c r="H984" s="50">
        <f t="shared" si="15"/>
        <v>81</v>
      </c>
    </row>
    <row r="985" spans="1:8" x14ac:dyDescent="0.2">
      <c r="A985" s="14" t="s">
        <v>489</v>
      </c>
      <c r="B985" s="6" t="s">
        <v>529</v>
      </c>
      <c r="C985" s="16">
        <v>6</v>
      </c>
      <c r="D985" s="7">
        <v>173.45480000000001</v>
      </c>
      <c r="E985" s="8">
        <v>25</v>
      </c>
      <c r="F985" s="9">
        <v>0.17000025366999999</v>
      </c>
      <c r="G985" s="44">
        <v>81000</v>
      </c>
      <c r="H985" s="50">
        <f t="shared" si="15"/>
        <v>81</v>
      </c>
    </row>
    <row r="986" spans="1:8" ht="25.5" x14ac:dyDescent="0.2">
      <c r="A986" s="14" t="s">
        <v>489</v>
      </c>
      <c r="B986" s="6" t="s">
        <v>522</v>
      </c>
      <c r="C986" s="16">
        <v>6</v>
      </c>
      <c r="D986" s="7">
        <v>182.69916670000001</v>
      </c>
      <c r="E986" s="8">
        <v>24</v>
      </c>
      <c r="F986" s="9">
        <v>0.17000077541</v>
      </c>
      <c r="G986" s="44">
        <v>81000</v>
      </c>
      <c r="H986" s="50">
        <f t="shared" si="15"/>
        <v>81</v>
      </c>
    </row>
    <row r="987" spans="1:8" x14ac:dyDescent="0.2">
      <c r="A987" s="14" t="s">
        <v>489</v>
      </c>
      <c r="B987" s="6" t="s">
        <v>512</v>
      </c>
      <c r="C987" s="16">
        <v>6</v>
      </c>
      <c r="D987" s="7">
        <v>292.93333330000002</v>
      </c>
      <c r="E987" s="8">
        <v>3</v>
      </c>
      <c r="F987" s="9">
        <v>0.17</v>
      </c>
      <c r="G987" s="44">
        <v>81000</v>
      </c>
      <c r="H987" s="50">
        <f t="shared" si="15"/>
        <v>81</v>
      </c>
    </row>
    <row r="988" spans="1:8" ht="38.25" x14ac:dyDescent="0.2">
      <c r="A988" s="14" t="s">
        <v>489</v>
      </c>
      <c r="B988" s="6" t="s">
        <v>532</v>
      </c>
      <c r="C988" s="16">
        <v>6</v>
      </c>
      <c r="D988" s="7">
        <v>1260.7</v>
      </c>
      <c r="E988" s="8">
        <v>1</v>
      </c>
      <c r="F988" s="9">
        <v>0.17</v>
      </c>
      <c r="G988" s="44">
        <v>81000</v>
      </c>
      <c r="H988" s="50">
        <f t="shared" si="15"/>
        <v>81</v>
      </c>
    </row>
    <row r="989" spans="1:8" ht="25.5" x14ac:dyDescent="0.2">
      <c r="A989" s="14" t="s">
        <v>8</v>
      </c>
      <c r="B989" s="6" t="s">
        <v>85</v>
      </c>
      <c r="C989" s="12">
        <v>6</v>
      </c>
      <c r="D989" s="7">
        <v>22.49</v>
      </c>
      <c r="E989" s="8">
        <v>1</v>
      </c>
      <c r="F989" s="9">
        <v>1.48154735438</v>
      </c>
      <c r="G989" s="44">
        <v>81100</v>
      </c>
      <c r="H989" s="50">
        <f t="shared" si="15"/>
        <v>81</v>
      </c>
    </row>
    <row r="990" spans="1:8" ht="25.5" x14ac:dyDescent="0.2">
      <c r="A990" s="14" t="s">
        <v>489</v>
      </c>
      <c r="B990" s="6" t="s">
        <v>493</v>
      </c>
      <c r="C990" s="16">
        <v>6</v>
      </c>
      <c r="D990" s="7">
        <v>247.77181820000001</v>
      </c>
      <c r="E990" s="8">
        <v>11</v>
      </c>
      <c r="F990" s="9">
        <v>0.16999988993000001</v>
      </c>
      <c r="G990" s="44">
        <v>81300</v>
      </c>
      <c r="H990" s="50">
        <f t="shared" si="15"/>
        <v>81</v>
      </c>
    </row>
    <row r="991" spans="1:8" ht="25.5" x14ac:dyDescent="0.2">
      <c r="A991" s="14" t="s">
        <v>489</v>
      </c>
      <c r="B991" s="6" t="s">
        <v>518</v>
      </c>
      <c r="C991" s="12">
        <v>6</v>
      </c>
      <c r="D991" s="7">
        <v>15.029285700000001</v>
      </c>
      <c r="E991" s="8">
        <v>13</v>
      </c>
      <c r="F991" s="9">
        <v>0.17000142578999999</v>
      </c>
      <c r="G991" s="44">
        <v>82000</v>
      </c>
      <c r="H991" s="50">
        <f t="shared" si="15"/>
        <v>82</v>
      </c>
    </row>
    <row r="992" spans="1:8" ht="38.25" x14ac:dyDescent="0.2">
      <c r="A992" s="14" t="s">
        <v>489</v>
      </c>
      <c r="B992" s="6" t="s">
        <v>511</v>
      </c>
      <c r="C992" s="12">
        <v>6</v>
      </c>
      <c r="D992" s="7">
        <v>20.8</v>
      </c>
      <c r="E992" s="8">
        <v>1</v>
      </c>
      <c r="F992" s="9">
        <v>0.17</v>
      </c>
      <c r="G992" s="44">
        <v>82000</v>
      </c>
      <c r="H992" s="50">
        <f t="shared" si="15"/>
        <v>82</v>
      </c>
    </row>
    <row r="993" spans="1:8" ht="25.5" x14ac:dyDescent="0.2">
      <c r="A993" s="14" t="s">
        <v>604</v>
      </c>
      <c r="B993" s="6" t="s">
        <v>123</v>
      </c>
      <c r="C993" s="12">
        <v>6</v>
      </c>
      <c r="D993" s="7">
        <v>29.012307700000001</v>
      </c>
      <c r="E993" s="8">
        <v>32</v>
      </c>
      <c r="F993" s="9">
        <v>0.92203176370999995</v>
      </c>
      <c r="G993" s="44">
        <v>82000</v>
      </c>
      <c r="H993" s="50">
        <f t="shared" si="15"/>
        <v>82</v>
      </c>
    </row>
    <row r="994" spans="1:8" ht="25.5" x14ac:dyDescent="0.2">
      <c r="A994" s="14" t="s">
        <v>291</v>
      </c>
      <c r="B994" s="6" t="s">
        <v>123</v>
      </c>
      <c r="C994" s="12">
        <v>6</v>
      </c>
      <c r="D994" s="7">
        <v>33.345714299999997</v>
      </c>
      <c r="E994" s="8">
        <v>13</v>
      </c>
      <c r="F994" s="9">
        <v>0.45731728215</v>
      </c>
      <c r="G994" s="44">
        <v>82000</v>
      </c>
      <c r="H994" s="50">
        <f t="shared" si="15"/>
        <v>82</v>
      </c>
    </row>
    <row r="995" spans="1:8" ht="25.5" x14ac:dyDescent="0.2">
      <c r="A995" s="14" t="s">
        <v>8</v>
      </c>
      <c r="B995" s="6" t="s">
        <v>71</v>
      </c>
      <c r="C995" s="16">
        <v>6</v>
      </c>
      <c r="D995" s="7">
        <v>39.24</v>
      </c>
      <c r="E995" s="8">
        <v>1</v>
      </c>
      <c r="F995" s="9">
        <v>0.84913353720999996</v>
      </c>
      <c r="G995" s="44">
        <v>82000</v>
      </c>
      <c r="H995" s="50">
        <f t="shared" si="15"/>
        <v>82</v>
      </c>
    </row>
    <row r="996" spans="1:8" ht="25.5" x14ac:dyDescent="0.2">
      <c r="A996" s="14" t="s">
        <v>8</v>
      </c>
      <c r="B996" s="6" t="s">
        <v>73</v>
      </c>
      <c r="C996" s="12">
        <v>6</v>
      </c>
      <c r="D996" s="7">
        <v>42.5</v>
      </c>
      <c r="E996" s="8">
        <v>1</v>
      </c>
      <c r="F996" s="9">
        <v>1.2757647058799999</v>
      </c>
      <c r="G996" s="44">
        <v>82000</v>
      </c>
      <c r="H996" s="50">
        <f t="shared" si="15"/>
        <v>82</v>
      </c>
    </row>
    <row r="997" spans="1:8" ht="25.5" x14ac:dyDescent="0.2">
      <c r="A997" s="14" t="s">
        <v>298</v>
      </c>
      <c r="B997" s="6" t="s">
        <v>302</v>
      </c>
      <c r="C997" s="16">
        <v>6</v>
      </c>
      <c r="D997" s="7">
        <v>57.05</v>
      </c>
      <c r="E997" s="8">
        <v>1</v>
      </c>
      <c r="F997" s="9">
        <v>0.40411919368999999</v>
      </c>
      <c r="G997" s="44">
        <v>82000</v>
      </c>
      <c r="H997" s="50">
        <f t="shared" si="15"/>
        <v>82</v>
      </c>
    </row>
    <row r="998" spans="1:8" ht="38.25" x14ac:dyDescent="0.2">
      <c r="A998" s="14" t="s">
        <v>8</v>
      </c>
      <c r="B998" s="6" t="s">
        <v>72</v>
      </c>
      <c r="C998" s="16">
        <v>6</v>
      </c>
      <c r="D998" s="7">
        <v>67.155000000000001</v>
      </c>
      <c r="E998" s="8">
        <v>2</v>
      </c>
      <c r="F998" s="9">
        <v>0.71260516715</v>
      </c>
      <c r="G998" s="44">
        <v>82000</v>
      </c>
      <c r="H998" s="50">
        <f t="shared" si="15"/>
        <v>82</v>
      </c>
    </row>
    <row r="999" spans="1:8" ht="38.25" x14ac:dyDescent="0.2">
      <c r="A999" s="14" t="s">
        <v>8</v>
      </c>
      <c r="B999" s="6" t="s">
        <v>56</v>
      </c>
      <c r="C999" s="16">
        <v>6</v>
      </c>
      <c r="D999" s="7">
        <v>21.844999999999999</v>
      </c>
      <c r="E999" s="8">
        <v>2</v>
      </c>
      <c r="F999" s="9">
        <v>1.5252918287899999</v>
      </c>
      <c r="G999" s="44">
        <v>82500</v>
      </c>
      <c r="H999" s="50">
        <f t="shared" si="15"/>
        <v>82</v>
      </c>
    </row>
    <row r="1000" spans="1:8" ht="38.25" x14ac:dyDescent="0.2">
      <c r="A1000" s="14" t="s">
        <v>308</v>
      </c>
      <c r="B1000" s="6" t="s">
        <v>321</v>
      </c>
      <c r="C1000" s="16">
        <v>6</v>
      </c>
      <c r="D1000" s="7">
        <v>51.222857099999999</v>
      </c>
      <c r="E1000" s="8">
        <v>7</v>
      </c>
      <c r="F1000" s="9">
        <v>0.50582887103999996</v>
      </c>
      <c r="G1000" s="44">
        <v>83000</v>
      </c>
      <c r="H1000" s="50">
        <f t="shared" si="15"/>
        <v>83</v>
      </c>
    </row>
    <row r="1001" spans="1:8" ht="38.25" x14ac:dyDescent="0.2">
      <c r="A1001" s="14" t="s">
        <v>8</v>
      </c>
      <c r="B1001" s="6" t="s">
        <v>96</v>
      </c>
      <c r="C1001" s="16">
        <v>6</v>
      </c>
      <c r="D1001" s="7">
        <v>102.334</v>
      </c>
      <c r="E1001" s="8">
        <v>5</v>
      </c>
      <c r="F1001" s="9">
        <v>0.29925537944000002</v>
      </c>
      <c r="G1001" s="44">
        <v>83000</v>
      </c>
      <c r="H1001" s="50">
        <f t="shared" si="15"/>
        <v>83</v>
      </c>
    </row>
    <row r="1002" spans="1:8" ht="25.5" x14ac:dyDescent="0.2">
      <c r="A1002" s="14" t="s">
        <v>308</v>
      </c>
      <c r="B1002" s="6" t="s">
        <v>415</v>
      </c>
      <c r="C1002" s="16">
        <v>6</v>
      </c>
      <c r="D1002" s="7">
        <v>134.848806</v>
      </c>
      <c r="E1002" s="8">
        <v>67</v>
      </c>
      <c r="F1002" s="9">
        <v>0.23715449143</v>
      </c>
      <c r="G1002" s="44">
        <v>83000</v>
      </c>
      <c r="H1002" s="50">
        <f t="shared" si="15"/>
        <v>83</v>
      </c>
    </row>
    <row r="1003" spans="1:8" ht="38.25" x14ac:dyDescent="0.2">
      <c r="A1003" s="14" t="s">
        <v>308</v>
      </c>
      <c r="B1003" s="6" t="s">
        <v>345</v>
      </c>
      <c r="C1003" s="16">
        <v>6</v>
      </c>
      <c r="D1003" s="7">
        <v>184.8943333</v>
      </c>
      <c r="E1003" s="8">
        <v>30</v>
      </c>
      <c r="F1003" s="9">
        <v>0.22933224923000001</v>
      </c>
      <c r="G1003" s="44">
        <v>83000</v>
      </c>
      <c r="H1003" s="50">
        <f t="shared" si="15"/>
        <v>83</v>
      </c>
    </row>
    <row r="1004" spans="1:8" x14ac:dyDescent="0.2">
      <c r="A1004" s="14" t="s">
        <v>308</v>
      </c>
      <c r="B1004" s="6" t="s">
        <v>319</v>
      </c>
      <c r="C1004" s="12">
        <v>6</v>
      </c>
      <c r="D1004" s="7">
        <v>196.19679249999999</v>
      </c>
      <c r="E1004" s="8">
        <v>53</v>
      </c>
      <c r="F1004" s="9">
        <v>0.22344488542999999</v>
      </c>
      <c r="G1004" s="44">
        <v>83000</v>
      </c>
      <c r="H1004" s="50">
        <f t="shared" si="15"/>
        <v>83</v>
      </c>
    </row>
    <row r="1005" spans="1:8" ht="25.5" x14ac:dyDescent="0.2">
      <c r="A1005" s="14" t="s">
        <v>308</v>
      </c>
      <c r="B1005" s="6" t="s">
        <v>352</v>
      </c>
      <c r="C1005" s="12">
        <v>6</v>
      </c>
      <c r="D1005" s="7">
        <v>217.9593548</v>
      </c>
      <c r="E1005" s="8">
        <v>61</v>
      </c>
      <c r="F1005" s="9">
        <v>0.22808114564000001</v>
      </c>
      <c r="G1005" s="44">
        <v>83000</v>
      </c>
      <c r="H1005" s="50">
        <f t="shared" si="15"/>
        <v>83</v>
      </c>
    </row>
    <row r="1006" spans="1:8" ht="38.25" x14ac:dyDescent="0.2">
      <c r="A1006" s="14" t="s">
        <v>308</v>
      </c>
      <c r="B1006" s="6" t="s">
        <v>399</v>
      </c>
      <c r="C1006" s="16">
        <v>6</v>
      </c>
      <c r="D1006" s="7">
        <v>223.70750000000001</v>
      </c>
      <c r="E1006" s="8">
        <v>92</v>
      </c>
      <c r="F1006" s="9">
        <v>0.22388328315</v>
      </c>
      <c r="G1006" s="44">
        <v>83000</v>
      </c>
      <c r="H1006" s="50">
        <f t="shared" si="15"/>
        <v>83</v>
      </c>
    </row>
    <row r="1007" spans="1:8" ht="38.25" x14ac:dyDescent="0.2">
      <c r="A1007" s="14" t="s">
        <v>308</v>
      </c>
      <c r="B1007" s="6" t="s">
        <v>350</v>
      </c>
      <c r="C1007" s="16">
        <v>6</v>
      </c>
      <c r="D1007" s="7">
        <v>143.51256409999999</v>
      </c>
      <c r="E1007" s="8">
        <v>39</v>
      </c>
      <c r="F1007" s="9">
        <v>0.23217926064</v>
      </c>
      <c r="G1007" s="44">
        <v>83100</v>
      </c>
      <c r="H1007" s="50">
        <f t="shared" si="15"/>
        <v>83</v>
      </c>
    </row>
    <row r="1008" spans="1:8" ht="25.5" x14ac:dyDescent="0.2">
      <c r="A1008" s="14" t="s">
        <v>308</v>
      </c>
      <c r="B1008" s="6" t="s">
        <v>313</v>
      </c>
      <c r="C1008" s="12">
        <v>6</v>
      </c>
      <c r="D1008" s="7">
        <v>274.77352939999997</v>
      </c>
      <c r="E1008" s="8">
        <v>17</v>
      </c>
      <c r="F1008" s="9">
        <v>0.21902101196000001</v>
      </c>
      <c r="G1008" s="44">
        <v>83100</v>
      </c>
      <c r="H1008" s="50">
        <f t="shared" si="15"/>
        <v>83</v>
      </c>
    </row>
    <row r="1009" spans="1:8" ht="25.5" x14ac:dyDescent="0.2">
      <c r="A1009" s="14" t="s">
        <v>308</v>
      </c>
      <c r="B1009" s="6" t="s">
        <v>371</v>
      </c>
      <c r="C1009" s="16">
        <v>6</v>
      </c>
      <c r="D1009" s="7">
        <v>97.706060600000001</v>
      </c>
      <c r="E1009" s="8">
        <v>33</v>
      </c>
      <c r="F1009" s="9">
        <v>0.29587879540000001</v>
      </c>
      <c r="G1009" s="44">
        <v>83150</v>
      </c>
      <c r="H1009" s="50">
        <f t="shared" si="15"/>
        <v>83</v>
      </c>
    </row>
    <row r="1010" spans="1:8" ht="25.5" x14ac:dyDescent="0.2">
      <c r="A1010" s="14" t="s">
        <v>308</v>
      </c>
      <c r="B1010" s="6" t="s">
        <v>340</v>
      </c>
      <c r="C1010" s="12">
        <v>6</v>
      </c>
      <c r="D1010" s="7">
        <v>118.6422</v>
      </c>
      <c r="E1010" s="8">
        <v>50</v>
      </c>
      <c r="F1010" s="9">
        <v>0.25424730828999997</v>
      </c>
      <c r="G1010" s="44">
        <v>83200</v>
      </c>
      <c r="H1010" s="50">
        <f t="shared" si="15"/>
        <v>83</v>
      </c>
    </row>
    <row r="1011" spans="1:8" ht="25.5" x14ac:dyDescent="0.2">
      <c r="A1011" s="14" t="s">
        <v>308</v>
      </c>
      <c r="B1011" s="6" t="s">
        <v>328</v>
      </c>
      <c r="C1011" s="12">
        <v>6</v>
      </c>
      <c r="D1011" s="7">
        <v>125.71362070000001</v>
      </c>
      <c r="E1011" s="8">
        <v>58</v>
      </c>
      <c r="F1011" s="9">
        <v>0.25055784974</v>
      </c>
      <c r="G1011" s="44">
        <v>83200</v>
      </c>
      <c r="H1011" s="50">
        <f t="shared" si="15"/>
        <v>83</v>
      </c>
    </row>
    <row r="1012" spans="1:8" ht="25.5" x14ac:dyDescent="0.2">
      <c r="A1012" s="14" t="s">
        <v>308</v>
      </c>
      <c r="B1012" s="6" t="s">
        <v>435</v>
      </c>
      <c r="C1012" s="16">
        <v>6</v>
      </c>
      <c r="D1012" s="7">
        <v>250.82526319999999</v>
      </c>
      <c r="E1012" s="8">
        <v>19</v>
      </c>
      <c r="F1012" s="9">
        <v>0.22203148344000001</v>
      </c>
      <c r="G1012" s="44">
        <v>83240</v>
      </c>
      <c r="H1012" s="50">
        <f t="shared" si="15"/>
        <v>83</v>
      </c>
    </row>
    <row r="1013" spans="1:8" ht="38.25" x14ac:dyDescent="0.2">
      <c r="A1013" s="14" t="s">
        <v>308</v>
      </c>
      <c r="B1013" s="6" t="s">
        <v>457</v>
      </c>
      <c r="C1013" s="16">
        <v>6</v>
      </c>
      <c r="D1013" s="7">
        <v>232.98</v>
      </c>
      <c r="E1013" s="8">
        <v>12</v>
      </c>
      <c r="F1013" s="9">
        <v>0.22830786619999999</v>
      </c>
      <c r="G1013" s="44">
        <v>83300</v>
      </c>
      <c r="H1013" s="50">
        <f t="shared" si="15"/>
        <v>83</v>
      </c>
    </row>
    <row r="1014" spans="1:8" ht="25.5" x14ac:dyDescent="0.2">
      <c r="A1014" s="14" t="s">
        <v>308</v>
      </c>
      <c r="B1014" s="6" t="s">
        <v>368</v>
      </c>
      <c r="C1014" s="16">
        <v>6</v>
      </c>
      <c r="D1014" s="7">
        <v>265.36488370000001</v>
      </c>
      <c r="E1014" s="8">
        <v>43</v>
      </c>
      <c r="F1014" s="9">
        <v>0.22495870101000001</v>
      </c>
      <c r="G1014" s="44">
        <v>83310</v>
      </c>
      <c r="H1014" s="50">
        <f t="shared" si="15"/>
        <v>83</v>
      </c>
    </row>
    <row r="1015" spans="1:8" ht="25.5" x14ac:dyDescent="0.2">
      <c r="A1015" s="14" t="s">
        <v>308</v>
      </c>
      <c r="B1015" s="6" t="s">
        <v>449</v>
      </c>
      <c r="C1015" s="12">
        <v>6</v>
      </c>
      <c r="D1015" s="7">
        <v>151.5436364</v>
      </c>
      <c r="E1015" s="8">
        <v>32</v>
      </c>
      <c r="F1015" s="9">
        <v>0.24218826861000001</v>
      </c>
      <c r="G1015" s="48">
        <v>83400</v>
      </c>
      <c r="H1015" s="50">
        <f t="shared" si="15"/>
        <v>83</v>
      </c>
    </row>
    <row r="1016" spans="1:8" x14ac:dyDescent="0.2">
      <c r="A1016" s="14" t="s">
        <v>308</v>
      </c>
      <c r="B1016" s="6" t="s">
        <v>450</v>
      </c>
      <c r="C1016" s="16">
        <v>6</v>
      </c>
      <c r="D1016" s="7">
        <v>245.832807</v>
      </c>
      <c r="E1016" s="8">
        <v>57</v>
      </c>
      <c r="F1016" s="9">
        <v>0.22577589817999999</v>
      </c>
      <c r="G1016" s="44">
        <v>83400</v>
      </c>
      <c r="H1016" s="50">
        <f t="shared" si="15"/>
        <v>83</v>
      </c>
    </row>
    <row r="1017" spans="1:8" ht="25.5" x14ac:dyDescent="0.2">
      <c r="A1017" s="14" t="s">
        <v>308</v>
      </c>
      <c r="B1017" s="6" t="s">
        <v>330</v>
      </c>
      <c r="C1017" s="16">
        <v>6</v>
      </c>
      <c r="D1017" s="7">
        <v>283.01478259999999</v>
      </c>
      <c r="E1017" s="8">
        <v>92</v>
      </c>
      <c r="F1017" s="9">
        <v>0.21926696869000001</v>
      </c>
      <c r="G1017" s="44">
        <v>83400</v>
      </c>
      <c r="H1017" s="50">
        <f t="shared" si="15"/>
        <v>83</v>
      </c>
    </row>
    <row r="1018" spans="1:8" ht="38.25" x14ac:dyDescent="0.2">
      <c r="A1018" s="14" t="s">
        <v>308</v>
      </c>
      <c r="B1018" s="6" t="s">
        <v>441</v>
      </c>
      <c r="C1018" s="16">
        <v>6</v>
      </c>
      <c r="D1018" s="7">
        <v>227.57624999999999</v>
      </c>
      <c r="E1018" s="8">
        <v>48</v>
      </c>
      <c r="F1018" s="9">
        <v>0.22679916804</v>
      </c>
      <c r="G1018" s="44">
        <v>83420</v>
      </c>
      <c r="H1018" s="50">
        <f t="shared" si="15"/>
        <v>83</v>
      </c>
    </row>
    <row r="1019" spans="1:8" x14ac:dyDescent="0.2">
      <c r="A1019" s="14" t="s">
        <v>308</v>
      </c>
      <c r="B1019" s="6" t="s">
        <v>364</v>
      </c>
      <c r="C1019" s="12">
        <v>6</v>
      </c>
      <c r="D1019" s="7">
        <v>220.55103449999999</v>
      </c>
      <c r="E1019" s="8">
        <v>28</v>
      </c>
      <c r="F1019" s="9">
        <v>0.22154540820999999</v>
      </c>
      <c r="G1019" s="44">
        <v>83470</v>
      </c>
      <c r="H1019" s="50">
        <f t="shared" si="15"/>
        <v>83</v>
      </c>
    </row>
    <row r="1020" spans="1:8" ht="25.5" x14ac:dyDescent="0.2">
      <c r="A1020" s="14" t="s">
        <v>308</v>
      </c>
      <c r="B1020" s="6" t="s">
        <v>334</v>
      </c>
      <c r="C1020" s="12">
        <v>6</v>
      </c>
      <c r="D1020" s="7">
        <v>194.49625</v>
      </c>
      <c r="E1020" s="8">
        <v>8</v>
      </c>
      <c r="F1020" s="9">
        <v>0.22056145041</v>
      </c>
      <c r="G1020" s="44">
        <v>83490</v>
      </c>
      <c r="H1020" s="50">
        <f t="shared" si="15"/>
        <v>83</v>
      </c>
    </row>
    <row r="1021" spans="1:8" ht="25.5" x14ac:dyDescent="0.2">
      <c r="A1021" s="14" t="s">
        <v>308</v>
      </c>
      <c r="B1021" s="6" t="s">
        <v>343</v>
      </c>
      <c r="C1021" s="12">
        <v>6</v>
      </c>
      <c r="D1021" s="7">
        <v>302.21708330000001</v>
      </c>
      <c r="E1021" s="8">
        <v>24</v>
      </c>
      <c r="F1021" s="9">
        <v>0.21934178108999999</v>
      </c>
      <c r="G1021" s="44">
        <v>83500</v>
      </c>
      <c r="H1021" s="50">
        <f t="shared" si="15"/>
        <v>83</v>
      </c>
    </row>
    <row r="1022" spans="1:8" ht="25.5" x14ac:dyDescent="0.2">
      <c r="A1022" s="14" t="s">
        <v>8</v>
      </c>
      <c r="B1022" s="6" t="s">
        <v>58</v>
      </c>
      <c r="C1022" s="12">
        <v>6</v>
      </c>
      <c r="D1022" s="7">
        <v>17</v>
      </c>
      <c r="E1022" s="8">
        <v>2</v>
      </c>
      <c r="F1022" s="9">
        <v>2.0176470588200002</v>
      </c>
      <c r="G1022" s="44">
        <v>83510</v>
      </c>
      <c r="H1022" s="50">
        <f t="shared" si="15"/>
        <v>83</v>
      </c>
    </row>
    <row r="1023" spans="1:8" ht="25.5" x14ac:dyDescent="0.2">
      <c r="A1023" s="14" t="s">
        <v>308</v>
      </c>
      <c r="B1023" s="6" t="s">
        <v>410</v>
      </c>
      <c r="C1023" s="16">
        <v>6</v>
      </c>
      <c r="D1023" s="7">
        <v>154.37200000000001</v>
      </c>
      <c r="E1023" s="8">
        <v>5</v>
      </c>
      <c r="F1023" s="9">
        <v>0.24642033528999999</v>
      </c>
      <c r="G1023" s="44">
        <v>83590</v>
      </c>
      <c r="H1023" s="50">
        <f t="shared" si="15"/>
        <v>83</v>
      </c>
    </row>
    <row r="1024" spans="1:8" ht="25.5" x14ac:dyDescent="0.2">
      <c r="A1024" s="14" t="s">
        <v>308</v>
      </c>
      <c r="B1024" s="6" t="s">
        <v>448</v>
      </c>
      <c r="C1024" s="16">
        <v>6</v>
      </c>
      <c r="D1024" s="7">
        <v>452.81964290000002</v>
      </c>
      <c r="E1024" s="8">
        <v>28</v>
      </c>
      <c r="F1024" s="9">
        <v>0.21754640566</v>
      </c>
      <c r="G1024" s="44">
        <v>83600</v>
      </c>
      <c r="H1024" s="50">
        <f t="shared" si="15"/>
        <v>83</v>
      </c>
    </row>
    <row r="1025" spans="1:8" ht="38.25" x14ac:dyDescent="0.2">
      <c r="A1025" s="14" t="s">
        <v>8</v>
      </c>
      <c r="B1025" s="6" t="s">
        <v>88</v>
      </c>
      <c r="C1025" s="12">
        <v>6</v>
      </c>
      <c r="D1025" s="7">
        <v>24.445</v>
      </c>
      <c r="E1025" s="8">
        <v>2</v>
      </c>
      <c r="F1025" s="9">
        <v>1.40314992841</v>
      </c>
      <c r="G1025" s="44">
        <v>83690</v>
      </c>
      <c r="H1025" s="50">
        <f t="shared" si="15"/>
        <v>83</v>
      </c>
    </row>
    <row r="1026" spans="1:8" ht="25.5" x14ac:dyDescent="0.2">
      <c r="A1026" s="14" t="s">
        <v>308</v>
      </c>
      <c r="B1026" s="6" t="s">
        <v>459</v>
      </c>
      <c r="C1026" s="16">
        <v>6</v>
      </c>
      <c r="D1026" s="7">
        <v>113.1434146</v>
      </c>
      <c r="E1026" s="8">
        <v>41</v>
      </c>
      <c r="F1026" s="9">
        <v>0.27807466457000002</v>
      </c>
      <c r="G1026" s="44">
        <v>83704</v>
      </c>
      <c r="H1026" s="50">
        <f t="shared" si="15"/>
        <v>83</v>
      </c>
    </row>
    <row r="1027" spans="1:8" ht="25.5" x14ac:dyDescent="0.2">
      <c r="A1027" s="14" t="s">
        <v>308</v>
      </c>
      <c r="B1027" s="6" t="s">
        <v>386</v>
      </c>
      <c r="C1027" s="16">
        <v>6</v>
      </c>
      <c r="D1027" s="7">
        <v>103.04875</v>
      </c>
      <c r="E1027" s="8">
        <v>22</v>
      </c>
      <c r="F1027" s="9">
        <v>0.25689782748000001</v>
      </c>
      <c r="G1027" s="44">
        <v>84000</v>
      </c>
      <c r="H1027" s="50">
        <f t="shared" ref="H1027:H1090" si="16">IF(LEN(G1027)=4,VALUE(LEFT(G1027,1)),VALUE(LEFT(G1027,2)))</f>
        <v>84</v>
      </c>
    </row>
    <row r="1028" spans="1:8" ht="25.5" x14ac:dyDescent="0.2">
      <c r="A1028" s="14" t="s">
        <v>308</v>
      </c>
      <c r="B1028" s="6" t="s">
        <v>420</v>
      </c>
      <c r="C1028" s="16">
        <v>6</v>
      </c>
      <c r="D1028" s="7">
        <v>139.16166670000001</v>
      </c>
      <c r="E1028" s="8">
        <v>24</v>
      </c>
      <c r="F1028" s="9">
        <v>0.22858396110000001</v>
      </c>
      <c r="G1028" s="44">
        <v>84000</v>
      </c>
      <c r="H1028" s="50">
        <f t="shared" si="16"/>
        <v>84</v>
      </c>
    </row>
    <row r="1029" spans="1:8" ht="25.5" x14ac:dyDescent="0.2">
      <c r="A1029" s="14" t="s">
        <v>308</v>
      </c>
      <c r="B1029" s="6" t="s">
        <v>452</v>
      </c>
      <c r="C1029" s="12">
        <v>6</v>
      </c>
      <c r="D1029" s="7">
        <v>152.08682930000001</v>
      </c>
      <c r="E1029" s="8">
        <v>41</v>
      </c>
      <c r="F1029" s="9">
        <v>0.23999159657999999</v>
      </c>
      <c r="G1029" s="44">
        <v>84000</v>
      </c>
      <c r="H1029" s="50">
        <f t="shared" si="16"/>
        <v>84</v>
      </c>
    </row>
    <row r="1030" spans="1:8" ht="25.5" x14ac:dyDescent="0.2">
      <c r="A1030" s="14" t="s">
        <v>308</v>
      </c>
      <c r="B1030" s="6" t="s">
        <v>439</v>
      </c>
      <c r="C1030" s="16">
        <v>6</v>
      </c>
      <c r="D1030" s="7">
        <v>163.9978571</v>
      </c>
      <c r="E1030" s="8">
        <v>14</v>
      </c>
      <c r="F1030" s="9">
        <v>0.23078393881000001</v>
      </c>
      <c r="G1030" s="44">
        <v>84000</v>
      </c>
      <c r="H1030" s="50">
        <f t="shared" si="16"/>
        <v>84</v>
      </c>
    </row>
    <row r="1031" spans="1:8" ht="25.5" x14ac:dyDescent="0.2">
      <c r="A1031" s="14" t="s">
        <v>308</v>
      </c>
      <c r="B1031" s="6" t="s">
        <v>341</v>
      </c>
      <c r="C1031" s="16">
        <v>6</v>
      </c>
      <c r="D1031" s="7">
        <v>183.51227270000001</v>
      </c>
      <c r="E1031" s="8">
        <v>22</v>
      </c>
      <c r="F1031" s="9">
        <v>0.22675520834999999</v>
      </c>
      <c r="G1031" s="44">
        <v>84000</v>
      </c>
      <c r="H1031" s="50">
        <f t="shared" si="16"/>
        <v>84</v>
      </c>
    </row>
    <row r="1032" spans="1:8" ht="25.5" x14ac:dyDescent="0.2">
      <c r="A1032" s="14" t="s">
        <v>308</v>
      </c>
      <c r="B1032" s="6" t="s">
        <v>337</v>
      </c>
      <c r="C1032" s="12">
        <v>6</v>
      </c>
      <c r="D1032" s="7">
        <v>19.12</v>
      </c>
      <c r="E1032" s="8">
        <v>2</v>
      </c>
      <c r="F1032" s="9">
        <v>1.3551255230100001</v>
      </c>
      <c r="G1032" s="44">
        <v>84100</v>
      </c>
      <c r="H1032" s="50">
        <f t="shared" si="16"/>
        <v>84</v>
      </c>
    </row>
    <row r="1033" spans="1:8" ht="25.5" x14ac:dyDescent="0.2">
      <c r="A1033" s="14" t="s">
        <v>308</v>
      </c>
      <c r="B1033" s="6" t="s">
        <v>403</v>
      </c>
      <c r="C1033" s="12">
        <v>6</v>
      </c>
      <c r="D1033" s="7">
        <v>242.2435897</v>
      </c>
      <c r="E1033" s="8">
        <v>39</v>
      </c>
      <c r="F1033" s="9">
        <v>0.22173802593</v>
      </c>
      <c r="G1033" s="44">
        <v>84120</v>
      </c>
      <c r="H1033" s="50">
        <f t="shared" si="16"/>
        <v>84</v>
      </c>
    </row>
    <row r="1034" spans="1:8" ht="25.5" x14ac:dyDescent="0.2">
      <c r="A1034" s="14" t="s">
        <v>308</v>
      </c>
      <c r="B1034" s="6" t="s">
        <v>317</v>
      </c>
      <c r="C1034" s="16">
        <v>6</v>
      </c>
      <c r="D1034" s="7">
        <v>102.9256</v>
      </c>
      <c r="E1034" s="8">
        <v>25</v>
      </c>
      <c r="F1034" s="9">
        <v>0.27090558616999999</v>
      </c>
      <c r="G1034" s="44">
        <v>84130</v>
      </c>
      <c r="H1034" s="50">
        <f t="shared" si="16"/>
        <v>84</v>
      </c>
    </row>
    <row r="1035" spans="1:8" ht="38.25" x14ac:dyDescent="0.2">
      <c r="A1035" s="14" t="s">
        <v>8</v>
      </c>
      <c r="B1035" s="6" t="s">
        <v>55</v>
      </c>
      <c r="C1035" s="12">
        <v>6</v>
      </c>
      <c r="D1035" s="7">
        <v>58.22</v>
      </c>
      <c r="E1035" s="8">
        <v>4</v>
      </c>
      <c r="F1035" s="9">
        <v>0.55384747508999999</v>
      </c>
      <c r="G1035" s="44">
        <v>84160</v>
      </c>
      <c r="H1035" s="50">
        <f t="shared" si="16"/>
        <v>84</v>
      </c>
    </row>
    <row r="1036" spans="1:8" ht="25.5" x14ac:dyDescent="0.2">
      <c r="A1036" s="14" t="s">
        <v>308</v>
      </c>
      <c r="B1036" s="6" t="s">
        <v>314</v>
      </c>
      <c r="C1036" s="16">
        <v>6</v>
      </c>
      <c r="D1036" s="7">
        <v>82.404285700000003</v>
      </c>
      <c r="E1036" s="8">
        <v>14</v>
      </c>
      <c r="F1036" s="9">
        <v>0.31659327705000001</v>
      </c>
      <c r="G1036" s="44">
        <v>84200</v>
      </c>
      <c r="H1036" s="50">
        <f t="shared" si="16"/>
        <v>84</v>
      </c>
    </row>
    <row r="1037" spans="1:8" ht="25.5" x14ac:dyDescent="0.2">
      <c r="A1037" s="14" t="s">
        <v>308</v>
      </c>
      <c r="B1037" s="6" t="s">
        <v>338</v>
      </c>
      <c r="C1037" s="16">
        <v>6</v>
      </c>
      <c r="D1037" s="7">
        <v>355.06222220000001</v>
      </c>
      <c r="E1037" s="8">
        <v>9</v>
      </c>
      <c r="F1037" s="9">
        <v>0.21817177584</v>
      </c>
      <c r="G1037" s="44">
        <v>84200</v>
      </c>
      <c r="H1037" s="50">
        <f t="shared" si="16"/>
        <v>84</v>
      </c>
    </row>
    <row r="1038" spans="1:8" ht="25.5" x14ac:dyDescent="0.2">
      <c r="A1038" s="14" t="s">
        <v>308</v>
      </c>
      <c r="B1038" s="6" t="s">
        <v>417</v>
      </c>
      <c r="C1038" s="12">
        <v>6</v>
      </c>
      <c r="D1038" s="7">
        <v>45.32</v>
      </c>
      <c r="E1038" s="8">
        <v>1</v>
      </c>
      <c r="F1038" s="9">
        <v>0.57171226830999999</v>
      </c>
      <c r="G1038" s="44">
        <v>84270</v>
      </c>
      <c r="H1038" s="50">
        <f t="shared" si="16"/>
        <v>84</v>
      </c>
    </row>
    <row r="1039" spans="1:8" ht="25.5" x14ac:dyDescent="0.2">
      <c r="A1039" s="14" t="s">
        <v>308</v>
      </c>
      <c r="B1039" s="6" t="s">
        <v>339</v>
      </c>
      <c r="C1039" s="16">
        <v>6</v>
      </c>
      <c r="D1039" s="7">
        <v>244.0465116</v>
      </c>
      <c r="E1039" s="8">
        <v>43</v>
      </c>
      <c r="F1039" s="9">
        <v>0.22500505051</v>
      </c>
      <c r="G1039" s="44">
        <v>84300</v>
      </c>
      <c r="H1039" s="50">
        <f t="shared" si="16"/>
        <v>84</v>
      </c>
    </row>
    <row r="1040" spans="1:8" ht="25.5" x14ac:dyDescent="0.2">
      <c r="A1040" s="14" t="s">
        <v>308</v>
      </c>
      <c r="B1040" s="6" t="s">
        <v>444</v>
      </c>
      <c r="C1040" s="16">
        <v>6</v>
      </c>
      <c r="D1040" s="7">
        <v>202.22499999999999</v>
      </c>
      <c r="E1040" s="8">
        <v>22</v>
      </c>
      <c r="F1040" s="9">
        <v>0.22036030974000001</v>
      </c>
      <c r="G1040" s="44">
        <v>84400</v>
      </c>
      <c r="H1040" s="50">
        <f t="shared" si="16"/>
        <v>84</v>
      </c>
    </row>
    <row r="1041" spans="1:8" ht="25.5" x14ac:dyDescent="0.2">
      <c r="A1041" s="14" t="s">
        <v>308</v>
      </c>
      <c r="B1041" s="6" t="s">
        <v>434</v>
      </c>
      <c r="C1041" s="12">
        <v>6</v>
      </c>
      <c r="D1041" s="7">
        <v>266.67</v>
      </c>
      <c r="E1041" s="8">
        <v>6</v>
      </c>
      <c r="F1041" s="9">
        <v>0.21913726078000001</v>
      </c>
      <c r="G1041" s="44">
        <v>84700</v>
      </c>
      <c r="H1041" s="50">
        <f t="shared" si="16"/>
        <v>84</v>
      </c>
    </row>
    <row r="1042" spans="1:8" ht="38.25" x14ac:dyDescent="0.2">
      <c r="A1042" s="14" t="s">
        <v>184</v>
      </c>
      <c r="B1042" s="6" t="s">
        <v>245</v>
      </c>
      <c r="C1042" s="12">
        <v>6</v>
      </c>
      <c r="D1042" s="7">
        <v>171.34</v>
      </c>
      <c r="E1042" s="8">
        <v>1</v>
      </c>
      <c r="F1042" s="9">
        <v>8.2407299330000003E-2</v>
      </c>
      <c r="G1042" s="44">
        <v>85204</v>
      </c>
      <c r="H1042" s="50">
        <f t="shared" si="16"/>
        <v>85</v>
      </c>
    </row>
    <row r="1043" spans="1:8" ht="25.5" x14ac:dyDescent="0.2">
      <c r="A1043" s="14" t="s">
        <v>160</v>
      </c>
      <c r="B1043" s="6" t="s">
        <v>164</v>
      </c>
      <c r="C1043" s="16">
        <v>6</v>
      </c>
      <c r="D1043" s="7">
        <v>288.61428569999998</v>
      </c>
      <c r="E1043" s="8">
        <v>21</v>
      </c>
      <c r="F1043" s="9">
        <v>0.20695375274</v>
      </c>
      <c r="G1043" s="44">
        <v>87003</v>
      </c>
      <c r="H1043" s="50">
        <f t="shared" si="16"/>
        <v>87</v>
      </c>
    </row>
    <row r="1044" spans="1:8" ht="38.25" x14ac:dyDescent="0.2">
      <c r="A1044" s="14" t="s">
        <v>160</v>
      </c>
      <c r="B1044" s="6" t="s">
        <v>163</v>
      </c>
      <c r="C1044" s="12">
        <v>6</v>
      </c>
      <c r="D1044" s="7">
        <v>2312.8155556000002</v>
      </c>
      <c r="E1044" s="8">
        <v>45</v>
      </c>
      <c r="F1044" s="9">
        <v>0.19749317571</v>
      </c>
      <c r="G1044" s="44">
        <v>87003</v>
      </c>
      <c r="H1044" s="50">
        <f t="shared" si="16"/>
        <v>87</v>
      </c>
    </row>
    <row r="1045" spans="1:8" ht="25.5" x14ac:dyDescent="0.2">
      <c r="A1045" s="14" t="s">
        <v>291</v>
      </c>
      <c r="B1045" s="6" t="s">
        <v>294</v>
      </c>
      <c r="C1045" s="12">
        <v>6</v>
      </c>
      <c r="D1045" s="7">
        <v>121.7055172</v>
      </c>
      <c r="E1045" s="8">
        <v>20</v>
      </c>
      <c r="F1045" s="9">
        <v>0.28955930936000002</v>
      </c>
      <c r="G1045" s="48">
        <v>89630</v>
      </c>
      <c r="H1045" s="50">
        <f t="shared" si="16"/>
        <v>89</v>
      </c>
    </row>
    <row r="1046" spans="1:8" ht="38.25" x14ac:dyDescent="0.2">
      <c r="A1046" s="14" t="s">
        <v>184</v>
      </c>
      <c r="B1046" s="6" t="s">
        <v>185</v>
      </c>
      <c r="C1046" s="12">
        <v>6</v>
      </c>
      <c r="D1046" s="7">
        <v>66.564756099999997</v>
      </c>
      <c r="E1046" s="8">
        <v>24</v>
      </c>
      <c r="F1046" s="9">
        <v>0.10803160685</v>
      </c>
      <c r="G1046" s="47">
        <v>91000</v>
      </c>
      <c r="H1046" s="50">
        <f t="shared" si="16"/>
        <v>91</v>
      </c>
    </row>
    <row r="1047" spans="1:8" ht="25.5" x14ac:dyDescent="0.2">
      <c r="A1047" s="14" t="s">
        <v>184</v>
      </c>
      <c r="B1047" s="6" t="s">
        <v>268</v>
      </c>
      <c r="C1047" s="12">
        <v>6</v>
      </c>
      <c r="D1047" s="7">
        <v>398.5065798</v>
      </c>
      <c r="E1047" s="8">
        <v>86</v>
      </c>
      <c r="F1047" s="9">
        <v>7.5068014520000004E-2</v>
      </c>
      <c r="G1047" s="44">
        <v>91000</v>
      </c>
      <c r="H1047" s="50">
        <f t="shared" si="16"/>
        <v>91</v>
      </c>
    </row>
    <row r="1048" spans="1:8" ht="25.5" x14ac:dyDescent="0.2">
      <c r="A1048" s="14" t="s">
        <v>290</v>
      </c>
      <c r="B1048" s="6" t="s">
        <v>268</v>
      </c>
      <c r="C1048" s="12">
        <v>6</v>
      </c>
      <c r="D1048" s="7">
        <v>655.92499999999995</v>
      </c>
      <c r="E1048" s="8">
        <v>2</v>
      </c>
      <c r="F1048" s="9">
        <v>7.2120288140000002E-2</v>
      </c>
      <c r="G1048" s="44">
        <v>91000</v>
      </c>
      <c r="H1048" s="50">
        <f t="shared" si="16"/>
        <v>91</v>
      </c>
    </row>
    <row r="1049" spans="1:8" ht="38.25" x14ac:dyDescent="0.2">
      <c r="A1049" s="14" t="s">
        <v>184</v>
      </c>
      <c r="B1049" s="6" t="s">
        <v>208</v>
      </c>
      <c r="C1049" s="16">
        <v>6</v>
      </c>
      <c r="D1049" s="7">
        <v>30.937916699999999</v>
      </c>
      <c r="E1049" s="8">
        <v>20</v>
      </c>
      <c r="F1049" s="9">
        <v>0.14974029529999999</v>
      </c>
      <c r="G1049" s="44">
        <v>91150</v>
      </c>
      <c r="H1049" s="50">
        <f t="shared" si="16"/>
        <v>91</v>
      </c>
    </row>
    <row r="1050" spans="1:8" ht="25.5" x14ac:dyDescent="0.2">
      <c r="A1050" s="14" t="s">
        <v>184</v>
      </c>
      <c r="B1050" s="6" t="s">
        <v>197</v>
      </c>
      <c r="C1050" s="12">
        <v>6</v>
      </c>
      <c r="D1050" s="7">
        <v>62.8803226</v>
      </c>
      <c r="E1050" s="8">
        <v>25</v>
      </c>
      <c r="F1050" s="9">
        <v>0.11757973416</v>
      </c>
      <c r="G1050" s="44">
        <v>91190</v>
      </c>
      <c r="H1050" s="50">
        <f t="shared" si="16"/>
        <v>91</v>
      </c>
    </row>
    <row r="1051" spans="1:8" ht="38.25" x14ac:dyDescent="0.2">
      <c r="A1051" s="14" t="s">
        <v>160</v>
      </c>
      <c r="B1051" s="6" t="s">
        <v>174</v>
      </c>
      <c r="C1051" s="16">
        <v>6</v>
      </c>
      <c r="D1051" s="7">
        <v>261.63600000000002</v>
      </c>
      <c r="E1051" s="8">
        <v>40</v>
      </c>
      <c r="F1051" s="9">
        <v>0.39807948830000001</v>
      </c>
      <c r="G1051" s="44">
        <v>91200</v>
      </c>
      <c r="H1051" s="50">
        <f t="shared" si="16"/>
        <v>91</v>
      </c>
    </row>
    <row r="1052" spans="1:8" ht="38.25" x14ac:dyDescent="0.2">
      <c r="A1052" s="14" t="s">
        <v>298</v>
      </c>
      <c r="B1052" s="6" t="s">
        <v>174</v>
      </c>
      <c r="C1052" s="16">
        <v>6</v>
      </c>
      <c r="D1052" s="7">
        <v>305.24036360000002</v>
      </c>
      <c r="E1052" s="8">
        <v>20</v>
      </c>
      <c r="F1052" s="9">
        <v>0.30059577489</v>
      </c>
      <c r="G1052" s="44">
        <v>91200</v>
      </c>
      <c r="H1052" s="50">
        <f t="shared" si="16"/>
        <v>91</v>
      </c>
    </row>
    <row r="1053" spans="1:8" ht="25.5" x14ac:dyDescent="0.2">
      <c r="A1053" s="14" t="s">
        <v>280</v>
      </c>
      <c r="B1053" s="6" t="s">
        <v>285</v>
      </c>
      <c r="C1053" s="16">
        <v>6</v>
      </c>
      <c r="D1053" s="7">
        <v>44.917586200000002</v>
      </c>
      <c r="E1053" s="8">
        <v>9</v>
      </c>
      <c r="F1053" s="9">
        <v>0.35830371330999999</v>
      </c>
      <c r="G1053" s="44">
        <v>91210</v>
      </c>
      <c r="H1053" s="50">
        <f t="shared" si="16"/>
        <v>91</v>
      </c>
    </row>
    <row r="1054" spans="1:8" ht="25.5" x14ac:dyDescent="0.2">
      <c r="A1054" s="14" t="s">
        <v>280</v>
      </c>
      <c r="B1054" s="6" t="s">
        <v>286</v>
      </c>
      <c r="C1054" s="16">
        <v>6</v>
      </c>
      <c r="D1054" s="7">
        <v>65.623286699999994</v>
      </c>
      <c r="E1054" s="8">
        <v>46</v>
      </c>
      <c r="F1054" s="9">
        <v>0.27992877336999999</v>
      </c>
      <c r="G1054" s="44">
        <v>91260</v>
      </c>
      <c r="H1054" s="50">
        <f t="shared" si="16"/>
        <v>91</v>
      </c>
    </row>
    <row r="1055" spans="1:8" ht="25.5" x14ac:dyDescent="0.2">
      <c r="A1055" s="14" t="s">
        <v>8</v>
      </c>
      <c r="B1055" s="6" t="s">
        <v>70</v>
      </c>
      <c r="C1055" s="12">
        <v>6</v>
      </c>
      <c r="D1055" s="7">
        <v>336</v>
      </c>
      <c r="E1055" s="8">
        <v>1</v>
      </c>
      <c r="F1055" s="9">
        <v>0.53922321428999997</v>
      </c>
      <c r="G1055" s="44">
        <v>91385</v>
      </c>
      <c r="H1055" s="50">
        <f t="shared" si="16"/>
        <v>91</v>
      </c>
    </row>
    <row r="1056" spans="1:8" ht="25.5" x14ac:dyDescent="0.2">
      <c r="A1056" s="14" t="s">
        <v>184</v>
      </c>
      <c r="B1056" s="6" t="s">
        <v>239</v>
      </c>
      <c r="C1056" s="12">
        <v>6</v>
      </c>
      <c r="D1056" s="7">
        <v>19.064444399999999</v>
      </c>
      <c r="E1056" s="8">
        <v>18</v>
      </c>
      <c r="F1056" s="9">
        <v>0.26704096567000002</v>
      </c>
      <c r="G1056" s="44">
        <v>91420</v>
      </c>
      <c r="H1056" s="50">
        <f t="shared" si="16"/>
        <v>91</v>
      </c>
    </row>
    <row r="1057" spans="1:8" ht="25.5" x14ac:dyDescent="0.2">
      <c r="A1057" s="14" t="s">
        <v>184</v>
      </c>
      <c r="B1057" s="6" t="s">
        <v>191</v>
      </c>
      <c r="C1057" s="12">
        <v>6</v>
      </c>
      <c r="D1057" s="7">
        <v>171.67984379999999</v>
      </c>
      <c r="E1057" s="8">
        <v>19</v>
      </c>
      <c r="F1057" s="9">
        <v>8.124479523E-2</v>
      </c>
      <c r="G1057" s="44">
        <v>91420</v>
      </c>
      <c r="H1057" s="50">
        <f t="shared" si="16"/>
        <v>91</v>
      </c>
    </row>
    <row r="1058" spans="1:8" ht="25.5" x14ac:dyDescent="0.2">
      <c r="A1058" s="14" t="s">
        <v>184</v>
      </c>
      <c r="B1058" s="6" t="s">
        <v>212</v>
      </c>
      <c r="C1058" s="12">
        <v>6</v>
      </c>
      <c r="D1058" s="7">
        <v>54.352608699999998</v>
      </c>
      <c r="E1058" s="8">
        <v>20</v>
      </c>
      <c r="F1058" s="9">
        <v>0.12140264990000001</v>
      </c>
      <c r="G1058" s="44">
        <v>91460</v>
      </c>
      <c r="H1058" s="50">
        <f t="shared" si="16"/>
        <v>91</v>
      </c>
    </row>
    <row r="1059" spans="1:8" ht="25.5" x14ac:dyDescent="0.2">
      <c r="A1059" s="14" t="s">
        <v>184</v>
      </c>
      <c r="B1059" s="6" t="s">
        <v>270</v>
      </c>
      <c r="C1059" s="16">
        <v>6</v>
      </c>
      <c r="D1059" s="7">
        <v>51.292786900000003</v>
      </c>
      <c r="E1059" s="8">
        <v>19</v>
      </c>
      <c r="F1059" s="9">
        <v>0.1219773336</v>
      </c>
      <c r="G1059" s="44">
        <v>91470</v>
      </c>
      <c r="H1059" s="50">
        <f t="shared" si="16"/>
        <v>91</v>
      </c>
    </row>
    <row r="1060" spans="1:8" ht="25.5" x14ac:dyDescent="0.2">
      <c r="A1060" s="14" t="s">
        <v>184</v>
      </c>
      <c r="B1060" s="6" t="s">
        <v>273</v>
      </c>
      <c r="C1060" s="16">
        <v>6</v>
      </c>
      <c r="D1060" s="7">
        <v>43.681904799999998</v>
      </c>
      <c r="E1060" s="8">
        <v>34</v>
      </c>
      <c r="F1060" s="9">
        <v>0.12921953807</v>
      </c>
      <c r="G1060" s="44">
        <v>92000</v>
      </c>
      <c r="H1060" s="50">
        <f t="shared" si="16"/>
        <v>92</v>
      </c>
    </row>
    <row r="1061" spans="1:8" ht="38.25" x14ac:dyDescent="0.2">
      <c r="A1061" s="14" t="s">
        <v>184</v>
      </c>
      <c r="B1061" s="6" t="s">
        <v>173</v>
      </c>
      <c r="C1061" s="16">
        <v>6</v>
      </c>
      <c r="D1061" s="7">
        <v>85.3</v>
      </c>
      <c r="E1061" s="8">
        <v>1</v>
      </c>
      <c r="F1061" s="9">
        <v>8.8522860489999994E-2</v>
      </c>
      <c r="G1061" s="44">
        <v>92000</v>
      </c>
      <c r="H1061" s="50">
        <f t="shared" si="16"/>
        <v>92</v>
      </c>
    </row>
    <row r="1062" spans="1:8" ht="38.25" x14ac:dyDescent="0.2">
      <c r="A1062" s="14" t="s">
        <v>160</v>
      </c>
      <c r="B1062" s="6" t="s">
        <v>173</v>
      </c>
      <c r="C1062" s="16">
        <v>6</v>
      </c>
      <c r="D1062" s="7">
        <v>89.083333300000007</v>
      </c>
      <c r="E1062" s="8">
        <v>9</v>
      </c>
      <c r="F1062" s="9">
        <v>0.26405363267999998</v>
      </c>
      <c r="G1062" s="44">
        <v>92000</v>
      </c>
      <c r="H1062" s="50">
        <f t="shared" si="16"/>
        <v>92</v>
      </c>
    </row>
    <row r="1063" spans="1:8" ht="25.5" x14ac:dyDescent="0.2">
      <c r="A1063" s="14" t="s">
        <v>184</v>
      </c>
      <c r="B1063" s="6" t="s">
        <v>209</v>
      </c>
      <c r="C1063" s="12">
        <v>6</v>
      </c>
      <c r="D1063" s="7">
        <v>38.830434799999999</v>
      </c>
      <c r="E1063" s="8">
        <v>18</v>
      </c>
      <c r="F1063" s="9">
        <v>0.14642555891</v>
      </c>
      <c r="G1063" s="44">
        <v>92100</v>
      </c>
      <c r="H1063" s="50">
        <f t="shared" si="16"/>
        <v>92</v>
      </c>
    </row>
    <row r="1064" spans="1:8" ht="25.5" x14ac:dyDescent="0.2">
      <c r="A1064" s="14" t="s">
        <v>184</v>
      </c>
      <c r="B1064" s="6" t="s">
        <v>226</v>
      </c>
      <c r="C1064" s="16">
        <v>6</v>
      </c>
      <c r="D1064" s="7">
        <v>49.669391900000001</v>
      </c>
      <c r="E1064" s="8">
        <v>41</v>
      </c>
      <c r="F1064" s="9">
        <v>0.12703157500000001</v>
      </c>
      <c r="G1064" s="44">
        <v>92150</v>
      </c>
      <c r="H1064" s="50">
        <f t="shared" si="16"/>
        <v>92</v>
      </c>
    </row>
    <row r="1065" spans="1:8" x14ac:dyDescent="0.2">
      <c r="A1065" s="14" t="s">
        <v>184</v>
      </c>
      <c r="B1065" s="6" t="s">
        <v>248</v>
      </c>
      <c r="C1065" s="12">
        <v>6</v>
      </c>
      <c r="D1065" s="7">
        <v>98.705714299999997</v>
      </c>
      <c r="E1065" s="8">
        <v>24</v>
      </c>
      <c r="F1065" s="9">
        <v>9.2879265929999996E-2</v>
      </c>
      <c r="G1065" s="44">
        <v>92150</v>
      </c>
      <c r="H1065" s="50">
        <f t="shared" si="16"/>
        <v>92</v>
      </c>
    </row>
    <row r="1066" spans="1:8" ht="38.25" x14ac:dyDescent="0.2">
      <c r="A1066" s="14" t="s">
        <v>184</v>
      </c>
      <c r="B1066" s="6" t="s">
        <v>189</v>
      </c>
      <c r="C1066" s="16">
        <v>6</v>
      </c>
      <c r="D1066" s="7">
        <v>59.9889796</v>
      </c>
      <c r="E1066" s="8">
        <v>41</v>
      </c>
      <c r="F1066" s="9">
        <v>0.11730533273</v>
      </c>
      <c r="G1066" s="44">
        <v>92190</v>
      </c>
      <c r="H1066" s="50">
        <f t="shared" si="16"/>
        <v>92</v>
      </c>
    </row>
    <row r="1067" spans="1:8" ht="25.5" x14ac:dyDescent="0.2">
      <c r="A1067" s="14" t="s">
        <v>184</v>
      </c>
      <c r="B1067" s="6" t="s">
        <v>271</v>
      </c>
      <c r="C1067" s="12">
        <v>6</v>
      </c>
      <c r="D1067" s="7">
        <v>61.48</v>
      </c>
      <c r="E1067" s="8">
        <v>19</v>
      </c>
      <c r="F1067" s="9">
        <v>0.10887305060999999</v>
      </c>
      <c r="G1067" s="44">
        <v>92200</v>
      </c>
      <c r="H1067" s="50">
        <f t="shared" si="16"/>
        <v>92</v>
      </c>
    </row>
    <row r="1068" spans="1:8" ht="25.5" x14ac:dyDescent="0.2">
      <c r="A1068" s="14" t="s">
        <v>184</v>
      </c>
      <c r="B1068" s="6" t="s">
        <v>263</v>
      </c>
      <c r="C1068" s="12">
        <v>6</v>
      </c>
      <c r="D1068" s="7">
        <v>102.3266667</v>
      </c>
      <c r="E1068" s="8">
        <v>21</v>
      </c>
      <c r="F1068" s="9">
        <v>9.5015961950000005E-2</v>
      </c>
      <c r="G1068" s="44">
        <v>92210</v>
      </c>
      <c r="H1068" s="50">
        <f t="shared" si="16"/>
        <v>92</v>
      </c>
    </row>
    <row r="1069" spans="1:8" ht="25.5" x14ac:dyDescent="0.2">
      <c r="A1069" s="14" t="s">
        <v>8</v>
      </c>
      <c r="B1069" s="6" t="s">
        <v>86</v>
      </c>
      <c r="C1069" s="16">
        <v>6</v>
      </c>
      <c r="D1069" s="7">
        <v>60.9</v>
      </c>
      <c r="E1069" s="8">
        <v>1</v>
      </c>
      <c r="F1069" s="9">
        <v>0.98177339901000005</v>
      </c>
      <c r="G1069" s="44">
        <v>92550</v>
      </c>
      <c r="H1069" s="50">
        <f t="shared" si="16"/>
        <v>92</v>
      </c>
    </row>
    <row r="1070" spans="1:8" ht="25.5" x14ac:dyDescent="0.2">
      <c r="A1070" s="14" t="s">
        <v>184</v>
      </c>
      <c r="B1070" s="6" t="s">
        <v>240</v>
      </c>
      <c r="C1070" s="16">
        <v>6</v>
      </c>
      <c r="D1070" s="7">
        <v>64.076923100000002</v>
      </c>
      <c r="E1070" s="8">
        <v>22</v>
      </c>
      <c r="F1070" s="9">
        <v>0.11004661865</v>
      </c>
      <c r="G1070" s="44">
        <v>92600</v>
      </c>
      <c r="H1070" s="50">
        <f t="shared" si="16"/>
        <v>92</v>
      </c>
    </row>
    <row r="1071" spans="1:8" ht="38.25" x14ac:dyDescent="0.2">
      <c r="A1071" s="14" t="s">
        <v>184</v>
      </c>
      <c r="B1071" s="6" t="s">
        <v>249</v>
      </c>
      <c r="C1071" s="16">
        <v>6</v>
      </c>
      <c r="D1071" s="7">
        <v>83.986956500000005</v>
      </c>
      <c r="E1071" s="8">
        <v>38</v>
      </c>
      <c r="F1071" s="9">
        <v>0.10219866783999999</v>
      </c>
      <c r="G1071" s="44">
        <v>92600</v>
      </c>
      <c r="H1071" s="50">
        <f t="shared" si="16"/>
        <v>92</v>
      </c>
    </row>
    <row r="1072" spans="1:8" ht="25.5" x14ac:dyDescent="0.2">
      <c r="A1072" s="14" t="s">
        <v>184</v>
      </c>
      <c r="B1072" s="6" t="s">
        <v>246</v>
      </c>
      <c r="C1072" s="16">
        <v>6</v>
      </c>
      <c r="D1072" s="7">
        <v>140.90568630000001</v>
      </c>
      <c r="E1072" s="8">
        <v>43</v>
      </c>
      <c r="F1072" s="9">
        <v>8.5606837559999996E-2</v>
      </c>
      <c r="G1072" s="44">
        <v>92700</v>
      </c>
      <c r="H1072" s="50">
        <f t="shared" si="16"/>
        <v>92</v>
      </c>
    </row>
    <row r="1073" spans="1:8" ht="25.5" x14ac:dyDescent="0.2">
      <c r="A1073" s="14" t="s">
        <v>604</v>
      </c>
      <c r="B1073" s="6" t="s">
        <v>110</v>
      </c>
      <c r="C1073" s="16">
        <v>6</v>
      </c>
      <c r="D1073" s="7">
        <v>15.3382051</v>
      </c>
      <c r="E1073" s="8">
        <v>23</v>
      </c>
      <c r="F1073" s="9">
        <v>1.6107290325800001</v>
      </c>
      <c r="G1073" s="44">
        <v>92730</v>
      </c>
      <c r="H1073" s="50">
        <f t="shared" si="16"/>
        <v>92</v>
      </c>
    </row>
    <row r="1074" spans="1:8" ht="25.5" x14ac:dyDescent="0.2">
      <c r="A1074" s="5" t="s">
        <v>291</v>
      </c>
      <c r="B1074" s="6" t="s">
        <v>110</v>
      </c>
      <c r="C1074" s="12">
        <v>6</v>
      </c>
      <c r="D1074" s="7">
        <v>17.4590909</v>
      </c>
      <c r="E1074" s="8">
        <v>11</v>
      </c>
      <c r="F1074" s="9">
        <v>0.43129393386999998</v>
      </c>
      <c r="G1074" s="44">
        <v>92730</v>
      </c>
      <c r="H1074" s="50">
        <f t="shared" si="16"/>
        <v>92</v>
      </c>
    </row>
    <row r="1075" spans="1:8" ht="38.25" x14ac:dyDescent="0.2">
      <c r="A1075" s="14" t="s">
        <v>308</v>
      </c>
      <c r="B1075" s="6" t="s">
        <v>284</v>
      </c>
      <c r="C1075" s="16">
        <v>6</v>
      </c>
      <c r="D1075" s="7">
        <v>40.6</v>
      </c>
      <c r="E1075" s="8">
        <v>1</v>
      </c>
      <c r="F1075" s="9">
        <v>0.63817733990000003</v>
      </c>
      <c r="G1075" s="44">
        <v>93100</v>
      </c>
      <c r="H1075" s="50">
        <f t="shared" si="16"/>
        <v>93</v>
      </c>
    </row>
    <row r="1076" spans="1:8" ht="38.25" x14ac:dyDescent="0.2">
      <c r="A1076" s="14" t="s">
        <v>280</v>
      </c>
      <c r="B1076" s="6" t="s">
        <v>284</v>
      </c>
      <c r="C1076" s="12">
        <v>6</v>
      </c>
      <c r="D1076" s="7">
        <v>43.0296296</v>
      </c>
      <c r="E1076" s="8">
        <v>10</v>
      </c>
      <c r="F1076" s="9">
        <v>0.34543294886999998</v>
      </c>
      <c r="G1076" s="44">
        <v>93100</v>
      </c>
      <c r="H1076" s="50">
        <f t="shared" si="16"/>
        <v>93</v>
      </c>
    </row>
    <row r="1077" spans="1:8" ht="38.25" x14ac:dyDescent="0.2">
      <c r="A1077" s="14" t="s">
        <v>184</v>
      </c>
      <c r="B1077" s="6" t="s">
        <v>235</v>
      </c>
      <c r="C1077" s="16">
        <v>6</v>
      </c>
      <c r="D1077" s="7">
        <v>77.5</v>
      </c>
      <c r="E1077" s="8">
        <v>68</v>
      </c>
      <c r="F1077" s="9">
        <v>0.10301303598</v>
      </c>
      <c r="G1077" s="44">
        <v>93230</v>
      </c>
      <c r="H1077" s="50">
        <f t="shared" si="16"/>
        <v>93</v>
      </c>
    </row>
    <row r="1078" spans="1:8" ht="25.5" x14ac:dyDescent="0.2">
      <c r="A1078" s="14" t="s">
        <v>184</v>
      </c>
      <c r="B1078" s="6" t="s">
        <v>201</v>
      </c>
      <c r="C1078" s="16">
        <v>6</v>
      </c>
      <c r="D1078" s="7">
        <v>59.790795500000002</v>
      </c>
      <c r="E1078" s="8">
        <v>23</v>
      </c>
      <c r="F1078" s="9">
        <v>0.14138786945000001</v>
      </c>
      <c r="G1078" s="44">
        <v>93340</v>
      </c>
      <c r="H1078" s="50">
        <f t="shared" si="16"/>
        <v>93</v>
      </c>
    </row>
    <row r="1079" spans="1:8" ht="38.25" x14ac:dyDescent="0.2">
      <c r="A1079" s="14" t="s">
        <v>489</v>
      </c>
      <c r="B1079" s="6" t="s">
        <v>498</v>
      </c>
      <c r="C1079" s="16">
        <v>6</v>
      </c>
      <c r="D1079" s="7">
        <v>18.882000000000001</v>
      </c>
      <c r="E1079" s="8">
        <v>10</v>
      </c>
      <c r="F1079" s="9">
        <v>0.17000847367999999</v>
      </c>
      <c r="G1079" s="44">
        <v>94000</v>
      </c>
      <c r="H1079" s="50">
        <f t="shared" si="16"/>
        <v>94</v>
      </c>
    </row>
    <row r="1080" spans="1:8" ht="25.5" x14ac:dyDescent="0.2">
      <c r="A1080" s="14" t="s">
        <v>184</v>
      </c>
      <c r="B1080" s="6" t="s">
        <v>276</v>
      </c>
      <c r="C1080" s="16">
        <v>6</v>
      </c>
      <c r="D1080" s="7">
        <v>255.59126319999999</v>
      </c>
      <c r="E1080" s="8">
        <v>78</v>
      </c>
      <c r="F1080" s="9">
        <v>7.4652402120000003E-2</v>
      </c>
      <c r="G1080" s="44">
        <v>94000</v>
      </c>
      <c r="H1080" s="50">
        <f t="shared" si="16"/>
        <v>94</v>
      </c>
    </row>
    <row r="1081" spans="1:8" ht="38.25" x14ac:dyDescent="0.2">
      <c r="A1081" s="14" t="s">
        <v>184</v>
      </c>
      <c r="B1081" s="6" t="s">
        <v>228</v>
      </c>
      <c r="C1081" s="16">
        <v>6</v>
      </c>
      <c r="D1081" s="7">
        <v>63.751304300000001</v>
      </c>
      <c r="E1081" s="8">
        <v>20</v>
      </c>
      <c r="F1081" s="9">
        <v>0.11258445407999999</v>
      </c>
      <c r="G1081" s="44">
        <v>94120</v>
      </c>
      <c r="H1081" s="50">
        <f t="shared" si="16"/>
        <v>94</v>
      </c>
    </row>
    <row r="1082" spans="1:8" ht="25.5" x14ac:dyDescent="0.2">
      <c r="A1082" s="14" t="s">
        <v>184</v>
      </c>
      <c r="B1082" s="6" t="s">
        <v>206</v>
      </c>
      <c r="C1082" s="12">
        <v>6</v>
      </c>
      <c r="D1082" s="7">
        <v>60.267307700000003</v>
      </c>
      <c r="E1082" s="8">
        <v>23</v>
      </c>
      <c r="F1082" s="9">
        <v>0.16145845964</v>
      </c>
      <c r="G1082" s="44">
        <v>94130</v>
      </c>
      <c r="H1082" s="50">
        <f t="shared" si="16"/>
        <v>94</v>
      </c>
    </row>
    <row r="1083" spans="1:8" x14ac:dyDescent="0.2">
      <c r="A1083" s="14" t="s">
        <v>184</v>
      </c>
      <c r="B1083" s="6" t="s">
        <v>260</v>
      </c>
      <c r="C1083" s="12">
        <v>6</v>
      </c>
      <c r="D1083" s="7">
        <v>176.5312275</v>
      </c>
      <c r="E1083" s="8">
        <v>93</v>
      </c>
      <c r="F1083" s="9">
        <v>8.1842909850000006E-2</v>
      </c>
      <c r="G1083" s="44">
        <v>94150</v>
      </c>
      <c r="H1083" s="50">
        <f t="shared" si="16"/>
        <v>94</v>
      </c>
    </row>
    <row r="1084" spans="1:8" ht="25.5" x14ac:dyDescent="0.2">
      <c r="A1084" s="14" t="s">
        <v>184</v>
      </c>
      <c r="B1084" s="6" t="s">
        <v>196</v>
      </c>
      <c r="C1084" s="16">
        <v>6</v>
      </c>
      <c r="D1084" s="7">
        <v>414.51</v>
      </c>
      <c r="E1084" s="8">
        <v>9</v>
      </c>
      <c r="F1084" s="9">
        <v>7.5215475300000001E-2</v>
      </c>
      <c r="G1084" s="44">
        <v>94200</v>
      </c>
      <c r="H1084" s="50">
        <f t="shared" si="16"/>
        <v>94</v>
      </c>
    </row>
    <row r="1085" spans="1:8" ht="38.25" x14ac:dyDescent="0.2">
      <c r="A1085" s="14" t="s">
        <v>184</v>
      </c>
      <c r="B1085" s="6" t="s">
        <v>217</v>
      </c>
      <c r="C1085" s="16">
        <v>6</v>
      </c>
      <c r="D1085" s="7">
        <v>35.617272700000001</v>
      </c>
      <c r="E1085" s="8">
        <v>17</v>
      </c>
      <c r="F1085" s="9">
        <v>0.15506861668999999</v>
      </c>
      <c r="G1085" s="44">
        <v>94220</v>
      </c>
      <c r="H1085" s="50">
        <f t="shared" si="16"/>
        <v>94</v>
      </c>
    </row>
    <row r="1086" spans="1:8" ht="38.25" x14ac:dyDescent="0.2">
      <c r="A1086" s="14" t="s">
        <v>184</v>
      </c>
      <c r="B1086" s="6" t="s">
        <v>234</v>
      </c>
      <c r="C1086" s="16">
        <v>6</v>
      </c>
      <c r="D1086" s="7">
        <v>88.414230799999999</v>
      </c>
      <c r="E1086" s="8">
        <v>22</v>
      </c>
      <c r="F1086" s="9">
        <v>9.6413734299999998E-2</v>
      </c>
      <c r="G1086" s="44">
        <v>94300</v>
      </c>
      <c r="H1086" s="50">
        <f t="shared" si="16"/>
        <v>94</v>
      </c>
    </row>
    <row r="1087" spans="1:8" ht="38.25" x14ac:dyDescent="0.2">
      <c r="A1087" s="14" t="s">
        <v>184</v>
      </c>
      <c r="B1087" s="6" t="s">
        <v>211</v>
      </c>
      <c r="C1087" s="16">
        <v>6</v>
      </c>
      <c r="D1087" s="7">
        <v>164.5663514</v>
      </c>
      <c r="E1087" s="8">
        <v>41</v>
      </c>
      <c r="F1087" s="9">
        <v>8.7138187089999999E-2</v>
      </c>
      <c r="G1087" s="44">
        <v>94300</v>
      </c>
      <c r="H1087" s="50">
        <f t="shared" si="16"/>
        <v>94</v>
      </c>
    </row>
    <row r="1088" spans="1:8" ht="38.25" x14ac:dyDescent="0.2">
      <c r="A1088" s="14" t="s">
        <v>160</v>
      </c>
      <c r="B1088" s="6" t="s">
        <v>162</v>
      </c>
      <c r="C1088" s="16">
        <v>6</v>
      </c>
      <c r="D1088" s="7">
        <v>4437.8535714</v>
      </c>
      <c r="E1088" s="8">
        <v>14</v>
      </c>
      <c r="F1088" s="9">
        <v>0.22971069508</v>
      </c>
      <c r="G1088" s="44">
        <v>94350</v>
      </c>
      <c r="H1088" s="50">
        <f t="shared" si="16"/>
        <v>94</v>
      </c>
    </row>
    <row r="1089" spans="1:8" ht="25.5" x14ac:dyDescent="0.2">
      <c r="A1089" s="14" t="s">
        <v>184</v>
      </c>
      <c r="B1089" s="6" t="s">
        <v>202</v>
      </c>
      <c r="C1089" s="16">
        <v>6</v>
      </c>
      <c r="D1089" s="7">
        <v>188.79928570000001</v>
      </c>
      <c r="E1089" s="8">
        <v>12</v>
      </c>
      <c r="F1089" s="9">
        <v>7.7399657230000002E-2</v>
      </c>
      <c r="G1089" s="44">
        <v>94370</v>
      </c>
      <c r="H1089" s="50">
        <f t="shared" si="16"/>
        <v>94</v>
      </c>
    </row>
    <row r="1090" spans="1:8" ht="25.5" x14ac:dyDescent="0.2">
      <c r="A1090" s="14" t="s">
        <v>184</v>
      </c>
      <c r="B1090" s="6" t="s">
        <v>262</v>
      </c>
      <c r="C1090" s="16">
        <v>6</v>
      </c>
      <c r="D1090" s="7">
        <v>49.986296299999999</v>
      </c>
      <c r="E1090" s="8">
        <v>46</v>
      </c>
      <c r="F1090" s="9">
        <v>0.11236104215999999</v>
      </c>
      <c r="G1090" s="44">
        <v>94538</v>
      </c>
      <c r="H1090" s="50">
        <f t="shared" si="16"/>
        <v>94</v>
      </c>
    </row>
    <row r="1091" spans="1:8" ht="25.5" x14ac:dyDescent="0.2">
      <c r="A1091" s="14" t="s">
        <v>184</v>
      </c>
      <c r="B1091" s="6" t="s">
        <v>274</v>
      </c>
      <c r="C1091" s="12">
        <v>6</v>
      </c>
      <c r="D1091" s="7">
        <v>420.14285710000001</v>
      </c>
      <c r="E1091" s="8">
        <v>5</v>
      </c>
      <c r="F1091" s="9">
        <v>6.38805395E-2</v>
      </c>
      <c r="G1091" s="44">
        <v>94538</v>
      </c>
      <c r="H1091" s="50">
        <f t="shared" ref="H1091:H1105" si="17">IF(LEN(G1091)=4,VALUE(LEFT(G1091,1)),VALUE(LEFT(G1091,2)))</f>
        <v>94</v>
      </c>
    </row>
    <row r="1092" spans="1:8" ht="25.5" x14ac:dyDescent="0.2">
      <c r="A1092" s="14" t="s">
        <v>160</v>
      </c>
      <c r="B1092" s="6" t="s">
        <v>165</v>
      </c>
      <c r="C1092" s="16">
        <v>6</v>
      </c>
      <c r="D1092" s="7">
        <v>95.81</v>
      </c>
      <c r="E1092" s="8">
        <v>1</v>
      </c>
      <c r="F1092" s="9">
        <v>0.26152802420999999</v>
      </c>
      <c r="G1092" s="44">
        <v>94595</v>
      </c>
      <c r="H1092" s="50">
        <f t="shared" si="17"/>
        <v>94</v>
      </c>
    </row>
    <row r="1093" spans="1:8" x14ac:dyDescent="0.2">
      <c r="A1093" s="14" t="s">
        <v>160</v>
      </c>
      <c r="B1093" s="6" t="s">
        <v>172</v>
      </c>
      <c r="C1093" s="12">
        <v>6</v>
      </c>
      <c r="D1093" s="7">
        <v>548.83799999999997</v>
      </c>
      <c r="E1093" s="8">
        <v>25</v>
      </c>
      <c r="F1093" s="9">
        <v>0.23469322459</v>
      </c>
      <c r="G1093" s="44">
        <v>94619</v>
      </c>
      <c r="H1093" s="50">
        <f t="shared" si="17"/>
        <v>94</v>
      </c>
    </row>
    <row r="1094" spans="1:8" ht="38.25" x14ac:dyDescent="0.2">
      <c r="A1094" s="14" t="s">
        <v>160</v>
      </c>
      <c r="B1094" s="6" t="s">
        <v>169</v>
      </c>
      <c r="C1094" s="12">
        <v>6</v>
      </c>
      <c r="D1094" s="7">
        <v>241.21561639999999</v>
      </c>
      <c r="E1094" s="8">
        <v>73</v>
      </c>
      <c r="F1094" s="9">
        <v>0.24194133140999999</v>
      </c>
      <c r="G1094" s="44">
        <v>94657</v>
      </c>
      <c r="H1094" s="50">
        <f t="shared" si="17"/>
        <v>94</v>
      </c>
    </row>
    <row r="1095" spans="1:8" ht="38.25" x14ac:dyDescent="0.2">
      <c r="A1095" s="14" t="s">
        <v>184</v>
      </c>
      <c r="B1095" s="6" t="s">
        <v>221</v>
      </c>
      <c r="C1095" s="12">
        <v>6</v>
      </c>
      <c r="D1095" s="7">
        <v>168.4645946</v>
      </c>
      <c r="E1095" s="8">
        <v>31</v>
      </c>
      <c r="F1095" s="9">
        <v>7.7496220500000004E-2</v>
      </c>
      <c r="G1095" s="44">
        <v>95100</v>
      </c>
      <c r="H1095" s="50">
        <f t="shared" si="17"/>
        <v>95</v>
      </c>
    </row>
    <row r="1096" spans="1:8" ht="25.5" x14ac:dyDescent="0.2">
      <c r="A1096" s="14" t="s">
        <v>184</v>
      </c>
      <c r="B1096" s="6" t="s">
        <v>204</v>
      </c>
      <c r="C1096" s="16">
        <v>6</v>
      </c>
      <c r="D1096" s="7">
        <v>106.27</v>
      </c>
      <c r="E1096" s="8">
        <v>23</v>
      </c>
      <c r="F1096" s="9">
        <v>8.8069024539999999E-2</v>
      </c>
      <c r="G1096" s="44">
        <v>95230</v>
      </c>
      <c r="H1096" s="50">
        <f t="shared" si="17"/>
        <v>95</v>
      </c>
    </row>
    <row r="1097" spans="1:8" ht="25.5" x14ac:dyDescent="0.2">
      <c r="A1097" s="14" t="s">
        <v>184</v>
      </c>
      <c r="B1097" s="6" t="s">
        <v>216</v>
      </c>
      <c r="C1097" s="16">
        <v>6</v>
      </c>
      <c r="D1097" s="7">
        <v>99.771627899999999</v>
      </c>
      <c r="E1097" s="8">
        <v>34</v>
      </c>
      <c r="F1097" s="9">
        <v>0.16181574355</v>
      </c>
      <c r="G1097" s="44">
        <v>95290</v>
      </c>
      <c r="H1097" s="50">
        <f t="shared" si="17"/>
        <v>95</v>
      </c>
    </row>
    <row r="1098" spans="1:8" ht="25.5" x14ac:dyDescent="0.2">
      <c r="A1098" s="14" t="s">
        <v>184</v>
      </c>
      <c r="B1098" s="6" t="s">
        <v>250</v>
      </c>
      <c r="C1098" s="16">
        <v>6</v>
      </c>
      <c r="D1098" s="7">
        <v>253.05301890000001</v>
      </c>
      <c r="E1098" s="8">
        <v>28</v>
      </c>
      <c r="F1098" s="9">
        <v>7.443074425E-2</v>
      </c>
      <c r="G1098" s="44">
        <v>95310</v>
      </c>
      <c r="H1098" s="50">
        <f t="shared" si="17"/>
        <v>95</v>
      </c>
    </row>
    <row r="1099" spans="1:8" ht="25.5" x14ac:dyDescent="0.2">
      <c r="A1099" s="14" t="s">
        <v>184</v>
      </c>
      <c r="B1099" s="6" t="s">
        <v>269</v>
      </c>
      <c r="C1099" s="16">
        <v>6</v>
      </c>
      <c r="D1099" s="7">
        <v>65.147049199999998</v>
      </c>
      <c r="E1099" s="8">
        <v>17</v>
      </c>
      <c r="F1099" s="9">
        <v>0.12490506974</v>
      </c>
      <c r="G1099" s="44">
        <v>95430</v>
      </c>
      <c r="H1099" s="50">
        <f t="shared" si="17"/>
        <v>95</v>
      </c>
    </row>
    <row r="1100" spans="1:8" ht="25.5" x14ac:dyDescent="0.2">
      <c r="A1100" s="14" t="s">
        <v>184</v>
      </c>
      <c r="B1100" s="6" t="s">
        <v>199</v>
      </c>
      <c r="C1100" s="16">
        <v>6</v>
      </c>
      <c r="D1100" s="7">
        <v>33.6942308</v>
      </c>
      <c r="E1100" s="8">
        <v>16</v>
      </c>
      <c r="F1100" s="9">
        <v>0.15278465841</v>
      </c>
      <c r="G1100" s="44">
        <v>95460</v>
      </c>
      <c r="H1100" s="50">
        <f t="shared" si="17"/>
        <v>95</v>
      </c>
    </row>
    <row r="1101" spans="1:8" x14ac:dyDescent="0.2">
      <c r="A1101" s="14" t="s">
        <v>184</v>
      </c>
      <c r="B1101" s="6" t="s">
        <v>219</v>
      </c>
      <c r="C1101" s="16">
        <v>6</v>
      </c>
      <c r="D1101" s="7">
        <v>77.104799999999997</v>
      </c>
      <c r="E1101" s="8">
        <v>19</v>
      </c>
      <c r="F1101" s="9">
        <v>0.10823243170000001</v>
      </c>
      <c r="G1101" s="44">
        <v>95520</v>
      </c>
      <c r="H1101" s="50">
        <f t="shared" si="17"/>
        <v>95</v>
      </c>
    </row>
    <row r="1102" spans="1:8" ht="38.25" x14ac:dyDescent="0.2">
      <c r="A1102" s="14" t="s">
        <v>184</v>
      </c>
      <c r="B1102" s="6" t="s">
        <v>272</v>
      </c>
      <c r="C1102" s="16">
        <v>6</v>
      </c>
      <c r="D1102" s="7">
        <v>135.47269230000001</v>
      </c>
      <c r="E1102" s="8">
        <v>22</v>
      </c>
      <c r="F1102" s="9">
        <v>9.1408430309999997E-2</v>
      </c>
      <c r="G1102" s="44">
        <v>97000</v>
      </c>
      <c r="H1102" s="50">
        <f t="shared" si="17"/>
        <v>97</v>
      </c>
    </row>
    <row r="1103" spans="1:8" ht="25.5" x14ac:dyDescent="0.2">
      <c r="A1103" s="14" t="s">
        <v>134</v>
      </c>
      <c r="B1103" s="6" t="s">
        <v>151</v>
      </c>
      <c r="C1103" s="12">
        <v>6</v>
      </c>
      <c r="D1103" s="7">
        <v>27.090555599999998</v>
      </c>
      <c r="E1103" s="8">
        <v>7</v>
      </c>
      <c r="F1103" s="9">
        <v>0.55971125648999998</v>
      </c>
      <c r="G1103" s="44">
        <v>697803</v>
      </c>
      <c r="H1103" s="50">
        <f t="shared" si="17"/>
        <v>69</v>
      </c>
    </row>
    <row r="1104" spans="1:8" ht="25.5" x14ac:dyDescent="0.2">
      <c r="A1104" s="14" t="s">
        <v>556</v>
      </c>
      <c r="B1104" s="6" t="s">
        <v>151</v>
      </c>
      <c r="C1104" s="12">
        <v>6</v>
      </c>
      <c r="D1104" s="7">
        <v>33.947777799999997</v>
      </c>
      <c r="E1104" s="8">
        <v>10</v>
      </c>
      <c r="F1104" s="9">
        <v>0.45822014205</v>
      </c>
      <c r="G1104" s="44">
        <v>697803</v>
      </c>
      <c r="H1104" s="50">
        <f t="shared" si="17"/>
        <v>69</v>
      </c>
    </row>
    <row r="1105" spans="1:8" ht="25.5" x14ac:dyDescent="0.2">
      <c r="A1105" s="14" t="s">
        <v>556</v>
      </c>
      <c r="B1105" s="6" t="s">
        <v>138</v>
      </c>
      <c r="C1105" s="16">
        <v>6</v>
      </c>
      <c r="D1105" s="7">
        <v>79.672727300000005</v>
      </c>
      <c r="E1105" s="8">
        <v>10</v>
      </c>
      <c r="F1105" s="9">
        <v>0.15163167503</v>
      </c>
      <c r="G1105" s="44">
        <v>699603</v>
      </c>
      <c r="H1105" s="50">
        <f t="shared" si="17"/>
        <v>69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4"/>
  <sheetViews>
    <sheetView workbookViewId="0">
      <selection activeCell="C44" sqref="C44"/>
    </sheetView>
  </sheetViews>
  <sheetFormatPr baseColWidth="10" defaultRowHeight="12.75" x14ac:dyDescent="0.2"/>
  <cols>
    <col min="1" max="1" width="21" bestFit="1" customWidth="1"/>
    <col min="2" max="2" width="17.5703125" bestFit="1" customWidth="1"/>
    <col min="3" max="3" width="17" bestFit="1" customWidth="1"/>
    <col min="4" max="5" width="16.5703125" bestFit="1" customWidth="1"/>
  </cols>
  <sheetData>
    <row r="1" spans="1:5" x14ac:dyDescent="0.2">
      <c r="A1" s="49" t="s">
        <v>598</v>
      </c>
      <c r="B1" t="s">
        <v>837</v>
      </c>
    </row>
    <row r="3" spans="1:5" x14ac:dyDescent="0.2">
      <c r="A3" s="49" t="s">
        <v>840</v>
      </c>
      <c r="B3" t="s">
        <v>640</v>
      </c>
      <c r="C3" t="s">
        <v>838</v>
      </c>
      <c r="D3" t="s">
        <v>841</v>
      </c>
      <c r="E3" t="s">
        <v>842</v>
      </c>
    </row>
    <row r="4" spans="1:5" x14ac:dyDescent="0.2">
      <c r="A4" s="51">
        <v>1</v>
      </c>
      <c r="B4" s="41">
        <v>1898.5760664000004</v>
      </c>
      <c r="C4" s="41">
        <v>13</v>
      </c>
      <c r="D4" s="41">
        <v>0.44785756007923083</v>
      </c>
      <c r="E4" s="52">
        <f>GETPIVOTDATA("Somme de Pds/liv",$A$3,"Département",1)/GETPIVOTDATA("Somme de Pds/liv",$A$3)</f>
        <v>8.2830705410557905E-3</v>
      </c>
    </row>
    <row r="5" spans="1:5" x14ac:dyDescent="0.2">
      <c r="A5" s="51">
        <v>3</v>
      </c>
      <c r="B5" s="41">
        <v>493.44951759999998</v>
      </c>
      <c r="C5" s="41">
        <v>2</v>
      </c>
      <c r="D5" s="41">
        <v>0.22048910501999999</v>
      </c>
      <c r="E5" s="52">
        <f>GETPIVOTDATA("Somme de Pds/liv",$A$3,"Département",3)/GETPIVOTDATA("Somme de Pds/liv",$A$3)</f>
        <v>2.152811907336888E-3</v>
      </c>
    </row>
    <row r="6" spans="1:5" x14ac:dyDescent="0.2">
      <c r="A6" s="51">
        <v>4</v>
      </c>
      <c r="B6" s="41">
        <v>33.032857200000002</v>
      </c>
      <c r="C6" s="41">
        <v>2</v>
      </c>
      <c r="D6" s="41">
        <v>1.59068164672</v>
      </c>
      <c r="E6" s="52">
        <f>GETPIVOTDATA("Somme de Pds/liv",$A$3,"Département",4)/GETPIVOTDATA("Somme de Pds/liv",$A$3)</f>
        <v>1.441151035254737E-4</v>
      </c>
    </row>
    <row r="7" spans="1:5" x14ac:dyDescent="0.2">
      <c r="A7" s="51">
        <v>6</v>
      </c>
      <c r="B7" s="41">
        <v>5472.0028488999997</v>
      </c>
      <c r="C7" s="41">
        <v>28</v>
      </c>
      <c r="D7" s="41">
        <v>1.5696620940275001</v>
      </c>
      <c r="E7" s="52">
        <f>GETPIVOTDATA("Somme de Pds/liv",$A$3,"Département",6)/GETPIVOTDATA("Somme de Pds/liv",$A$3)</f>
        <v>2.3873147039212537E-2</v>
      </c>
    </row>
    <row r="8" spans="1:5" x14ac:dyDescent="0.2">
      <c r="A8" s="51">
        <v>10</v>
      </c>
      <c r="B8" s="41">
        <v>2645.1</v>
      </c>
      <c r="C8" s="41">
        <v>2</v>
      </c>
      <c r="D8" s="41">
        <v>0.24615099618</v>
      </c>
      <c r="E8" s="52">
        <f>GETPIVOTDATA("Somme de Pds/liv",$A$3,"Département",10)/GETPIVOTDATA("Somme de Pds/liv",$A$3)</f>
        <v>1.1539990562343196E-2</v>
      </c>
    </row>
    <row r="9" spans="1:5" x14ac:dyDescent="0.2">
      <c r="A9" s="51">
        <v>11</v>
      </c>
      <c r="B9" s="41">
        <v>28.897582399999997</v>
      </c>
      <c r="C9" s="41">
        <v>2</v>
      </c>
      <c r="D9" s="41">
        <v>0.17000622605499999</v>
      </c>
      <c r="E9" s="52">
        <f>GETPIVOTDATA("Somme de Pds/liv",$A$3,"Département",11)/GETPIVOTDATA("Somme de Pds/liv",$A$3)</f>
        <v>1.2607380748196092E-4</v>
      </c>
    </row>
    <row r="10" spans="1:5" x14ac:dyDescent="0.2">
      <c r="A10" s="51">
        <v>12</v>
      </c>
      <c r="B10" s="41">
        <v>7627.5806816999984</v>
      </c>
      <c r="C10" s="41">
        <v>58</v>
      </c>
      <c r="D10" s="41">
        <v>1.1221184474181358</v>
      </c>
      <c r="E10" s="52">
        <f>GETPIVOTDATA("Somme de Pds/liv",$A$3,"Département",12)/GETPIVOTDATA("Somme de Pds/liv",$A$3)</f>
        <v>3.3277459861755419E-2</v>
      </c>
    </row>
    <row r="11" spans="1:5" x14ac:dyDescent="0.2">
      <c r="A11" s="51">
        <v>13</v>
      </c>
      <c r="B11" s="41">
        <v>21245.322290200005</v>
      </c>
      <c r="C11" s="41">
        <v>80</v>
      </c>
      <c r="D11" s="41">
        <v>0.33190560225787502</v>
      </c>
      <c r="E11" s="52">
        <f>GETPIVOTDATA("Somme de Pds/liv",$A$3,"Département",13)/GETPIVOTDATA("Somme de Pds/liv",$A$3)</f>
        <v>9.2688676693829186E-2</v>
      </c>
    </row>
    <row r="12" spans="1:5" x14ac:dyDescent="0.2">
      <c r="A12" s="51">
        <v>16</v>
      </c>
      <c r="B12" s="41">
        <v>6318.3743509000005</v>
      </c>
      <c r="C12" s="41">
        <v>5</v>
      </c>
      <c r="D12" s="41">
        <v>0.271789487898</v>
      </c>
      <c r="E12" s="52">
        <f>GETPIVOTDATA("Somme de Pds/liv",$A$3,"Département",16)/GETPIVOTDATA("Somme de Pds/liv",$A$3)</f>
        <v>2.7565680079670835E-2</v>
      </c>
    </row>
    <row r="13" spans="1:5" x14ac:dyDescent="0.2">
      <c r="A13" s="51">
        <v>17</v>
      </c>
      <c r="B13" s="41">
        <v>19126.61</v>
      </c>
      <c r="C13" s="41">
        <v>2</v>
      </c>
      <c r="D13" s="41">
        <v>7.3211926895000001E-2</v>
      </c>
      <c r="E13" s="52">
        <f>GETPIVOTDATA("Somme de Pds/liv",$A$3,"Département",17)/GETPIVOTDATA("Somme de Pds/liv",$A$3)</f>
        <v>8.3445200139737247E-2</v>
      </c>
    </row>
    <row r="14" spans="1:5" x14ac:dyDescent="0.2">
      <c r="A14" s="51">
        <v>18</v>
      </c>
      <c r="B14" s="41">
        <v>1070.5452381</v>
      </c>
      <c r="C14" s="41">
        <v>3</v>
      </c>
      <c r="D14" s="41">
        <v>0.25641833666666664</v>
      </c>
      <c r="E14" s="52">
        <f>GETPIVOTDATA("Somme de Pds/liv",$A$3,"Département",18)/GETPIVOTDATA("Somme de Pds/liv",$A$3)</f>
        <v>4.670553833214415E-3</v>
      </c>
    </row>
    <row r="15" spans="1:5" x14ac:dyDescent="0.2">
      <c r="A15" s="51">
        <v>19</v>
      </c>
      <c r="B15" s="41">
        <v>3755.7231396000002</v>
      </c>
      <c r="C15" s="41">
        <v>10</v>
      </c>
      <c r="D15" s="41">
        <v>0.20292831359300001</v>
      </c>
      <c r="E15" s="52">
        <f>GETPIVOTDATA("Somme de Pds/liv",$A$3,"Département",19)/GETPIVOTDATA("Somme de Pds/liv",$A$3)</f>
        <v>1.6385395480608658E-2</v>
      </c>
    </row>
    <row r="16" spans="1:5" x14ac:dyDescent="0.2">
      <c r="A16" s="51">
        <v>20</v>
      </c>
      <c r="B16" s="41">
        <v>5172.9757514000003</v>
      </c>
      <c r="C16" s="41">
        <v>11</v>
      </c>
      <c r="D16" s="41">
        <v>0.23926719530727275</v>
      </c>
      <c r="E16" s="52">
        <f>GETPIVOTDATA("Somme de Pds/liv",$A$3,"Département",20)/GETPIVOTDATA("Somme de Pds/liv",$A$3)</f>
        <v>2.2568557464892142E-2</v>
      </c>
    </row>
    <row r="17" spans="1:5" x14ac:dyDescent="0.2">
      <c r="A17" s="51">
        <v>22</v>
      </c>
      <c r="B17" s="41">
        <v>6223.0944443999997</v>
      </c>
      <c r="C17" s="41">
        <v>5</v>
      </c>
      <c r="D17" s="41">
        <v>0.26947883209600004</v>
      </c>
      <c r="E17" s="52">
        <f>GETPIVOTDATA("Somme de Pds/liv",$A$3,"Département",22)/GETPIVOTDATA("Somme de Pds/liv",$A$3)</f>
        <v>2.7149994766529194E-2</v>
      </c>
    </row>
    <row r="18" spans="1:5" x14ac:dyDescent="0.2">
      <c r="A18" s="51">
        <v>24</v>
      </c>
      <c r="B18" s="41">
        <v>75.335000000000008</v>
      </c>
      <c r="C18" s="41">
        <v>2</v>
      </c>
      <c r="D18" s="41">
        <v>0.27903486643999997</v>
      </c>
      <c r="E18" s="52">
        <f>GETPIVOTDATA("Somme de Pds/liv",$A$3,"Département",24)/GETPIVOTDATA("Somme de Pds/liv",$A$3)</f>
        <v>3.2867006503123689E-4</v>
      </c>
    </row>
    <row r="19" spans="1:5" x14ac:dyDescent="0.2">
      <c r="A19" s="51">
        <v>25</v>
      </c>
      <c r="B19" s="41">
        <v>410.00865220000003</v>
      </c>
      <c r="C19" s="41">
        <v>2</v>
      </c>
      <c r="D19" s="41">
        <v>0.36584985454999996</v>
      </c>
      <c r="E19" s="52">
        <f>GETPIVOTDATA("Somme de Pds/liv",$A$3,"Département",25)/GETPIVOTDATA("Somme de Pds/liv",$A$3)</f>
        <v>1.7887777312264391E-3</v>
      </c>
    </row>
    <row r="20" spans="1:5" x14ac:dyDescent="0.2">
      <c r="A20" s="51">
        <v>26</v>
      </c>
      <c r="B20" s="41">
        <v>160.35124059999998</v>
      </c>
      <c r="C20" s="41">
        <v>2</v>
      </c>
      <c r="D20" s="41">
        <v>0.11371117153</v>
      </c>
      <c r="E20" s="52">
        <f>GETPIVOTDATA("Somme de Pds/liv",$A$3,"Département",26)/GETPIVOTDATA("Somme de Pds/liv",$A$3)</f>
        <v>6.9957725726211596E-4</v>
      </c>
    </row>
    <row r="21" spans="1:5" x14ac:dyDescent="0.2">
      <c r="A21" s="51">
        <v>28</v>
      </c>
      <c r="B21" s="41">
        <v>1669.6952381000001</v>
      </c>
      <c r="C21" s="41">
        <v>2</v>
      </c>
      <c r="D21" s="41">
        <v>0.24709156136999999</v>
      </c>
      <c r="E21" s="52">
        <f>GETPIVOTDATA("Somme de Pds/liv",$A$3,"Département",28)/GETPIVOTDATA("Somme de Pds/liv",$A$3)</f>
        <v>7.2845137384837536E-3</v>
      </c>
    </row>
    <row r="22" spans="1:5" x14ac:dyDescent="0.2">
      <c r="A22" s="51">
        <v>30</v>
      </c>
      <c r="B22" s="41">
        <v>7314.3194335000007</v>
      </c>
      <c r="C22" s="41">
        <v>35</v>
      </c>
      <c r="D22" s="41">
        <v>0.40327377282714283</v>
      </c>
      <c r="E22" s="52">
        <f>GETPIVOTDATA("Somme de Pds/liv",$A$3,"Département",30)/GETPIVOTDATA("Somme de Pds/liv",$A$3)</f>
        <v>3.1910769813070748E-2</v>
      </c>
    </row>
    <row r="23" spans="1:5" x14ac:dyDescent="0.2">
      <c r="A23" s="51">
        <v>31</v>
      </c>
      <c r="B23" s="41">
        <v>15150.285150399997</v>
      </c>
      <c r="C23" s="41">
        <v>87</v>
      </c>
      <c r="D23" s="41">
        <v>0.32213835806229918</v>
      </c>
      <c r="E23" s="52">
        <f>GETPIVOTDATA("Somme de Pds/liv",$A$3,"Département",31)/GETPIVOTDATA("Somme de Pds/liv",$A$3)</f>
        <v>6.6097367832000389E-2</v>
      </c>
    </row>
    <row r="24" spans="1:5" x14ac:dyDescent="0.2">
      <c r="A24" s="51">
        <v>32</v>
      </c>
      <c r="B24" s="41">
        <v>1164.1880513000001</v>
      </c>
      <c r="C24" s="41">
        <v>9</v>
      </c>
      <c r="D24" s="41">
        <v>0.28121534040888885</v>
      </c>
      <c r="E24" s="52">
        <f>GETPIVOTDATA("Somme de Pds/liv",$A$3,"Département",32)/GETPIVOTDATA("Somme de Pds/liv",$A$3)</f>
        <v>5.0790968677156692E-3</v>
      </c>
    </row>
    <row r="25" spans="1:5" x14ac:dyDescent="0.2">
      <c r="A25" s="51">
        <v>33</v>
      </c>
      <c r="B25" s="41">
        <v>1337.2104459000004</v>
      </c>
      <c r="C25" s="41">
        <v>29</v>
      </c>
      <c r="D25" s="41">
        <v>0.95818338096</v>
      </c>
      <c r="E25" s="52">
        <f>GETPIVOTDATA("Somme de Pds/liv",$A$3,"Département",33)/GETPIVOTDATA("Somme de Pds/liv",$A$3)</f>
        <v>5.833955587899415E-3</v>
      </c>
    </row>
    <row r="26" spans="1:5" x14ac:dyDescent="0.2">
      <c r="A26" s="51">
        <v>34</v>
      </c>
      <c r="B26" s="41">
        <v>10719.1596689</v>
      </c>
      <c r="C26" s="41">
        <v>95</v>
      </c>
      <c r="D26" s="41">
        <v>0.52638409027978961</v>
      </c>
      <c r="E26" s="52">
        <f>GETPIVOTDATA("Somme de Pds/liv",$A$3,"Département",34)/GETPIVOTDATA("Somme de Pds/liv",$A$3)</f>
        <v>4.6765340219785949E-2</v>
      </c>
    </row>
    <row r="27" spans="1:5" x14ac:dyDescent="0.2">
      <c r="A27" s="51">
        <v>37</v>
      </c>
      <c r="B27" s="41">
        <v>145.65536499999999</v>
      </c>
      <c r="C27" s="41">
        <v>4</v>
      </c>
      <c r="D27" s="41">
        <v>0.13903712102500002</v>
      </c>
      <c r="E27" s="52">
        <f>GETPIVOTDATA("Somme de Pds/liv",$A$3,"Département",37)/GETPIVOTDATA("Somme de Pds/liv",$A$3)</f>
        <v>6.3546237853187148E-4</v>
      </c>
    </row>
    <row r="28" spans="1:5" x14ac:dyDescent="0.2">
      <c r="A28" s="51">
        <v>38</v>
      </c>
      <c r="B28" s="41">
        <v>2059.2074563000001</v>
      </c>
      <c r="C28" s="41">
        <v>20</v>
      </c>
      <c r="D28" s="41">
        <v>0.2408209376995</v>
      </c>
      <c r="E28" s="52">
        <f>GETPIVOTDATA("Somme de Pds/liv",$A$3,"Département",38)/GETPIVOTDATA("Somme de Pds/liv",$A$3)</f>
        <v>8.983870028206397E-3</v>
      </c>
    </row>
    <row r="29" spans="1:5" x14ac:dyDescent="0.2">
      <c r="A29" s="51">
        <v>40</v>
      </c>
      <c r="B29" s="41">
        <v>2244.443041</v>
      </c>
      <c r="C29" s="41">
        <v>2</v>
      </c>
      <c r="D29" s="41">
        <v>0.24692949220999999</v>
      </c>
      <c r="E29" s="52">
        <f>GETPIVOTDATA("Somme de Pds/liv",$A$3,"Département",40)/GETPIVOTDATA("Somme de Pds/liv",$A$3)</f>
        <v>9.7920122153630721E-3</v>
      </c>
    </row>
    <row r="30" spans="1:5" x14ac:dyDescent="0.2">
      <c r="A30" s="51">
        <v>42</v>
      </c>
      <c r="B30" s="41">
        <v>2693.5901644000005</v>
      </c>
      <c r="C30" s="41">
        <v>46</v>
      </c>
      <c r="D30" s="41">
        <v>0.69852595797239148</v>
      </c>
      <c r="E30" s="52">
        <f>GETPIVOTDATA("Somme de Pds/liv",$A$3,"Département",42)/GETPIVOTDATA("Somme de Pds/liv",$A$3)</f>
        <v>1.1751542503495695E-2</v>
      </c>
    </row>
    <row r="31" spans="1:5" x14ac:dyDescent="0.2">
      <c r="A31" s="51">
        <v>43</v>
      </c>
      <c r="B31" s="41">
        <v>267.47784279999996</v>
      </c>
      <c r="C31" s="41">
        <v>7</v>
      </c>
      <c r="D31" s="41">
        <v>0.6526677020142857</v>
      </c>
      <c r="E31" s="52">
        <f>GETPIVOTDATA("Somme de Pds/liv",$A$3,"Département",43)/GETPIVOTDATA("Somme de Pds/liv",$A$3)</f>
        <v>1.1669471027741546E-3</v>
      </c>
    </row>
    <row r="32" spans="1:5" x14ac:dyDescent="0.2">
      <c r="A32" s="51">
        <v>44</v>
      </c>
      <c r="B32" s="41">
        <v>87.67</v>
      </c>
      <c r="C32" s="41">
        <v>1</v>
      </c>
      <c r="D32" s="41">
        <v>0.56372761492000001</v>
      </c>
      <c r="E32" s="52">
        <f>GETPIVOTDATA("Somme de Pds/liv",$A$3,"Département",44)/GETPIVOTDATA("Somme de Pds/liv",$A$3)</f>
        <v>3.8248496185423162E-4</v>
      </c>
    </row>
    <row r="33" spans="1:5" x14ac:dyDescent="0.2">
      <c r="A33" s="51">
        <v>45</v>
      </c>
      <c r="B33" s="41">
        <v>1228.5705027000001</v>
      </c>
      <c r="C33" s="41">
        <v>5</v>
      </c>
      <c r="D33" s="41">
        <v>0.52713386608399992</v>
      </c>
      <c r="E33" s="52">
        <f>GETPIVOTDATA("Somme de Pds/liv",$A$3,"Département",45)/GETPIVOTDATA("Somme de Pds/liv",$A$3)</f>
        <v>5.3599833678617962E-3</v>
      </c>
    </row>
    <row r="34" spans="1:5" x14ac:dyDescent="0.2">
      <c r="A34" s="51">
        <v>46</v>
      </c>
      <c r="B34" s="41">
        <v>1349.6441668</v>
      </c>
      <c r="C34" s="41">
        <v>5</v>
      </c>
      <c r="D34" s="41">
        <v>0.81928483081600001</v>
      </c>
      <c r="E34" s="52">
        <f>GETPIVOTDATA("Somme de Pds/liv",$A$3,"Département",46)/GETPIVOTDATA("Somme de Pds/liv",$A$3)</f>
        <v>5.8882011823347116E-3</v>
      </c>
    </row>
    <row r="35" spans="1:5" x14ac:dyDescent="0.2">
      <c r="A35" s="51">
        <v>47</v>
      </c>
      <c r="B35" s="41">
        <v>3575.5599597999999</v>
      </c>
      <c r="C35" s="41">
        <v>17</v>
      </c>
      <c r="D35" s="41">
        <v>0.23060985461529412</v>
      </c>
      <c r="E35" s="52">
        <f>GETPIVOTDATA("Somme de Pds/liv",$A$3,"Département",47)/GETPIVOTDATA("Somme de Pds/liv",$A$3)</f>
        <v>1.5599383082372771E-2</v>
      </c>
    </row>
    <row r="36" spans="1:5" x14ac:dyDescent="0.2">
      <c r="A36" s="51">
        <v>49</v>
      </c>
      <c r="B36" s="41">
        <v>323.9342628</v>
      </c>
      <c r="C36" s="41">
        <v>2</v>
      </c>
      <c r="D36" s="41">
        <v>0.23775889622500002</v>
      </c>
      <c r="E36" s="52">
        <f>GETPIVOTDATA("Somme de Pds/liv",$A$3,"Département",49)/GETPIVOTDATA("Somme de Pds/liv",$A$3)</f>
        <v>1.4132540681001098E-3</v>
      </c>
    </row>
    <row r="37" spans="1:5" x14ac:dyDescent="0.2">
      <c r="A37" s="51">
        <v>50</v>
      </c>
      <c r="B37" s="41">
        <v>1516.7249999999999</v>
      </c>
      <c r="C37" s="41">
        <v>2</v>
      </c>
      <c r="D37" s="41">
        <v>0.24772826000000001</v>
      </c>
      <c r="E37" s="52">
        <f>GETPIVOTDATA("Somme de Pds/liv",$A$3,"Département",50)/GETPIVOTDATA("Somme de Pds/liv",$A$3)</f>
        <v>6.6171381746134295E-3</v>
      </c>
    </row>
    <row r="38" spans="1:5" x14ac:dyDescent="0.2">
      <c r="A38" s="51">
        <v>51</v>
      </c>
      <c r="B38" s="41">
        <v>1356.05</v>
      </c>
      <c r="C38" s="41">
        <v>1</v>
      </c>
      <c r="D38" s="41">
        <v>0.24743335423000001</v>
      </c>
      <c r="E38" s="52">
        <f>GETPIVOTDATA("Somme de Pds/liv",$A$3,"Département",51)/GETPIVOTDATA("Somme de Pds/liv",$A$3)</f>
        <v>5.9161484261712185E-3</v>
      </c>
    </row>
    <row r="39" spans="1:5" x14ac:dyDescent="0.2">
      <c r="A39" s="51">
        <v>52</v>
      </c>
      <c r="B39" s="41">
        <v>1057.2</v>
      </c>
      <c r="C39" s="41">
        <v>2</v>
      </c>
      <c r="D39" s="41">
        <v>0.28461975027999997</v>
      </c>
      <c r="E39" s="52">
        <f>GETPIVOTDATA("Somme de Pds/liv",$A$3,"Département",52)/GETPIVOTDATA("Somme de Pds/liv",$A$3)</f>
        <v>4.6123314893611687E-3</v>
      </c>
    </row>
    <row r="40" spans="1:5" x14ac:dyDescent="0.2">
      <c r="A40" s="51">
        <v>53</v>
      </c>
      <c r="B40" s="41">
        <v>1830.04</v>
      </c>
      <c r="C40" s="41">
        <v>2</v>
      </c>
      <c r="D40" s="41">
        <v>0.38967454263000001</v>
      </c>
      <c r="E40" s="52">
        <f>GETPIVOTDATA("Somme de Pds/liv",$A$3,"Département",53)/GETPIVOTDATA("Somme de Pds/liv",$A$3)</f>
        <v>7.9840627306001829E-3</v>
      </c>
    </row>
    <row r="41" spans="1:5" x14ac:dyDescent="0.2">
      <c r="A41" s="51">
        <v>54</v>
      </c>
      <c r="B41" s="41">
        <v>691.16736560000004</v>
      </c>
      <c r="C41" s="41">
        <v>4</v>
      </c>
      <c r="D41" s="41">
        <v>0.2329178656275</v>
      </c>
      <c r="E41" s="52">
        <f>GETPIVOTDATA("Somme de Pds/liv",$A$3,"Département",54)/GETPIVOTDATA("Somme de Pds/liv",$A$3)</f>
        <v>3.0154114687624702E-3</v>
      </c>
    </row>
    <row r="42" spans="1:5" x14ac:dyDescent="0.2">
      <c r="A42" s="51">
        <v>55</v>
      </c>
      <c r="B42" s="41">
        <v>2018.4297385</v>
      </c>
      <c r="C42" s="41">
        <v>4</v>
      </c>
      <c r="D42" s="41">
        <v>0.45901655197750002</v>
      </c>
      <c r="E42" s="52">
        <f>GETPIVOTDATA("Somme de Pds/liv",$A$3,"Département",55)/GETPIVOTDATA("Somme de Pds/liv",$A$3)</f>
        <v>8.8059657982846942E-3</v>
      </c>
    </row>
    <row r="43" spans="1:5" x14ac:dyDescent="0.2">
      <c r="A43" s="51">
        <v>56</v>
      </c>
      <c r="B43" s="41">
        <v>1188.9338889000001</v>
      </c>
      <c r="C43" s="41">
        <v>3</v>
      </c>
      <c r="D43" s="41">
        <v>0.23410591742666667</v>
      </c>
      <c r="E43" s="52">
        <f>GETPIVOTDATA("Somme de Pds/liv",$A$3,"Département",56)/GETPIVOTDATA("Somme de Pds/liv",$A$3)</f>
        <v>5.1870575241601434E-3</v>
      </c>
    </row>
    <row r="44" spans="1:5" x14ac:dyDescent="0.2">
      <c r="A44" s="51">
        <v>59</v>
      </c>
      <c r="B44" s="41">
        <v>3475.5587980999999</v>
      </c>
      <c r="C44" s="41">
        <v>8</v>
      </c>
      <c r="D44" s="41">
        <v>0.68875499544124996</v>
      </c>
      <c r="E44" s="52">
        <f>GETPIVOTDATA("Somme de Pds/liv",$A$3,"Département",59)/GETPIVOTDATA("Somme de Pds/liv",$A$3)</f>
        <v>1.5163099969355737E-2</v>
      </c>
    </row>
    <row r="45" spans="1:5" x14ac:dyDescent="0.2">
      <c r="A45" s="51">
        <v>60</v>
      </c>
      <c r="B45" s="41">
        <v>408.41222219999997</v>
      </c>
      <c r="C45" s="41">
        <v>2</v>
      </c>
      <c r="D45" s="41">
        <v>0.54792649638000002</v>
      </c>
      <c r="E45" s="52">
        <f>GETPIVOTDATA("Somme de Pds/liv",$A$3,"Département",60)/GETPIVOTDATA("Somme de Pds/liv",$A$3)</f>
        <v>1.7818128576362377E-3</v>
      </c>
    </row>
    <row r="46" spans="1:5" x14ac:dyDescent="0.2">
      <c r="A46" s="51">
        <v>62</v>
      </c>
      <c r="B46" s="41">
        <v>356.21</v>
      </c>
      <c r="C46" s="41">
        <v>1</v>
      </c>
      <c r="D46" s="41">
        <v>0.17412668556999999</v>
      </c>
      <c r="E46" s="52">
        <f>GETPIVOTDATA("Somme de Pds/liv",$A$3,"Département",62)/GETPIVOTDATA("Somme de Pds/liv",$A$3)</f>
        <v>1.554066023292983E-3</v>
      </c>
    </row>
    <row r="47" spans="1:5" x14ac:dyDescent="0.2">
      <c r="A47" s="51">
        <v>63</v>
      </c>
      <c r="B47" s="41">
        <v>2560.5024045</v>
      </c>
      <c r="C47" s="41">
        <v>21</v>
      </c>
      <c r="D47" s="41">
        <v>0.4586420414547619</v>
      </c>
      <c r="E47" s="52">
        <f>GETPIVOTDATA("Somme de Pds/liv",$A$3,"Département",63)/GETPIVOTDATA("Somme de Pds/liv",$A$3)</f>
        <v>1.1170909826769142E-2</v>
      </c>
    </row>
    <row r="48" spans="1:5" x14ac:dyDescent="0.2">
      <c r="A48" s="51">
        <v>64</v>
      </c>
      <c r="B48" s="41">
        <v>197.82380960000003</v>
      </c>
      <c r="C48" s="41">
        <v>9</v>
      </c>
      <c r="D48" s="41">
        <v>0.28684766546222223</v>
      </c>
      <c r="E48" s="52">
        <f>GETPIVOTDATA("Somme de Pds/liv",$A$3,"Département",64)/GETPIVOTDATA("Somme de Pds/liv",$A$3)</f>
        <v>8.6306184862227427E-4</v>
      </c>
    </row>
    <row r="49" spans="1:5" x14ac:dyDescent="0.2">
      <c r="A49" s="51">
        <v>65</v>
      </c>
      <c r="B49" s="41">
        <v>800.17105259999994</v>
      </c>
      <c r="C49" s="41">
        <v>2</v>
      </c>
      <c r="D49" s="41">
        <v>0.20275857422499999</v>
      </c>
      <c r="E49" s="52">
        <f>GETPIVOTDATA("Somme de Pds/liv",$A$3,"Département",65)/GETPIVOTDATA("Somme de Pds/liv",$A$3)</f>
        <v>3.4909706231387168E-3</v>
      </c>
    </row>
    <row r="50" spans="1:5" x14ac:dyDescent="0.2">
      <c r="A50" s="51">
        <v>66</v>
      </c>
      <c r="B50" s="41">
        <v>83.378611100000001</v>
      </c>
      <c r="C50" s="41">
        <v>2</v>
      </c>
      <c r="D50" s="41">
        <v>0.170003461385</v>
      </c>
      <c r="E50" s="52">
        <f>GETPIVOTDATA("Somme de Pds/liv",$A$3,"Département",66)/GETPIVOTDATA("Somme de Pds/liv",$A$3)</f>
        <v>3.6376257426762077E-4</v>
      </c>
    </row>
    <row r="51" spans="1:5" x14ac:dyDescent="0.2">
      <c r="A51" s="51">
        <v>68</v>
      </c>
      <c r="B51" s="41">
        <v>2332.4138888000002</v>
      </c>
      <c r="C51" s="41">
        <v>7</v>
      </c>
      <c r="D51" s="41">
        <v>0.39111204283285722</v>
      </c>
      <c r="E51" s="52">
        <f>GETPIVOTDATA("Somme de Pds/liv",$A$3,"Département",68)/GETPIVOTDATA("Somme de Pds/liv",$A$3)</f>
        <v>1.0175809710116893E-2</v>
      </c>
    </row>
    <row r="52" spans="1:5" x14ac:dyDescent="0.2">
      <c r="A52" s="51">
        <v>69</v>
      </c>
      <c r="B52" s="41">
        <v>6707.6948980000006</v>
      </c>
      <c r="C52" s="41">
        <v>44</v>
      </c>
      <c r="D52" s="41">
        <v>0.36943558817318178</v>
      </c>
      <c r="E52" s="52">
        <f>GETPIVOTDATA("Somme de Pds/liv",$A$3,"Département",69)/GETPIVOTDATA("Somme de Pds/liv",$A$3)</f>
        <v>2.9264200150465998E-2</v>
      </c>
    </row>
    <row r="53" spans="1:5" x14ac:dyDescent="0.2">
      <c r="A53" s="51">
        <v>71</v>
      </c>
      <c r="B53" s="41">
        <v>749.06432109999992</v>
      </c>
      <c r="C53" s="41">
        <v>7</v>
      </c>
      <c r="D53" s="41">
        <v>0.65495173225428582</v>
      </c>
      <c r="E53" s="52">
        <f>GETPIVOTDATA("Somme de Pds/liv",$A$3,"Département",71)/GETPIVOTDATA("Somme de Pds/liv",$A$3)</f>
        <v>3.2680031742021143E-3</v>
      </c>
    </row>
    <row r="54" spans="1:5" x14ac:dyDescent="0.2">
      <c r="A54" s="51">
        <v>73</v>
      </c>
      <c r="B54" s="41">
        <v>1989.2894589999999</v>
      </c>
      <c r="C54" s="41">
        <v>12</v>
      </c>
      <c r="D54" s="41">
        <v>0.32311485207999996</v>
      </c>
      <c r="E54" s="52">
        <f>GETPIVOTDATA("Somme de Pds/liv",$A$3,"Département",73)/GETPIVOTDATA("Somme de Pds/liv",$A$3)</f>
        <v>8.6788331566401266E-3</v>
      </c>
    </row>
    <row r="55" spans="1:5" x14ac:dyDescent="0.2">
      <c r="A55" s="51">
        <v>74</v>
      </c>
      <c r="B55" s="41">
        <v>278.09762620000004</v>
      </c>
      <c r="C55" s="41">
        <v>5</v>
      </c>
      <c r="D55" s="41">
        <v>0.48714079838800001</v>
      </c>
      <c r="E55" s="52">
        <f>GETPIVOTDATA("Somme de Pds/liv",$A$3,"Département",74)/GETPIVOTDATA("Somme de Pds/liv",$A$3)</f>
        <v>1.2132788861510136E-3</v>
      </c>
    </row>
    <row r="56" spans="1:5" x14ac:dyDescent="0.2">
      <c r="A56" s="51">
        <v>75</v>
      </c>
      <c r="B56" s="41">
        <v>9987.1613662999989</v>
      </c>
      <c r="C56" s="41">
        <v>78</v>
      </c>
      <c r="D56" s="41">
        <v>0.41926207919025643</v>
      </c>
      <c r="E56" s="52">
        <f>GETPIVOTDATA("Somme de Pds/liv",$A$3,"Département",75)/GETPIVOTDATA("Somme de Pds/liv",$A$3)</f>
        <v>4.3571792337416572E-2</v>
      </c>
    </row>
    <row r="57" spans="1:5" x14ac:dyDescent="0.2">
      <c r="A57" s="51">
        <v>76</v>
      </c>
      <c r="B57" s="41">
        <v>58.076666599999996</v>
      </c>
      <c r="C57" s="41">
        <v>3</v>
      </c>
      <c r="D57" s="41">
        <v>1.0176260413333333</v>
      </c>
      <c r="E57" s="52">
        <f>GETPIVOTDATA("Somme de Pds/liv",$A$3,"Département",76)/GETPIVOTDATA("Somme de Pds/liv",$A$3)</f>
        <v>2.5337574551296822E-4</v>
      </c>
    </row>
    <row r="58" spans="1:5" x14ac:dyDescent="0.2">
      <c r="A58" s="51">
        <v>77</v>
      </c>
      <c r="B58" s="41">
        <v>928.32361850000007</v>
      </c>
      <c r="C58" s="41">
        <v>15</v>
      </c>
      <c r="D58" s="41">
        <v>0.5216570373313334</v>
      </c>
      <c r="E58" s="52">
        <f>GETPIVOTDATA("Somme de Pds/liv",$A$3,"Département",77)/GETPIVOTDATA("Somme de Pds/liv",$A$3)</f>
        <v>4.0500721319762147E-3</v>
      </c>
    </row>
    <row r="59" spans="1:5" x14ac:dyDescent="0.2">
      <c r="A59" s="51">
        <v>78</v>
      </c>
      <c r="B59" s="41">
        <v>4168.7177158999993</v>
      </c>
      <c r="C59" s="41">
        <v>33</v>
      </c>
      <c r="D59" s="41">
        <v>0.2712803431378788</v>
      </c>
      <c r="E59" s="52">
        <f>GETPIVOTDATA("Somme de Pds/liv",$A$3,"Département",78)/GETPIVOTDATA("Somme de Pds/liv",$A$3)</f>
        <v>1.8187200143117036E-2</v>
      </c>
    </row>
    <row r="60" spans="1:5" x14ac:dyDescent="0.2">
      <c r="A60" s="51">
        <v>80</v>
      </c>
      <c r="B60" s="41">
        <v>3074.2804195999993</v>
      </c>
      <c r="C60" s="41">
        <v>17</v>
      </c>
      <c r="D60" s="41">
        <v>0.39337761763588236</v>
      </c>
      <c r="E60" s="52">
        <f>GETPIVOTDATA("Somme de Pds/liv",$A$3,"Département",80)/GETPIVOTDATA("Somme de Pds/liv",$A$3)</f>
        <v>1.341241050553116E-2</v>
      </c>
    </row>
    <row r="61" spans="1:5" x14ac:dyDescent="0.2">
      <c r="A61" s="51">
        <v>81</v>
      </c>
      <c r="B61" s="41">
        <v>4574.3528277000005</v>
      </c>
      <c r="C61" s="41">
        <v>17</v>
      </c>
      <c r="D61" s="41">
        <v>0.26703648876705882</v>
      </c>
      <c r="E61" s="52">
        <f>GETPIVOTDATA("Somme de Pds/liv",$A$3,"Département",81)/GETPIVOTDATA("Somme de Pds/liv",$A$3)</f>
        <v>1.9956897077798918E-2</v>
      </c>
    </row>
    <row r="62" spans="1:5" x14ac:dyDescent="0.2">
      <c r="A62" s="51">
        <v>82</v>
      </c>
      <c r="B62" s="41">
        <v>370.08631630000002</v>
      </c>
      <c r="C62" s="41">
        <v>11</v>
      </c>
      <c r="D62" s="41">
        <v>0.68694875666636357</v>
      </c>
      <c r="E62" s="52">
        <f>GETPIVOTDATA("Somme de Pds/liv",$A$3,"Département",82)/GETPIVOTDATA("Somme de Pds/liv",$A$3)</f>
        <v>1.6146053447334162E-3</v>
      </c>
    </row>
    <row r="63" spans="1:5" x14ac:dyDescent="0.2">
      <c r="A63" s="51">
        <v>83</v>
      </c>
      <c r="B63" s="41">
        <v>10062.986807699999</v>
      </c>
      <c r="C63" s="41">
        <v>52</v>
      </c>
      <c r="D63" s="41">
        <v>0.34239321053884608</v>
      </c>
      <c r="E63" s="52">
        <f>GETPIVOTDATA("Somme de Pds/liv",$A$3,"Département",83)/GETPIVOTDATA("Somme de Pds/liv",$A$3)</f>
        <v>4.3902602090598493E-2</v>
      </c>
    </row>
    <row r="64" spans="1:5" x14ac:dyDescent="0.2">
      <c r="A64" s="51">
        <v>84</v>
      </c>
      <c r="B64" s="41">
        <v>4765.8479909999996</v>
      </c>
      <c r="C64" s="41">
        <v>28</v>
      </c>
      <c r="D64" s="41">
        <v>0.31272316137464279</v>
      </c>
      <c r="E64" s="52">
        <f>GETPIVOTDATA("Somme de Pds/liv",$A$3,"Département",84)/GETPIVOTDATA("Somme de Pds/liv",$A$3)</f>
        <v>2.0792348432082823E-2</v>
      </c>
    </row>
    <row r="65" spans="1:5" x14ac:dyDescent="0.2">
      <c r="A65" s="51">
        <v>85</v>
      </c>
      <c r="B65" s="41">
        <v>171.34</v>
      </c>
      <c r="C65" s="41">
        <v>1</v>
      </c>
      <c r="D65" s="41">
        <v>8.2407299330000003E-2</v>
      </c>
      <c r="E65" s="52">
        <f>GETPIVOTDATA("Somme de Pds/liv",$A$3,"Département",85)/GETPIVOTDATA("Somme de Pds/liv",$A$3)</f>
        <v>7.4751880191746372E-4</v>
      </c>
    </row>
    <row r="66" spans="1:5" x14ac:dyDescent="0.2">
      <c r="A66" s="51">
        <v>87</v>
      </c>
      <c r="B66" s="41">
        <v>4685.0337887000005</v>
      </c>
      <c r="C66" s="41">
        <v>4</v>
      </c>
      <c r="D66" s="41">
        <v>0.20283801839749999</v>
      </c>
      <c r="E66" s="52">
        <f>GETPIVOTDATA("Somme de Pds/liv",$A$3,"Département",87)/GETPIVOTDATA("Somme de Pds/liv",$A$3)</f>
        <v>2.0439773810387883E-2</v>
      </c>
    </row>
    <row r="67" spans="1:5" x14ac:dyDescent="0.2">
      <c r="A67" s="51">
        <v>89</v>
      </c>
      <c r="B67" s="41">
        <v>252.2962315</v>
      </c>
      <c r="C67" s="41">
        <v>2</v>
      </c>
      <c r="D67" s="41">
        <v>0.28948475840999999</v>
      </c>
      <c r="E67" s="52">
        <f>GETPIVOTDATA("Somme de Pds/liv",$A$3,"Département",89)/GETPIVOTDATA("Somme de Pds/liv",$A$3)</f>
        <v>1.1007130658291762E-3</v>
      </c>
    </row>
    <row r="68" spans="1:5" x14ac:dyDescent="0.2">
      <c r="A68" s="51">
        <v>91</v>
      </c>
      <c r="B68" s="41">
        <v>4658.4129207999995</v>
      </c>
      <c r="C68" s="41">
        <v>26</v>
      </c>
      <c r="D68" s="41">
        <v>0.20075413003769232</v>
      </c>
      <c r="E68" s="52">
        <f>GETPIVOTDATA("Somme de Pds/liv",$A$3,"Département",91)/GETPIVOTDATA("Somme de Pds/liv",$A$3)</f>
        <v>2.0323632808411627E-2</v>
      </c>
    </row>
    <row r="69" spans="1:5" x14ac:dyDescent="0.2">
      <c r="A69" s="51">
        <v>92</v>
      </c>
      <c r="B69" s="41">
        <v>2069.0404392</v>
      </c>
      <c r="C69" s="41">
        <v>28</v>
      </c>
      <c r="D69" s="41">
        <v>0.26210050657321432</v>
      </c>
      <c r="E69" s="52">
        <f>GETPIVOTDATA("Somme de Pds/liv",$A$3,"Département",92)/GETPIVOTDATA("Somme de Pds/liv",$A$3)</f>
        <v>9.0267691737455757E-3</v>
      </c>
    </row>
    <row r="70" spans="1:5" x14ac:dyDescent="0.2">
      <c r="A70" s="51">
        <v>93</v>
      </c>
      <c r="B70" s="41">
        <v>460.50576160000003</v>
      </c>
      <c r="C70" s="41">
        <v>8</v>
      </c>
      <c r="D70" s="41">
        <v>0.30486245769375003</v>
      </c>
      <c r="E70" s="52">
        <f>GETPIVOTDATA("Somme de Pds/liv",$A$3,"Département",93)/GETPIVOTDATA("Somme de Pds/liv",$A$3)</f>
        <v>2.0090855327846457E-3</v>
      </c>
    </row>
    <row r="71" spans="1:5" x14ac:dyDescent="0.2">
      <c r="A71" s="51">
        <v>94</v>
      </c>
      <c r="B71" s="41">
        <v>14260.253536599999</v>
      </c>
      <c r="C71" s="41">
        <v>31</v>
      </c>
      <c r="D71" s="41">
        <v>0.13341271586290321</v>
      </c>
      <c r="E71" s="52">
        <f>GETPIVOTDATA("Somme de Pds/liv",$A$3,"Département",94)/GETPIVOTDATA("Somme de Pds/liv",$A$3)</f>
        <v>6.2214355309434491E-2</v>
      </c>
    </row>
    <row r="72" spans="1:5" x14ac:dyDescent="0.2">
      <c r="A72" s="51">
        <v>95</v>
      </c>
      <c r="B72" s="41">
        <v>1700.1099999000003</v>
      </c>
      <c r="C72" s="41">
        <v>14</v>
      </c>
      <c r="D72" s="41">
        <v>0.11060958081071429</v>
      </c>
      <c r="E72" s="52">
        <f>GETPIVOTDATA("Somme de Pds/liv",$A$3,"Département",95)/GETPIVOTDATA("Somme de Pds/liv",$A$3)</f>
        <v>7.4172066665877641E-3</v>
      </c>
    </row>
    <row r="73" spans="1:5" x14ac:dyDescent="0.2">
      <c r="A73" s="51">
        <v>97</v>
      </c>
      <c r="B73" s="41">
        <v>280.04602560000001</v>
      </c>
      <c r="C73" s="41">
        <v>2</v>
      </c>
      <c r="D73" s="41">
        <v>8.7470280304999995E-2</v>
      </c>
      <c r="E73" s="52">
        <f>GETPIVOTDATA("Somme de Pds/liv",$A$3,"Département",97)/GETPIVOTDATA("Somme de Pds/liv",$A$3)</f>
        <v>1.2217793249577411E-3</v>
      </c>
    </row>
    <row r="74" spans="1:5" x14ac:dyDescent="0.2">
      <c r="A74" s="51" t="s">
        <v>639</v>
      </c>
      <c r="B74" s="41">
        <v>229211.62592900009</v>
      </c>
      <c r="C74" s="41">
        <v>1103</v>
      </c>
      <c r="D74" s="41">
        <v>0.46141355377607707</v>
      </c>
      <c r="E74" s="5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zoomScale="90" zoomScaleNormal="90" workbookViewId="0">
      <selection activeCell="E42" sqref="E42"/>
    </sheetView>
  </sheetViews>
  <sheetFormatPr baseColWidth="10" defaultRowHeight="12.75" x14ac:dyDescent="0.2"/>
  <cols>
    <col min="2" max="2" width="22.140625" bestFit="1" customWidth="1"/>
    <col min="3" max="3" width="16.28515625" customWidth="1"/>
  </cols>
  <sheetData>
    <row r="1" spans="1:3" x14ac:dyDescent="0.2">
      <c r="A1" s="42" t="s">
        <v>641</v>
      </c>
      <c r="B1" s="42" t="s">
        <v>642</v>
      </c>
      <c r="C1" s="42" t="s">
        <v>836</v>
      </c>
    </row>
    <row r="2" spans="1:3" x14ac:dyDescent="0.2">
      <c r="A2" s="43" t="s">
        <v>643</v>
      </c>
      <c r="B2" s="43" t="s">
        <v>644</v>
      </c>
      <c r="C2" s="46">
        <f>GETPIVOTDATA("Moyenne de €/kg",'Stat TCD'!$A$3,"Département",1)</f>
        <v>0.44785756007923083</v>
      </c>
    </row>
    <row r="3" spans="1:3" x14ac:dyDescent="0.2">
      <c r="A3" s="43" t="s">
        <v>645</v>
      </c>
      <c r="B3" s="43" t="s">
        <v>646</v>
      </c>
    </row>
    <row r="4" spans="1:3" x14ac:dyDescent="0.2">
      <c r="A4" s="43" t="s">
        <v>647</v>
      </c>
      <c r="B4" s="43" t="s">
        <v>648</v>
      </c>
      <c r="C4" s="46">
        <f>GETPIVOTDATA("Moyenne de €/kg",'Stat TCD'!$A$3,"Département",3)</f>
        <v>0.22048910501999999</v>
      </c>
    </row>
    <row r="5" spans="1:3" x14ac:dyDescent="0.2">
      <c r="A5" s="43" t="s">
        <v>649</v>
      </c>
      <c r="B5" s="43" t="s">
        <v>650</v>
      </c>
      <c r="C5" s="46">
        <f>GETPIVOTDATA("Moyenne de €/kg",'Stat TCD'!$A$3,"Département",4)</f>
        <v>1.59068164672</v>
      </c>
    </row>
    <row r="6" spans="1:3" x14ac:dyDescent="0.2">
      <c r="A6" s="43" t="s">
        <v>651</v>
      </c>
      <c r="B6" s="43" t="s">
        <v>652</v>
      </c>
      <c r="C6" s="46"/>
    </row>
    <row r="7" spans="1:3" x14ac:dyDescent="0.2">
      <c r="A7" s="43" t="s">
        <v>653</v>
      </c>
      <c r="B7" s="43" t="s">
        <v>654</v>
      </c>
      <c r="C7" s="46">
        <f>GETPIVOTDATA("Moyenne de €/kg",'Stat TCD'!$A$3,"Département",6)</f>
        <v>1.5696620940275001</v>
      </c>
    </row>
    <row r="8" spans="1:3" x14ac:dyDescent="0.2">
      <c r="A8" s="43" t="s">
        <v>655</v>
      </c>
      <c r="B8" s="43" t="s">
        <v>656</v>
      </c>
      <c r="C8" s="46"/>
    </row>
    <row r="9" spans="1:3" x14ac:dyDescent="0.2">
      <c r="A9" s="43" t="s">
        <v>657</v>
      </c>
      <c r="B9" s="43" t="s">
        <v>658</v>
      </c>
      <c r="C9" s="46"/>
    </row>
    <row r="10" spans="1:3" x14ac:dyDescent="0.2">
      <c r="A10" s="43" t="s">
        <v>659</v>
      </c>
      <c r="B10" s="43" t="s">
        <v>660</v>
      </c>
      <c r="C10" s="46"/>
    </row>
    <row r="11" spans="1:3" x14ac:dyDescent="0.2">
      <c r="A11" s="43" t="s">
        <v>661</v>
      </c>
      <c r="B11" s="43" t="s">
        <v>662</v>
      </c>
      <c r="C11" s="46">
        <f>GETPIVOTDATA("Moyenne de €/kg",'Stat TCD'!$A$3,"Département",10)</f>
        <v>0.24615099618</v>
      </c>
    </row>
    <row r="12" spans="1:3" x14ac:dyDescent="0.2">
      <c r="A12" s="43" t="s">
        <v>663</v>
      </c>
      <c r="B12" s="43" t="s">
        <v>664</v>
      </c>
      <c r="C12" s="46">
        <f>GETPIVOTDATA("Moyenne de €/kg",'Stat TCD'!$A$3,"Département",11)</f>
        <v>0.17000622605499999</v>
      </c>
    </row>
    <row r="13" spans="1:3" x14ac:dyDescent="0.2">
      <c r="A13" s="43" t="s">
        <v>665</v>
      </c>
      <c r="B13" s="43" t="s">
        <v>666</v>
      </c>
      <c r="C13" s="46">
        <f>GETPIVOTDATA("Moyenne de €/kg",'Stat TCD'!$A$3,"Département",12)</f>
        <v>1.1221184474181358</v>
      </c>
    </row>
    <row r="14" spans="1:3" x14ac:dyDescent="0.2">
      <c r="A14" s="43" t="s">
        <v>667</v>
      </c>
      <c r="B14" s="43" t="s">
        <v>668</v>
      </c>
      <c r="C14" s="46">
        <f>GETPIVOTDATA("Moyenne de €/kg",'Stat TCD'!$A$3,"Département",13)</f>
        <v>0.33190560225787502</v>
      </c>
    </row>
    <row r="15" spans="1:3" x14ac:dyDescent="0.2">
      <c r="A15" s="43" t="s">
        <v>669</v>
      </c>
      <c r="B15" s="43" t="s">
        <v>670</v>
      </c>
      <c r="C15" s="46"/>
    </row>
    <row r="16" spans="1:3" x14ac:dyDescent="0.2">
      <c r="A16" s="43" t="s">
        <v>671</v>
      </c>
      <c r="B16" s="43" t="s">
        <v>672</v>
      </c>
      <c r="C16" s="46"/>
    </row>
    <row r="17" spans="1:3" x14ac:dyDescent="0.2">
      <c r="A17" s="43" t="s">
        <v>673</v>
      </c>
      <c r="B17" s="43" t="s">
        <v>674</v>
      </c>
      <c r="C17" s="46">
        <f>GETPIVOTDATA("Moyenne de €/kg",'Stat TCD'!$A$3,"Département",16)</f>
        <v>0.271789487898</v>
      </c>
    </row>
    <row r="18" spans="1:3" x14ac:dyDescent="0.2">
      <c r="A18" s="43" t="s">
        <v>675</v>
      </c>
      <c r="B18" s="43" t="s">
        <v>676</v>
      </c>
      <c r="C18" s="46">
        <f>GETPIVOTDATA("Moyenne de €/kg",'Stat TCD'!$A$3,"Département",17)</f>
        <v>7.3211926895000001E-2</v>
      </c>
    </row>
    <row r="19" spans="1:3" x14ac:dyDescent="0.2">
      <c r="A19" s="43" t="s">
        <v>677</v>
      </c>
      <c r="B19" s="43" t="s">
        <v>678</v>
      </c>
      <c r="C19" s="46">
        <f>GETPIVOTDATA("Moyenne de €/kg",'Stat TCD'!$A$3,"Département",18)</f>
        <v>0.25641833666666664</v>
      </c>
    </row>
    <row r="20" spans="1:3" x14ac:dyDescent="0.2">
      <c r="A20" s="43" t="s">
        <v>679</v>
      </c>
      <c r="B20" s="43" t="s">
        <v>680</v>
      </c>
      <c r="C20" s="46">
        <f>GETPIVOTDATA("Moyenne de €/kg",'Stat TCD'!$A$3,"Département",19)</f>
        <v>0.20292831359300001</v>
      </c>
    </row>
    <row r="21" spans="1:3" x14ac:dyDescent="0.2">
      <c r="A21" s="43" t="s">
        <v>681</v>
      </c>
      <c r="B21" s="43" t="s">
        <v>682</v>
      </c>
      <c r="C21" s="46"/>
    </row>
    <row r="22" spans="1:3" x14ac:dyDescent="0.2">
      <c r="A22" s="43" t="s">
        <v>683</v>
      </c>
      <c r="B22" s="43" t="s">
        <v>684</v>
      </c>
      <c r="C22" s="46">
        <f>GETPIVOTDATA("Moyenne de €/kg",'Stat TCD'!$A$3,"Département",22)</f>
        <v>0.26947883209600004</v>
      </c>
    </row>
    <row r="23" spans="1:3" x14ac:dyDescent="0.2">
      <c r="A23" s="43" t="s">
        <v>685</v>
      </c>
      <c r="B23" s="43" t="s">
        <v>686</v>
      </c>
      <c r="C23" s="46"/>
    </row>
    <row r="24" spans="1:3" x14ac:dyDescent="0.2">
      <c r="A24" s="43" t="s">
        <v>687</v>
      </c>
      <c r="B24" s="43" t="s">
        <v>688</v>
      </c>
      <c r="C24" s="46">
        <f>GETPIVOTDATA("Moyenne de €/kg",'Stat TCD'!$A$3,"Département",24)</f>
        <v>0.27903486643999997</v>
      </c>
    </row>
    <row r="25" spans="1:3" x14ac:dyDescent="0.2">
      <c r="A25" s="43" t="s">
        <v>689</v>
      </c>
      <c r="B25" s="43" t="s">
        <v>690</v>
      </c>
      <c r="C25" s="46">
        <f>GETPIVOTDATA("Moyenne de €/kg",'Stat TCD'!$A$3,"Département",25)</f>
        <v>0.36584985454999996</v>
      </c>
    </row>
    <row r="26" spans="1:3" x14ac:dyDescent="0.2">
      <c r="A26" s="43" t="s">
        <v>691</v>
      </c>
      <c r="B26" s="43" t="s">
        <v>692</v>
      </c>
      <c r="C26" s="46">
        <f>GETPIVOTDATA("Moyenne de €/kg",'Stat TCD'!$A$3,"Département",26)</f>
        <v>0.11371117153</v>
      </c>
    </row>
    <row r="27" spans="1:3" x14ac:dyDescent="0.2">
      <c r="A27" s="43" t="s">
        <v>693</v>
      </c>
      <c r="B27" s="43" t="s">
        <v>694</v>
      </c>
      <c r="C27" s="46"/>
    </row>
    <row r="28" spans="1:3" x14ac:dyDescent="0.2">
      <c r="A28" s="43" t="s">
        <v>695</v>
      </c>
      <c r="B28" s="43" t="s">
        <v>696</v>
      </c>
      <c r="C28" s="46">
        <f>GETPIVOTDATA("Moyenne de €/kg",'Stat TCD'!$A$3,"Département",28)</f>
        <v>0.24709156136999999</v>
      </c>
    </row>
    <row r="29" spans="1:3" x14ac:dyDescent="0.2">
      <c r="A29" s="43" t="s">
        <v>697</v>
      </c>
      <c r="B29" s="43" t="s">
        <v>698</v>
      </c>
      <c r="C29" s="46"/>
    </row>
    <row r="30" spans="1:3" x14ac:dyDescent="0.2">
      <c r="A30" s="43" t="s">
        <v>699</v>
      </c>
      <c r="B30" s="43" t="s">
        <v>700</v>
      </c>
      <c r="C30" s="46">
        <f>GETPIVOTDATA("Moyenne de €/kg",'Stat TCD'!$A$3,"Département",20)</f>
        <v>0.23926719530727275</v>
      </c>
    </row>
    <row r="31" spans="1:3" x14ac:dyDescent="0.2">
      <c r="A31" s="43" t="s">
        <v>701</v>
      </c>
      <c r="B31" s="43" t="s">
        <v>702</v>
      </c>
      <c r="C31" s="46"/>
    </row>
    <row r="32" spans="1:3" x14ac:dyDescent="0.2">
      <c r="A32" s="43" t="s">
        <v>703</v>
      </c>
      <c r="B32" s="43" t="s">
        <v>704</v>
      </c>
      <c r="C32" s="46">
        <f>GETPIVOTDATA("Moyenne de €/kg",'Stat TCD'!$A$3,"Département",30)</f>
        <v>0.40327377282714283</v>
      </c>
    </row>
    <row r="33" spans="1:3" x14ac:dyDescent="0.2">
      <c r="A33" s="43" t="s">
        <v>705</v>
      </c>
      <c r="B33" s="43" t="s">
        <v>706</v>
      </c>
      <c r="C33" s="46">
        <f>GETPIVOTDATA("Moyenne de €/kg",'Stat TCD'!$A$3,"Département",31)</f>
        <v>0.32213835806229918</v>
      </c>
    </row>
    <row r="34" spans="1:3" x14ac:dyDescent="0.2">
      <c r="A34" s="43" t="s">
        <v>707</v>
      </c>
      <c r="B34" s="43" t="s">
        <v>708</v>
      </c>
      <c r="C34" s="46">
        <f>GETPIVOTDATA("Moyenne de €/kg",'Stat TCD'!$A$3,"Département",32)</f>
        <v>0.28121534040888885</v>
      </c>
    </row>
    <row r="35" spans="1:3" x14ac:dyDescent="0.2">
      <c r="A35" s="43" t="s">
        <v>709</v>
      </c>
      <c r="B35" s="43" t="s">
        <v>710</v>
      </c>
      <c r="C35" s="46">
        <f>GETPIVOTDATA("Moyenne de €/kg",'Stat TCD'!$A$3,"Département",33)</f>
        <v>0.95818338096</v>
      </c>
    </row>
    <row r="36" spans="1:3" x14ac:dyDescent="0.2">
      <c r="A36" s="43" t="s">
        <v>711</v>
      </c>
      <c r="B36" s="43" t="s">
        <v>712</v>
      </c>
      <c r="C36" s="46">
        <f>GETPIVOTDATA("Moyenne de €/kg",'Stat TCD'!$A$3,"Département",34)</f>
        <v>0.52638409027978961</v>
      </c>
    </row>
    <row r="37" spans="1:3" x14ac:dyDescent="0.2">
      <c r="A37" s="43" t="s">
        <v>713</v>
      </c>
      <c r="B37" s="43" t="s">
        <v>714</v>
      </c>
      <c r="C37" s="46"/>
    </row>
    <row r="38" spans="1:3" x14ac:dyDescent="0.2">
      <c r="A38" s="43" t="s">
        <v>715</v>
      </c>
      <c r="B38" s="43" t="s">
        <v>716</v>
      </c>
      <c r="C38" s="46"/>
    </row>
    <row r="39" spans="1:3" x14ac:dyDescent="0.2">
      <c r="A39" s="43" t="s">
        <v>717</v>
      </c>
      <c r="B39" s="43" t="s">
        <v>718</v>
      </c>
      <c r="C39" s="46">
        <f>GETPIVOTDATA("Moyenne de €/kg",'Stat TCD'!$A$3,"Département",37)</f>
        <v>0.13903712102500002</v>
      </c>
    </row>
    <row r="40" spans="1:3" x14ac:dyDescent="0.2">
      <c r="A40" s="43" t="s">
        <v>719</v>
      </c>
      <c r="B40" s="43" t="s">
        <v>720</v>
      </c>
      <c r="C40" s="46">
        <f>GETPIVOTDATA("Moyenne de €/kg",'Stat TCD'!$A$3,"Département",38)</f>
        <v>0.2408209376995</v>
      </c>
    </row>
    <row r="41" spans="1:3" x14ac:dyDescent="0.2">
      <c r="A41" s="43" t="s">
        <v>721</v>
      </c>
      <c r="B41" s="43" t="s">
        <v>722</v>
      </c>
      <c r="C41" s="46"/>
    </row>
    <row r="42" spans="1:3" x14ac:dyDescent="0.2">
      <c r="A42" s="43" t="s">
        <v>723</v>
      </c>
      <c r="B42" s="43" t="s">
        <v>724</v>
      </c>
      <c r="C42" s="46">
        <f>GETPIVOTDATA("Moyenne de €/kg",'Stat TCD'!$A$3,"Département",40)</f>
        <v>0.24692949220999999</v>
      </c>
    </row>
    <row r="43" spans="1:3" x14ac:dyDescent="0.2">
      <c r="A43" s="43" t="s">
        <v>725</v>
      </c>
      <c r="B43" s="43" t="s">
        <v>726</v>
      </c>
      <c r="C43" s="46"/>
    </row>
    <row r="44" spans="1:3" x14ac:dyDescent="0.2">
      <c r="A44" s="43" t="s">
        <v>727</v>
      </c>
      <c r="B44" s="43" t="s">
        <v>728</v>
      </c>
      <c r="C44" s="46">
        <f>GETPIVOTDATA("Moyenne de €/kg",'Stat TCD'!$A$3,"Département",42)</f>
        <v>0.69852595797239148</v>
      </c>
    </row>
    <row r="45" spans="1:3" x14ac:dyDescent="0.2">
      <c r="A45" s="43" t="s">
        <v>729</v>
      </c>
      <c r="B45" s="43" t="s">
        <v>730</v>
      </c>
      <c r="C45" s="46">
        <f>GETPIVOTDATA("Moyenne de €/kg",'Stat TCD'!$A$3,"Département",43)</f>
        <v>0.6526677020142857</v>
      </c>
    </row>
    <row r="46" spans="1:3" x14ac:dyDescent="0.2">
      <c r="A46" s="43" t="s">
        <v>731</v>
      </c>
      <c r="B46" s="43" t="s">
        <v>732</v>
      </c>
      <c r="C46" s="46">
        <f>GETPIVOTDATA("Moyenne de €/kg",'Stat TCD'!$A$3,"Département",44)</f>
        <v>0.56372761492000001</v>
      </c>
    </row>
    <row r="47" spans="1:3" x14ac:dyDescent="0.2">
      <c r="A47" s="43" t="s">
        <v>733</v>
      </c>
      <c r="B47" s="43" t="s">
        <v>734</v>
      </c>
      <c r="C47" s="46">
        <f>GETPIVOTDATA("Moyenne de €/kg",'Stat TCD'!$A$3,"Département",45)</f>
        <v>0.52713386608399992</v>
      </c>
    </row>
    <row r="48" spans="1:3" x14ac:dyDescent="0.2">
      <c r="A48" s="43" t="s">
        <v>735</v>
      </c>
      <c r="B48" s="43" t="s">
        <v>736</v>
      </c>
      <c r="C48" s="46">
        <f>GETPIVOTDATA("Moyenne de €/kg",'Stat TCD'!$A$3,"Département",46)</f>
        <v>0.81928483081600001</v>
      </c>
    </row>
    <row r="49" spans="1:3" x14ac:dyDescent="0.2">
      <c r="A49" s="43" t="s">
        <v>737</v>
      </c>
      <c r="B49" s="43" t="s">
        <v>738</v>
      </c>
      <c r="C49" s="46">
        <f>GETPIVOTDATA("Moyenne de €/kg",'Stat TCD'!$A$3,"Département",47)</f>
        <v>0.23060985461529412</v>
      </c>
    </row>
    <row r="50" spans="1:3" x14ac:dyDescent="0.2">
      <c r="A50" s="43" t="s">
        <v>739</v>
      </c>
      <c r="B50" s="43" t="s">
        <v>740</v>
      </c>
      <c r="C50" s="46"/>
    </row>
    <row r="51" spans="1:3" x14ac:dyDescent="0.2">
      <c r="A51" s="43" t="s">
        <v>741</v>
      </c>
      <c r="B51" s="43" t="s">
        <v>742</v>
      </c>
      <c r="C51" s="46">
        <f>GETPIVOTDATA("Moyenne de €/kg",'Stat TCD'!$A$3,"Département",49)</f>
        <v>0.23775889622500002</v>
      </c>
    </row>
    <row r="52" spans="1:3" x14ac:dyDescent="0.2">
      <c r="A52" s="43" t="s">
        <v>743</v>
      </c>
      <c r="B52" s="43" t="s">
        <v>744</v>
      </c>
      <c r="C52" s="46">
        <f>GETPIVOTDATA("Moyenne de €/kg",'Stat TCD'!$A$3,"Département",50)</f>
        <v>0.24772826000000001</v>
      </c>
    </row>
    <row r="53" spans="1:3" x14ac:dyDescent="0.2">
      <c r="A53" s="43" t="s">
        <v>745</v>
      </c>
      <c r="B53" s="43" t="s">
        <v>746</v>
      </c>
      <c r="C53" s="46">
        <f>GETPIVOTDATA("Moyenne de €/kg",'Stat TCD'!$A$3,"Département",51)</f>
        <v>0.24743335423000001</v>
      </c>
    </row>
    <row r="54" spans="1:3" x14ac:dyDescent="0.2">
      <c r="A54" s="43" t="s">
        <v>747</v>
      </c>
      <c r="B54" s="43" t="s">
        <v>748</v>
      </c>
      <c r="C54" s="46">
        <f>GETPIVOTDATA("Moyenne de €/kg",'Stat TCD'!$A$3,"Département",52)</f>
        <v>0.28461975027999997</v>
      </c>
    </row>
    <row r="55" spans="1:3" x14ac:dyDescent="0.2">
      <c r="A55" s="43" t="s">
        <v>749</v>
      </c>
      <c r="B55" s="43" t="s">
        <v>750</v>
      </c>
      <c r="C55" s="46">
        <f>GETPIVOTDATA("Moyenne de €/kg",'Stat TCD'!$A$3,"Département",53)</f>
        <v>0.38967454263000001</v>
      </c>
    </row>
    <row r="56" spans="1:3" x14ac:dyDescent="0.2">
      <c r="A56" s="43" t="s">
        <v>751</v>
      </c>
      <c r="B56" s="43" t="s">
        <v>752</v>
      </c>
      <c r="C56" s="46">
        <f>GETPIVOTDATA("Moyenne de €/kg",'Stat TCD'!$A$3,"Département",54)</f>
        <v>0.2329178656275</v>
      </c>
    </row>
    <row r="57" spans="1:3" x14ac:dyDescent="0.2">
      <c r="A57" s="43" t="s">
        <v>753</v>
      </c>
      <c r="B57" s="43" t="s">
        <v>754</v>
      </c>
      <c r="C57" s="46">
        <f>GETPIVOTDATA("Moyenne de €/kg",'Stat TCD'!$A$3,"Département",55)</f>
        <v>0.45901655197750002</v>
      </c>
    </row>
    <row r="58" spans="1:3" x14ac:dyDescent="0.2">
      <c r="A58" s="43" t="s">
        <v>755</v>
      </c>
      <c r="B58" s="43" t="s">
        <v>756</v>
      </c>
      <c r="C58" s="46">
        <f>GETPIVOTDATA("Moyenne de €/kg",'Stat TCD'!$A$3,"Département",56)</f>
        <v>0.23410591742666667</v>
      </c>
    </row>
    <row r="59" spans="1:3" x14ac:dyDescent="0.2">
      <c r="A59" s="43" t="s">
        <v>757</v>
      </c>
      <c r="B59" s="43" t="s">
        <v>758</v>
      </c>
      <c r="C59" s="46"/>
    </row>
    <row r="60" spans="1:3" x14ac:dyDescent="0.2">
      <c r="A60" s="43" t="s">
        <v>759</v>
      </c>
      <c r="B60" s="43" t="s">
        <v>760</v>
      </c>
      <c r="C60" s="46"/>
    </row>
    <row r="61" spans="1:3" x14ac:dyDescent="0.2">
      <c r="A61" s="43" t="s">
        <v>761</v>
      </c>
      <c r="B61" s="43" t="s">
        <v>762</v>
      </c>
      <c r="C61" s="46">
        <f>GETPIVOTDATA("Moyenne de €/kg",'Stat TCD'!$A$3,"Département",59)</f>
        <v>0.68875499544124996</v>
      </c>
    </row>
    <row r="62" spans="1:3" x14ac:dyDescent="0.2">
      <c r="A62" s="43" t="s">
        <v>763</v>
      </c>
      <c r="B62" s="43" t="s">
        <v>764</v>
      </c>
      <c r="C62" s="46">
        <f>GETPIVOTDATA("Moyenne de €/kg",'Stat TCD'!$A$3,"Département",60)</f>
        <v>0.54792649638000002</v>
      </c>
    </row>
    <row r="63" spans="1:3" x14ac:dyDescent="0.2">
      <c r="A63" s="43" t="s">
        <v>765</v>
      </c>
      <c r="B63" s="43" t="s">
        <v>766</v>
      </c>
      <c r="C63" s="46"/>
    </row>
    <row r="64" spans="1:3" x14ac:dyDescent="0.2">
      <c r="A64" s="43" t="s">
        <v>767</v>
      </c>
      <c r="B64" s="43" t="s">
        <v>768</v>
      </c>
      <c r="C64" s="46">
        <f>GETPIVOTDATA("Moyenne de €/kg",'Stat TCD'!$A$3,"Département",62)</f>
        <v>0.17412668556999999</v>
      </c>
    </row>
    <row r="65" spans="1:3" x14ac:dyDescent="0.2">
      <c r="A65" s="43" t="s">
        <v>769</v>
      </c>
      <c r="B65" s="43" t="s">
        <v>770</v>
      </c>
      <c r="C65" s="46">
        <f>GETPIVOTDATA("Moyenne de €/kg",'Stat TCD'!$A$3,"Département",63)</f>
        <v>0.4586420414547619</v>
      </c>
    </row>
    <row r="66" spans="1:3" x14ac:dyDescent="0.2">
      <c r="A66" s="43" t="s">
        <v>771</v>
      </c>
      <c r="B66" s="43" t="s">
        <v>772</v>
      </c>
      <c r="C66" s="46">
        <f>GETPIVOTDATA("Moyenne de €/kg",'Stat TCD'!$A$3,"Département",64)</f>
        <v>0.28684766546222223</v>
      </c>
    </row>
    <row r="67" spans="1:3" x14ac:dyDescent="0.2">
      <c r="A67" s="43" t="s">
        <v>773</v>
      </c>
      <c r="B67" s="43" t="s">
        <v>774</v>
      </c>
      <c r="C67" s="46">
        <f>GETPIVOTDATA("Moyenne de €/kg",'Stat TCD'!$A$3,"Département",65)</f>
        <v>0.20275857422499999</v>
      </c>
    </row>
    <row r="68" spans="1:3" x14ac:dyDescent="0.2">
      <c r="A68" s="43" t="s">
        <v>775</v>
      </c>
      <c r="B68" s="43" t="s">
        <v>776</v>
      </c>
      <c r="C68" s="46">
        <f>GETPIVOTDATA("Moyenne de €/kg",'Stat TCD'!$A$3,"Département",66)</f>
        <v>0.170003461385</v>
      </c>
    </row>
    <row r="69" spans="1:3" x14ac:dyDescent="0.2">
      <c r="A69" s="43" t="s">
        <v>777</v>
      </c>
      <c r="B69" s="43" t="s">
        <v>778</v>
      </c>
      <c r="C69" s="46"/>
    </row>
    <row r="70" spans="1:3" x14ac:dyDescent="0.2">
      <c r="A70" s="43" t="s">
        <v>779</v>
      </c>
      <c r="B70" s="43" t="s">
        <v>780</v>
      </c>
      <c r="C70" s="46">
        <f>GETPIVOTDATA("Moyenne de €/kg",'Stat TCD'!$A$3,"Département",68)</f>
        <v>0.39111204283285722</v>
      </c>
    </row>
    <row r="71" spans="1:3" x14ac:dyDescent="0.2">
      <c r="A71" s="43" t="s">
        <v>781</v>
      </c>
      <c r="B71" s="43" t="s">
        <v>782</v>
      </c>
      <c r="C71" s="46">
        <f>GETPIVOTDATA("Moyenne de €/kg",'Stat TCD'!$A$3,"Département",69)</f>
        <v>0.36943558817318178</v>
      </c>
    </row>
    <row r="72" spans="1:3" x14ac:dyDescent="0.2">
      <c r="A72" s="43" t="s">
        <v>783</v>
      </c>
      <c r="B72" s="43" t="s">
        <v>784</v>
      </c>
      <c r="C72" s="46"/>
    </row>
    <row r="73" spans="1:3" x14ac:dyDescent="0.2">
      <c r="A73" s="43" t="s">
        <v>785</v>
      </c>
      <c r="B73" s="43" t="s">
        <v>786</v>
      </c>
      <c r="C73" s="46">
        <f>GETPIVOTDATA("Moyenne de €/kg",'Stat TCD'!$A$3,"Département",71)</f>
        <v>0.65495173225428582</v>
      </c>
    </row>
    <row r="74" spans="1:3" x14ac:dyDescent="0.2">
      <c r="A74" s="43" t="s">
        <v>787</v>
      </c>
      <c r="B74" s="43" t="s">
        <v>788</v>
      </c>
      <c r="C74" s="46"/>
    </row>
    <row r="75" spans="1:3" x14ac:dyDescent="0.2">
      <c r="A75" s="43" t="s">
        <v>789</v>
      </c>
      <c r="B75" s="43" t="s">
        <v>790</v>
      </c>
      <c r="C75" s="46">
        <f>GETPIVOTDATA("Moyenne de €/kg",'Stat TCD'!$A$3,"Département",73)</f>
        <v>0.32311485207999996</v>
      </c>
    </row>
    <row r="76" spans="1:3" x14ac:dyDescent="0.2">
      <c r="A76" s="43" t="s">
        <v>791</v>
      </c>
      <c r="B76" s="43" t="s">
        <v>792</v>
      </c>
      <c r="C76" s="46">
        <f>GETPIVOTDATA("Moyenne de €/kg",'Stat TCD'!$A$3,"Département",74)</f>
        <v>0.48714079838800001</v>
      </c>
    </row>
    <row r="77" spans="1:3" x14ac:dyDescent="0.2">
      <c r="A77" s="43" t="s">
        <v>793</v>
      </c>
      <c r="B77" s="43" t="s">
        <v>794</v>
      </c>
      <c r="C77" s="46">
        <f>GETPIVOTDATA("Moyenne de €/kg",'Stat TCD'!$A$3,"Département",75)</f>
        <v>0.41926207919025643</v>
      </c>
    </row>
    <row r="78" spans="1:3" x14ac:dyDescent="0.2">
      <c r="A78" s="43" t="s">
        <v>795</v>
      </c>
      <c r="B78" s="43" t="s">
        <v>796</v>
      </c>
      <c r="C78" s="46">
        <f>GETPIVOTDATA("Moyenne de €/kg",'Stat TCD'!$A$3,"Département",76)</f>
        <v>1.0176260413333333</v>
      </c>
    </row>
    <row r="79" spans="1:3" x14ac:dyDescent="0.2">
      <c r="A79" s="43" t="s">
        <v>797</v>
      </c>
      <c r="B79" s="43" t="s">
        <v>798</v>
      </c>
      <c r="C79" s="46">
        <f>GETPIVOTDATA("Moyenne de €/kg",'Stat TCD'!$A$3,"Département",77)</f>
        <v>0.5216570373313334</v>
      </c>
    </row>
    <row r="80" spans="1:3" x14ac:dyDescent="0.2">
      <c r="A80" s="43" t="s">
        <v>799</v>
      </c>
      <c r="B80" s="43" t="s">
        <v>800</v>
      </c>
      <c r="C80" s="46">
        <f>GETPIVOTDATA("Moyenne de €/kg",'Stat TCD'!$A$3,"Département",78)</f>
        <v>0.2712803431378788</v>
      </c>
    </row>
    <row r="81" spans="1:3" x14ac:dyDescent="0.2">
      <c r="A81" s="43" t="s">
        <v>801</v>
      </c>
      <c r="B81" s="43" t="s">
        <v>802</v>
      </c>
      <c r="C81" s="46"/>
    </row>
    <row r="82" spans="1:3" x14ac:dyDescent="0.2">
      <c r="A82" s="43" t="s">
        <v>803</v>
      </c>
      <c r="B82" s="43" t="s">
        <v>804</v>
      </c>
      <c r="C82" s="46">
        <f>GETPIVOTDATA("Moyenne de €/kg",'Stat TCD'!$A$3,"Département",80)</f>
        <v>0.39337761763588236</v>
      </c>
    </row>
    <row r="83" spans="1:3" x14ac:dyDescent="0.2">
      <c r="A83" s="43" t="s">
        <v>805</v>
      </c>
      <c r="B83" s="43" t="s">
        <v>806</v>
      </c>
      <c r="C83" s="46">
        <f>GETPIVOTDATA("Moyenne de €/kg",'Stat TCD'!$A$3,"Département",81)</f>
        <v>0.26703648876705882</v>
      </c>
    </row>
    <row r="84" spans="1:3" x14ac:dyDescent="0.2">
      <c r="A84" s="43" t="s">
        <v>807</v>
      </c>
      <c r="B84" s="43" t="s">
        <v>808</v>
      </c>
      <c r="C84" s="46">
        <f>GETPIVOTDATA("Moyenne de €/kg",'Stat TCD'!$A$3,"Département",82)</f>
        <v>0.68694875666636357</v>
      </c>
    </row>
    <row r="85" spans="1:3" x14ac:dyDescent="0.2">
      <c r="A85" s="43" t="s">
        <v>809</v>
      </c>
      <c r="B85" s="43" t="s">
        <v>810</v>
      </c>
      <c r="C85" s="46">
        <f>GETPIVOTDATA("Moyenne de €/kg",'Stat TCD'!$A$3,"Département",83)</f>
        <v>0.34239321053884608</v>
      </c>
    </row>
    <row r="86" spans="1:3" x14ac:dyDescent="0.2">
      <c r="A86" s="43" t="s">
        <v>811</v>
      </c>
      <c r="B86" s="43" t="s">
        <v>812</v>
      </c>
      <c r="C86" s="46">
        <f>GETPIVOTDATA("Moyenne de €/kg",'Stat TCD'!$A$3,"Département",84)</f>
        <v>0.31272316137464279</v>
      </c>
    </row>
    <row r="87" spans="1:3" x14ac:dyDescent="0.2">
      <c r="A87" s="43" t="s">
        <v>813</v>
      </c>
      <c r="B87" s="43" t="s">
        <v>814</v>
      </c>
      <c r="C87" s="46">
        <f>GETPIVOTDATA("Moyenne de €/kg",'Stat TCD'!$A$3,"Département",85)</f>
        <v>8.2407299330000003E-2</v>
      </c>
    </row>
    <row r="88" spans="1:3" x14ac:dyDescent="0.2">
      <c r="A88" s="43" t="s">
        <v>815</v>
      </c>
      <c r="B88" s="43" t="s">
        <v>816</v>
      </c>
      <c r="C88" s="46"/>
    </row>
    <row r="89" spans="1:3" x14ac:dyDescent="0.2">
      <c r="A89" s="43" t="s">
        <v>817</v>
      </c>
      <c r="B89" s="43" t="s">
        <v>818</v>
      </c>
      <c r="C89" s="46">
        <f>GETPIVOTDATA("Moyenne de €/kg",'Stat TCD'!$A$3,"Département",87)</f>
        <v>0.20283801839749999</v>
      </c>
    </row>
    <row r="90" spans="1:3" x14ac:dyDescent="0.2">
      <c r="A90" s="43" t="s">
        <v>819</v>
      </c>
      <c r="B90" s="43" t="s">
        <v>820</v>
      </c>
      <c r="C90" s="46"/>
    </row>
    <row r="91" spans="1:3" x14ac:dyDescent="0.2">
      <c r="A91" s="43" t="s">
        <v>821</v>
      </c>
      <c r="B91" s="43" t="s">
        <v>822</v>
      </c>
      <c r="C91" s="46">
        <f>GETPIVOTDATA("Moyenne de €/kg",'Stat TCD'!$A$3,"Département",89)</f>
        <v>0.28948475840999999</v>
      </c>
    </row>
    <row r="92" spans="1:3" x14ac:dyDescent="0.2">
      <c r="A92" s="43" t="s">
        <v>823</v>
      </c>
      <c r="B92" s="43" t="s">
        <v>824</v>
      </c>
      <c r="C92" s="46"/>
    </row>
    <row r="93" spans="1:3" x14ac:dyDescent="0.2">
      <c r="A93" s="43" t="s">
        <v>825</v>
      </c>
      <c r="B93" s="43" t="s">
        <v>826</v>
      </c>
      <c r="C93" s="46">
        <f>GETPIVOTDATA("Moyenne de €/kg",'Stat TCD'!$A$3,"Département",91)</f>
        <v>0.20075413003769232</v>
      </c>
    </row>
    <row r="94" spans="1:3" x14ac:dyDescent="0.2">
      <c r="A94" s="43" t="s">
        <v>827</v>
      </c>
      <c r="B94" s="43" t="s">
        <v>828</v>
      </c>
      <c r="C94" s="46">
        <f>GETPIVOTDATA("Moyenne de €/kg",'Stat TCD'!$A$3,"Département",92)</f>
        <v>0.26210050657321432</v>
      </c>
    </row>
    <row r="95" spans="1:3" x14ac:dyDescent="0.2">
      <c r="A95" s="43" t="s">
        <v>829</v>
      </c>
      <c r="B95" s="43" t="s">
        <v>830</v>
      </c>
      <c r="C95" s="46">
        <f>GETPIVOTDATA("Moyenne de €/kg",'Stat TCD'!$A$3,"Département",93)</f>
        <v>0.30486245769375003</v>
      </c>
    </row>
    <row r="96" spans="1:3" x14ac:dyDescent="0.2">
      <c r="A96" s="43" t="s">
        <v>831</v>
      </c>
      <c r="B96" s="43" t="s">
        <v>832</v>
      </c>
      <c r="C96" s="46">
        <f>GETPIVOTDATA("Moyenne de €/kg",'Stat TCD'!$A$3,"Département",94)</f>
        <v>0.13341271586290321</v>
      </c>
    </row>
    <row r="97" spans="1:3" x14ac:dyDescent="0.2">
      <c r="A97" s="43" t="s">
        <v>833</v>
      </c>
      <c r="B97" s="43" t="s">
        <v>834</v>
      </c>
      <c r="C97" s="46">
        <f>GETPIVOTDATA("Moyenne de €/kg",'Stat TCD'!$A$3,"Département",95)</f>
        <v>0.11060958081071429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workbookViewId="0">
      <selection activeCell="F36" sqref="F36"/>
    </sheetView>
  </sheetViews>
  <sheetFormatPr baseColWidth="10" defaultRowHeight="12.75" x14ac:dyDescent="0.2"/>
  <cols>
    <col min="2" max="2" width="22.140625" bestFit="1" customWidth="1"/>
    <col min="3" max="3" width="18.140625" bestFit="1" customWidth="1"/>
  </cols>
  <sheetData>
    <row r="1" spans="1:3" x14ac:dyDescent="0.2">
      <c r="A1" s="42" t="s">
        <v>641</v>
      </c>
      <c r="B1" s="42" t="s">
        <v>642</v>
      </c>
      <c r="C1" s="42" t="s">
        <v>843</v>
      </c>
    </row>
    <row r="2" spans="1:3" x14ac:dyDescent="0.2">
      <c r="A2" s="43" t="s">
        <v>643</v>
      </c>
      <c r="B2" s="43" t="s">
        <v>644</v>
      </c>
      <c r="C2" s="53">
        <f>'Stat TCD'!E4</f>
        <v>8.2830705410557905E-3</v>
      </c>
    </row>
    <row r="3" spans="1:3" x14ac:dyDescent="0.2">
      <c r="A3" s="43" t="s">
        <v>645</v>
      </c>
      <c r="B3" s="43" t="s">
        <v>646</v>
      </c>
      <c r="C3" s="43"/>
    </row>
    <row r="4" spans="1:3" x14ac:dyDescent="0.2">
      <c r="A4" s="43" t="s">
        <v>647</v>
      </c>
      <c r="B4" s="43" t="s">
        <v>648</v>
      </c>
      <c r="C4" s="53">
        <f>'Stat TCD'!E5</f>
        <v>2.152811907336888E-3</v>
      </c>
    </row>
    <row r="5" spans="1:3" x14ac:dyDescent="0.2">
      <c r="A5" s="43" t="s">
        <v>649</v>
      </c>
      <c r="B5" s="43" t="s">
        <v>650</v>
      </c>
      <c r="C5" s="53">
        <f>'Stat TCD'!E6</f>
        <v>1.441151035254737E-4</v>
      </c>
    </row>
    <row r="6" spans="1:3" x14ac:dyDescent="0.2">
      <c r="A6" s="43" t="s">
        <v>651</v>
      </c>
      <c r="B6" s="43" t="s">
        <v>652</v>
      </c>
      <c r="C6" s="43"/>
    </row>
    <row r="7" spans="1:3" x14ac:dyDescent="0.2">
      <c r="A7" s="43" t="s">
        <v>653</v>
      </c>
      <c r="B7" s="43" t="s">
        <v>654</v>
      </c>
      <c r="C7" s="53">
        <f>'Stat TCD'!E7</f>
        <v>2.3873147039212537E-2</v>
      </c>
    </row>
    <row r="8" spans="1:3" x14ac:dyDescent="0.2">
      <c r="A8" s="43" t="s">
        <v>655</v>
      </c>
      <c r="B8" s="43" t="s">
        <v>656</v>
      </c>
      <c r="C8" s="43"/>
    </row>
    <row r="9" spans="1:3" x14ac:dyDescent="0.2">
      <c r="A9" s="43" t="s">
        <v>657</v>
      </c>
      <c r="B9" s="43" t="s">
        <v>658</v>
      </c>
      <c r="C9" s="43"/>
    </row>
    <row r="10" spans="1:3" x14ac:dyDescent="0.2">
      <c r="A10" s="43" t="s">
        <v>659</v>
      </c>
      <c r="B10" s="43" t="s">
        <v>660</v>
      </c>
      <c r="C10" s="43"/>
    </row>
    <row r="11" spans="1:3" x14ac:dyDescent="0.2">
      <c r="A11" s="43" t="s">
        <v>661</v>
      </c>
      <c r="B11" s="43" t="s">
        <v>662</v>
      </c>
      <c r="C11" s="53">
        <f>'Stat TCD'!E8</f>
        <v>1.1539990562343196E-2</v>
      </c>
    </row>
    <row r="12" spans="1:3" x14ac:dyDescent="0.2">
      <c r="A12" s="43" t="s">
        <v>663</v>
      </c>
      <c r="B12" s="43" t="s">
        <v>664</v>
      </c>
      <c r="C12" s="53">
        <f>'Stat TCD'!E9</f>
        <v>1.2607380748196092E-4</v>
      </c>
    </row>
    <row r="13" spans="1:3" x14ac:dyDescent="0.2">
      <c r="A13" s="43" t="s">
        <v>665</v>
      </c>
      <c r="B13" s="43" t="s">
        <v>666</v>
      </c>
      <c r="C13" s="53">
        <f>'Stat TCD'!E10</f>
        <v>3.3277459861755419E-2</v>
      </c>
    </row>
    <row r="14" spans="1:3" x14ac:dyDescent="0.2">
      <c r="A14" s="43" t="s">
        <v>667</v>
      </c>
      <c r="B14" s="43" t="s">
        <v>668</v>
      </c>
      <c r="C14" s="53">
        <f>'Stat TCD'!E11</f>
        <v>9.2688676693829186E-2</v>
      </c>
    </row>
    <row r="15" spans="1:3" x14ac:dyDescent="0.2">
      <c r="A15" s="43" t="s">
        <v>669</v>
      </c>
      <c r="B15" s="43" t="s">
        <v>670</v>
      </c>
      <c r="C15" s="43"/>
    </row>
    <row r="16" spans="1:3" x14ac:dyDescent="0.2">
      <c r="A16" s="43" t="s">
        <v>671</v>
      </c>
      <c r="B16" s="43" t="s">
        <v>672</v>
      </c>
      <c r="C16" s="43"/>
    </row>
    <row r="17" spans="1:3" x14ac:dyDescent="0.2">
      <c r="A17" s="43" t="s">
        <v>673</v>
      </c>
      <c r="B17" s="43" t="s">
        <v>674</v>
      </c>
      <c r="C17" s="53">
        <f>'Stat TCD'!E12</f>
        <v>2.7565680079670835E-2</v>
      </c>
    </row>
    <row r="18" spans="1:3" x14ac:dyDescent="0.2">
      <c r="A18" s="43" t="s">
        <v>675</v>
      </c>
      <c r="B18" s="43" t="s">
        <v>676</v>
      </c>
      <c r="C18" s="53">
        <f>'Stat TCD'!E13</f>
        <v>8.3445200139737247E-2</v>
      </c>
    </row>
    <row r="19" spans="1:3" x14ac:dyDescent="0.2">
      <c r="A19" s="43" t="s">
        <v>677</v>
      </c>
      <c r="B19" s="43" t="s">
        <v>678</v>
      </c>
      <c r="C19" s="53">
        <f>'Stat TCD'!E14</f>
        <v>4.670553833214415E-3</v>
      </c>
    </row>
    <row r="20" spans="1:3" x14ac:dyDescent="0.2">
      <c r="A20" s="43" t="s">
        <v>679</v>
      </c>
      <c r="B20" s="43" t="s">
        <v>680</v>
      </c>
      <c r="C20" s="53">
        <f>'Stat TCD'!E15</f>
        <v>1.6385395480608658E-2</v>
      </c>
    </row>
    <row r="21" spans="1:3" x14ac:dyDescent="0.2">
      <c r="A21" s="43" t="s">
        <v>681</v>
      </c>
      <c r="B21" s="43" t="s">
        <v>682</v>
      </c>
      <c r="C21" s="43"/>
    </row>
    <row r="22" spans="1:3" x14ac:dyDescent="0.2">
      <c r="A22" s="43" t="s">
        <v>683</v>
      </c>
      <c r="B22" s="43" t="s">
        <v>684</v>
      </c>
      <c r="C22" s="53">
        <f>'Stat TCD'!E17</f>
        <v>2.7149994766529194E-2</v>
      </c>
    </row>
    <row r="23" spans="1:3" x14ac:dyDescent="0.2">
      <c r="A23" s="43" t="s">
        <v>685</v>
      </c>
      <c r="B23" s="43" t="s">
        <v>686</v>
      </c>
      <c r="C23" s="43"/>
    </row>
    <row r="24" spans="1:3" x14ac:dyDescent="0.2">
      <c r="A24" s="43" t="s">
        <v>687</v>
      </c>
      <c r="B24" s="43" t="s">
        <v>688</v>
      </c>
      <c r="C24" s="53">
        <f>'Stat TCD'!E18</f>
        <v>3.2867006503123689E-4</v>
      </c>
    </row>
    <row r="25" spans="1:3" x14ac:dyDescent="0.2">
      <c r="A25" s="43" t="s">
        <v>689</v>
      </c>
      <c r="B25" s="43" t="s">
        <v>690</v>
      </c>
      <c r="C25" s="53">
        <f>'Stat TCD'!E19</f>
        <v>1.7887777312264391E-3</v>
      </c>
    </row>
    <row r="26" spans="1:3" x14ac:dyDescent="0.2">
      <c r="A26" s="43" t="s">
        <v>691</v>
      </c>
      <c r="B26" s="43" t="s">
        <v>692</v>
      </c>
      <c r="C26" s="53">
        <f>'Stat TCD'!E20</f>
        <v>6.9957725726211596E-4</v>
      </c>
    </row>
    <row r="27" spans="1:3" x14ac:dyDescent="0.2">
      <c r="A27" s="43" t="s">
        <v>693</v>
      </c>
      <c r="B27" s="43" t="s">
        <v>694</v>
      </c>
      <c r="C27" s="43"/>
    </row>
    <row r="28" spans="1:3" x14ac:dyDescent="0.2">
      <c r="A28" s="43" t="s">
        <v>695</v>
      </c>
      <c r="B28" s="43" t="s">
        <v>696</v>
      </c>
      <c r="C28" s="53">
        <f>'Stat TCD'!E21</f>
        <v>7.2845137384837536E-3</v>
      </c>
    </row>
    <row r="29" spans="1:3" x14ac:dyDescent="0.2">
      <c r="A29" s="43" t="s">
        <v>697</v>
      </c>
      <c r="B29" s="43" t="s">
        <v>698</v>
      </c>
      <c r="C29" s="43"/>
    </row>
    <row r="30" spans="1:3" x14ac:dyDescent="0.2">
      <c r="A30" s="43" t="s">
        <v>699</v>
      </c>
      <c r="B30" s="43" t="s">
        <v>700</v>
      </c>
      <c r="C30" s="43"/>
    </row>
    <row r="31" spans="1:3" x14ac:dyDescent="0.2">
      <c r="A31" s="43" t="s">
        <v>701</v>
      </c>
      <c r="B31" s="43" t="s">
        <v>702</v>
      </c>
      <c r="C31" s="43"/>
    </row>
    <row r="32" spans="1:3" x14ac:dyDescent="0.2">
      <c r="A32" s="43" t="s">
        <v>703</v>
      </c>
      <c r="B32" s="43" t="s">
        <v>704</v>
      </c>
      <c r="C32" s="53">
        <f>'Stat TCD'!E22</f>
        <v>3.1910769813070748E-2</v>
      </c>
    </row>
    <row r="33" spans="1:3" x14ac:dyDescent="0.2">
      <c r="A33" s="43" t="s">
        <v>705</v>
      </c>
      <c r="B33" s="43" t="s">
        <v>706</v>
      </c>
      <c r="C33" s="53">
        <f>'Stat TCD'!E23</f>
        <v>6.6097367832000389E-2</v>
      </c>
    </row>
    <row r="34" spans="1:3" x14ac:dyDescent="0.2">
      <c r="A34" s="43" t="s">
        <v>707</v>
      </c>
      <c r="B34" s="43" t="s">
        <v>708</v>
      </c>
      <c r="C34" s="53">
        <f>'Stat TCD'!E24</f>
        <v>5.0790968677156692E-3</v>
      </c>
    </row>
    <row r="35" spans="1:3" x14ac:dyDescent="0.2">
      <c r="A35" s="43" t="s">
        <v>709</v>
      </c>
      <c r="B35" s="43" t="s">
        <v>710</v>
      </c>
      <c r="C35" s="53">
        <f>'Stat TCD'!E25</f>
        <v>5.833955587899415E-3</v>
      </c>
    </row>
    <row r="36" spans="1:3" x14ac:dyDescent="0.2">
      <c r="A36" s="43" t="s">
        <v>711</v>
      </c>
      <c r="B36" s="43" t="s">
        <v>712</v>
      </c>
      <c r="C36" s="53">
        <f>'Stat TCD'!E26</f>
        <v>4.6765340219785949E-2</v>
      </c>
    </row>
    <row r="37" spans="1:3" x14ac:dyDescent="0.2">
      <c r="A37" s="43" t="s">
        <v>713</v>
      </c>
      <c r="B37" s="43" t="s">
        <v>714</v>
      </c>
      <c r="C37" s="43"/>
    </row>
    <row r="38" spans="1:3" x14ac:dyDescent="0.2">
      <c r="A38" s="43" t="s">
        <v>715</v>
      </c>
      <c r="B38" s="43" t="s">
        <v>716</v>
      </c>
      <c r="C38" s="43"/>
    </row>
    <row r="39" spans="1:3" x14ac:dyDescent="0.2">
      <c r="A39" s="43" t="s">
        <v>717</v>
      </c>
      <c r="B39" s="43" t="s">
        <v>718</v>
      </c>
      <c r="C39" s="53">
        <f>'Stat TCD'!E27</f>
        <v>6.3546237853187148E-4</v>
      </c>
    </row>
    <row r="40" spans="1:3" x14ac:dyDescent="0.2">
      <c r="A40" s="43" t="s">
        <v>719</v>
      </c>
      <c r="B40" s="43" t="s">
        <v>720</v>
      </c>
      <c r="C40" s="53">
        <f>'Stat TCD'!E28</f>
        <v>8.983870028206397E-3</v>
      </c>
    </row>
    <row r="41" spans="1:3" x14ac:dyDescent="0.2">
      <c r="A41" s="43" t="s">
        <v>721</v>
      </c>
      <c r="B41" s="43" t="s">
        <v>722</v>
      </c>
      <c r="C41" s="43"/>
    </row>
    <row r="42" spans="1:3" x14ac:dyDescent="0.2">
      <c r="A42" s="43" t="s">
        <v>723</v>
      </c>
      <c r="B42" s="43" t="s">
        <v>724</v>
      </c>
      <c r="C42" s="53">
        <f>'Stat TCD'!E29</f>
        <v>9.7920122153630721E-3</v>
      </c>
    </row>
    <row r="43" spans="1:3" x14ac:dyDescent="0.2">
      <c r="A43" s="43" t="s">
        <v>725</v>
      </c>
      <c r="B43" s="43" t="s">
        <v>726</v>
      </c>
      <c r="C43" s="43"/>
    </row>
    <row r="44" spans="1:3" x14ac:dyDescent="0.2">
      <c r="A44" s="43" t="s">
        <v>727</v>
      </c>
      <c r="B44" s="43" t="s">
        <v>728</v>
      </c>
      <c r="C44" s="53">
        <f>'Stat TCD'!E30</f>
        <v>1.1751542503495695E-2</v>
      </c>
    </row>
    <row r="45" spans="1:3" x14ac:dyDescent="0.2">
      <c r="A45" s="43" t="s">
        <v>729</v>
      </c>
      <c r="B45" s="43" t="s">
        <v>730</v>
      </c>
      <c r="C45" s="53">
        <f>'Stat TCD'!E31</f>
        <v>1.1669471027741546E-3</v>
      </c>
    </row>
    <row r="46" spans="1:3" x14ac:dyDescent="0.2">
      <c r="A46" s="43" t="s">
        <v>731</v>
      </c>
      <c r="B46" s="43" t="s">
        <v>732</v>
      </c>
      <c r="C46" s="53">
        <f>'Stat TCD'!E32</f>
        <v>3.8248496185423162E-4</v>
      </c>
    </row>
    <row r="47" spans="1:3" x14ac:dyDescent="0.2">
      <c r="A47" s="43" t="s">
        <v>733</v>
      </c>
      <c r="B47" s="43" t="s">
        <v>734</v>
      </c>
      <c r="C47" s="53">
        <f>'Stat TCD'!E33</f>
        <v>5.3599833678617962E-3</v>
      </c>
    </row>
    <row r="48" spans="1:3" x14ac:dyDescent="0.2">
      <c r="A48" s="43" t="s">
        <v>735</v>
      </c>
      <c r="B48" s="43" t="s">
        <v>736</v>
      </c>
      <c r="C48" s="53">
        <f>'Stat TCD'!E34</f>
        <v>5.8882011823347116E-3</v>
      </c>
    </row>
    <row r="49" spans="1:3" x14ac:dyDescent="0.2">
      <c r="A49" s="43" t="s">
        <v>737</v>
      </c>
      <c r="B49" s="43" t="s">
        <v>738</v>
      </c>
      <c r="C49" s="53">
        <f>'Stat TCD'!E35</f>
        <v>1.5599383082372771E-2</v>
      </c>
    </row>
    <row r="50" spans="1:3" x14ac:dyDescent="0.2">
      <c r="A50" s="43" t="s">
        <v>739</v>
      </c>
      <c r="B50" s="43" t="s">
        <v>740</v>
      </c>
      <c r="C50" s="43"/>
    </row>
    <row r="51" spans="1:3" x14ac:dyDescent="0.2">
      <c r="A51" s="43" t="s">
        <v>741</v>
      </c>
      <c r="B51" s="43" t="s">
        <v>742</v>
      </c>
      <c r="C51" s="53">
        <f>'Stat TCD'!E36</f>
        <v>1.4132540681001098E-3</v>
      </c>
    </row>
    <row r="52" spans="1:3" x14ac:dyDescent="0.2">
      <c r="A52" s="43" t="s">
        <v>743</v>
      </c>
      <c r="B52" s="43" t="s">
        <v>744</v>
      </c>
      <c r="C52" s="53">
        <f>'Stat TCD'!E37</f>
        <v>6.6171381746134295E-3</v>
      </c>
    </row>
    <row r="53" spans="1:3" x14ac:dyDescent="0.2">
      <c r="A53" s="43" t="s">
        <v>745</v>
      </c>
      <c r="B53" s="43" t="s">
        <v>746</v>
      </c>
      <c r="C53" s="53">
        <f>'Stat TCD'!E38</f>
        <v>5.9161484261712185E-3</v>
      </c>
    </row>
    <row r="54" spans="1:3" x14ac:dyDescent="0.2">
      <c r="A54" s="43" t="s">
        <v>747</v>
      </c>
      <c r="B54" s="43" t="s">
        <v>748</v>
      </c>
      <c r="C54" s="53">
        <f>'Stat TCD'!E39</f>
        <v>4.6123314893611687E-3</v>
      </c>
    </row>
    <row r="55" spans="1:3" x14ac:dyDescent="0.2">
      <c r="A55" s="43" t="s">
        <v>749</v>
      </c>
      <c r="B55" s="43" t="s">
        <v>750</v>
      </c>
      <c r="C55" s="53">
        <f>'Stat TCD'!E40</f>
        <v>7.9840627306001829E-3</v>
      </c>
    </row>
    <row r="56" spans="1:3" x14ac:dyDescent="0.2">
      <c r="A56" s="43" t="s">
        <v>751</v>
      </c>
      <c r="B56" s="43" t="s">
        <v>752</v>
      </c>
      <c r="C56" s="53">
        <f>'Stat TCD'!E41</f>
        <v>3.0154114687624702E-3</v>
      </c>
    </row>
    <row r="57" spans="1:3" x14ac:dyDescent="0.2">
      <c r="A57" s="43" t="s">
        <v>753</v>
      </c>
      <c r="B57" s="43" t="s">
        <v>754</v>
      </c>
      <c r="C57" s="53">
        <f>'Stat TCD'!E42</f>
        <v>8.8059657982846942E-3</v>
      </c>
    </row>
    <row r="58" spans="1:3" x14ac:dyDescent="0.2">
      <c r="A58" s="43" t="s">
        <v>755</v>
      </c>
      <c r="B58" s="43" t="s">
        <v>756</v>
      </c>
      <c r="C58" s="53">
        <f>'Stat TCD'!E43</f>
        <v>5.1870575241601434E-3</v>
      </c>
    </row>
    <row r="59" spans="1:3" x14ac:dyDescent="0.2">
      <c r="A59" s="43" t="s">
        <v>757</v>
      </c>
      <c r="B59" s="43" t="s">
        <v>758</v>
      </c>
      <c r="C59" s="43"/>
    </row>
    <row r="60" spans="1:3" x14ac:dyDescent="0.2">
      <c r="A60" s="43" t="s">
        <v>759</v>
      </c>
      <c r="B60" s="43" t="s">
        <v>760</v>
      </c>
      <c r="C60" s="43"/>
    </row>
    <row r="61" spans="1:3" x14ac:dyDescent="0.2">
      <c r="A61" s="43" t="s">
        <v>761</v>
      </c>
      <c r="B61" s="43" t="s">
        <v>762</v>
      </c>
      <c r="C61" s="53">
        <f>'Stat TCD'!E44</f>
        <v>1.5163099969355737E-2</v>
      </c>
    </row>
    <row r="62" spans="1:3" x14ac:dyDescent="0.2">
      <c r="A62" s="43" t="s">
        <v>763</v>
      </c>
      <c r="B62" s="43" t="s">
        <v>764</v>
      </c>
      <c r="C62" s="53">
        <f>'Stat TCD'!E45</f>
        <v>1.7818128576362377E-3</v>
      </c>
    </row>
    <row r="63" spans="1:3" x14ac:dyDescent="0.2">
      <c r="A63" s="43" t="s">
        <v>765</v>
      </c>
      <c r="B63" s="43" t="s">
        <v>766</v>
      </c>
      <c r="C63" s="43"/>
    </row>
    <row r="64" spans="1:3" x14ac:dyDescent="0.2">
      <c r="A64" s="43" t="s">
        <v>767</v>
      </c>
      <c r="B64" s="43" t="s">
        <v>768</v>
      </c>
      <c r="C64" s="53">
        <f>'Stat TCD'!E46</f>
        <v>1.554066023292983E-3</v>
      </c>
    </row>
    <row r="65" spans="1:3" x14ac:dyDescent="0.2">
      <c r="A65" s="43" t="s">
        <v>769</v>
      </c>
      <c r="B65" s="43" t="s">
        <v>770</v>
      </c>
      <c r="C65" s="53">
        <f>'Stat TCD'!E47</f>
        <v>1.1170909826769142E-2</v>
      </c>
    </row>
    <row r="66" spans="1:3" x14ac:dyDescent="0.2">
      <c r="A66" s="43" t="s">
        <v>771</v>
      </c>
      <c r="B66" s="43" t="s">
        <v>772</v>
      </c>
      <c r="C66" s="53">
        <f>'Stat TCD'!E48</f>
        <v>8.6306184862227427E-4</v>
      </c>
    </row>
    <row r="67" spans="1:3" x14ac:dyDescent="0.2">
      <c r="A67" s="43" t="s">
        <v>773</v>
      </c>
      <c r="B67" s="43" t="s">
        <v>774</v>
      </c>
      <c r="C67" s="53">
        <f>'Stat TCD'!E49</f>
        <v>3.4909706231387168E-3</v>
      </c>
    </row>
    <row r="68" spans="1:3" x14ac:dyDescent="0.2">
      <c r="A68" s="43" t="s">
        <v>775</v>
      </c>
      <c r="B68" s="43" t="s">
        <v>776</v>
      </c>
      <c r="C68" s="53">
        <f>'Stat TCD'!E50</f>
        <v>3.6376257426762077E-4</v>
      </c>
    </row>
    <row r="69" spans="1:3" x14ac:dyDescent="0.2">
      <c r="A69" s="43" t="s">
        <v>777</v>
      </c>
      <c r="B69" s="43" t="s">
        <v>778</v>
      </c>
      <c r="C69" s="43"/>
    </row>
    <row r="70" spans="1:3" x14ac:dyDescent="0.2">
      <c r="A70" s="43" t="s">
        <v>779</v>
      </c>
      <c r="B70" s="43" t="s">
        <v>780</v>
      </c>
      <c r="C70" s="53">
        <f>'Stat TCD'!E51</f>
        <v>1.0175809710116893E-2</v>
      </c>
    </row>
    <row r="71" spans="1:3" x14ac:dyDescent="0.2">
      <c r="A71" s="43" t="s">
        <v>781</v>
      </c>
      <c r="B71" s="43" t="s">
        <v>782</v>
      </c>
      <c r="C71" s="53">
        <f>'Stat TCD'!E52</f>
        <v>2.9264200150465998E-2</v>
      </c>
    </row>
    <row r="72" spans="1:3" x14ac:dyDescent="0.2">
      <c r="A72" s="43" t="s">
        <v>783</v>
      </c>
      <c r="B72" s="43" t="s">
        <v>784</v>
      </c>
      <c r="C72" s="43"/>
    </row>
    <row r="73" spans="1:3" x14ac:dyDescent="0.2">
      <c r="A73" s="43" t="s">
        <v>785</v>
      </c>
      <c r="B73" s="43" t="s">
        <v>786</v>
      </c>
      <c r="C73" s="53">
        <f>'Stat TCD'!E53</f>
        <v>3.2680031742021143E-3</v>
      </c>
    </row>
    <row r="74" spans="1:3" x14ac:dyDescent="0.2">
      <c r="A74" s="43" t="s">
        <v>787</v>
      </c>
      <c r="B74" s="43" t="s">
        <v>788</v>
      </c>
      <c r="C74" s="43"/>
    </row>
    <row r="75" spans="1:3" x14ac:dyDescent="0.2">
      <c r="A75" s="43" t="s">
        <v>789</v>
      </c>
      <c r="B75" s="43" t="s">
        <v>790</v>
      </c>
      <c r="C75" s="53">
        <f>'Stat TCD'!E54</f>
        <v>8.6788331566401266E-3</v>
      </c>
    </row>
    <row r="76" spans="1:3" x14ac:dyDescent="0.2">
      <c r="A76" s="43" t="s">
        <v>791</v>
      </c>
      <c r="B76" s="43" t="s">
        <v>792</v>
      </c>
      <c r="C76" s="53">
        <f>'Stat TCD'!E55</f>
        <v>1.2132788861510136E-3</v>
      </c>
    </row>
    <row r="77" spans="1:3" x14ac:dyDescent="0.2">
      <c r="A77" s="43" t="s">
        <v>793</v>
      </c>
      <c r="B77" s="43" t="s">
        <v>794</v>
      </c>
      <c r="C77" s="53">
        <f>'Stat TCD'!E56</f>
        <v>4.3571792337416572E-2</v>
      </c>
    </row>
    <row r="78" spans="1:3" x14ac:dyDescent="0.2">
      <c r="A78" s="43" t="s">
        <v>795</v>
      </c>
      <c r="B78" s="43" t="s">
        <v>796</v>
      </c>
      <c r="C78" s="53">
        <f>'Stat TCD'!E57</f>
        <v>2.5337574551296822E-4</v>
      </c>
    </row>
    <row r="79" spans="1:3" x14ac:dyDescent="0.2">
      <c r="A79" s="43" t="s">
        <v>797</v>
      </c>
      <c r="B79" s="43" t="s">
        <v>798</v>
      </c>
      <c r="C79" s="53">
        <f>'Stat TCD'!E58</f>
        <v>4.0500721319762147E-3</v>
      </c>
    </row>
    <row r="80" spans="1:3" x14ac:dyDescent="0.2">
      <c r="A80" s="43" t="s">
        <v>799</v>
      </c>
      <c r="B80" s="43" t="s">
        <v>800</v>
      </c>
      <c r="C80" s="53">
        <f>'Stat TCD'!E59</f>
        <v>1.8187200143117036E-2</v>
      </c>
    </row>
    <row r="81" spans="1:3" x14ac:dyDescent="0.2">
      <c r="A81" s="43" t="s">
        <v>801</v>
      </c>
      <c r="B81" s="43" t="s">
        <v>802</v>
      </c>
      <c r="C81" s="43"/>
    </row>
    <row r="82" spans="1:3" x14ac:dyDescent="0.2">
      <c r="A82" s="43" t="s">
        <v>803</v>
      </c>
      <c r="B82" s="43" t="s">
        <v>804</v>
      </c>
      <c r="C82" s="53">
        <f>'Stat TCD'!E60</f>
        <v>1.341241050553116E-2</v>
      </c>
    </row>
    <row r="83" spans="1:3" x14ac:dyDescent="0.2">
      <c r="A83" s="43" t="s">
        <v>805</v>
      </c>
      <c r="B83" s="43" t="s">
        <v>806</v>
      </c>
      <c r="C83" s="53">
        <f>'Stat TCD'!E61</f>
        <v>1.9956897077798918E-2</v>
      </c>
    </row>
    <row r="84" spans="1:3" x14ac:dyDescent="0.2">
      <c r="A84" s="43" t="s">
        <v>807</v>
      </c>
      <c r="B84" s="43" t="s">
        <v>808</v>
      </c>
      <c r="C84" s="53">
        <f>'Stat TCD'!E62</f>
        <v>1.6146053447334162E-3</v>
      </c>
    </row>
    <row r="85" spans="1:3" x14ac:dyDescent="0.2">
      <c r="A85" s="43" t="s">
        <v>809</v>
      </c>
      <c r="B85" s="43" t="s">
        <v>810</v>
      </c>
      <c r="C85" s="53">
        <f>'Stat TCD'!E63</f>
        <v>4.3902602090598493E-2</v>
      </c>
    </row>
    <row r="86" spans="1:3" x14ac:dyDescent="0.2">
      <c r="A86" s="43" t="s">
        <v>811</v>
      </c>
      <c r="B86" s="43" t="s">
        <v>812</v>
      </c>
      <c r="C86" s="53">
        <f>'Stat TCD'!E64</f>
        <v>2.0792348432082823E-2</v>
      </c>
    </row>
    <row r="87" spans="1:3" x14ac:dyDescent="0.2">
      <c r="A87" s="43" t="s">
        <v>813</v>
      </c>
      <c r="B87" s="43" t="s">
        <v>814</v>
      </c>
      <c r="C87" s="53">
        <f>'Stat TCD'!E65</f>
        <v>7.4751880191746372E-4</v>
      </c>
    </row>
    <row r="88" spans="1:3" x14ac:dyDescent="0.2">
      <c r="A88" s="43" t="s">
        <v>815</v>
      </c>
      <c r="B88" s="43" t="s">
        <v>816</v>
      </c>
      <c r="C88" s="43"/>
    </row>
    <row r="89" spans="1:3" x14ac:dyDescent="0.2">
      <c r="A89" s="43" t="s">
        <v>817</v>
      </c>
      <c r="B89" s="43" t="s">
        <v>818</v>
      </c>
      <c r="C89" s="53">
        <f>'Stat TCD'!E66</f>
        <v>2.0439773810387883E-2</v>
      </c>
    </row>
    <row r="90" spans="1:3" x14ac:dyDescent="0.2">
      <c r="A90" s="43" t="s">
        <v>819</v>
      </c>
      <c r="B90" s="43" t="s">
        <v>820</v>
      </c>
      <c r="C90" s="43"/>
    </row>
    <row r="91" spans="1:3" x14ac:dyDescent="0.2">
      <c r="A91" s="43" t="s">
        <v>821</v>
      </c>
      <c r="B91" s="43" t="s">
        <v>822</v>
      </c>
      <c r="C91" s="53">
        <f>'Stat TCD'!E67</f>
        <v>1.1007130658291762E-3</v>
      </c>
    </row>
    <row r="92" spans="1:3" x14ac:dyDescent="0.2">
      <c r="A92" s="43" t="s">
        <v>823</v>
      </c>
      <c r="B92" s="43" t="s">
        <v>824</v>
      </c>
      <c r="C92" s="43"/>
    </row>
    <row r="93" spans="1:3" x14ac:dyDescent="0.2">
      <c r="A93" s="43" t="s">
        <v>825</v>
      </c>
      <c r="B93" s="43" t="s">
        <v>826</v>
      </c>
      <c r="C93" s="53">
        <f>'Stat TCD'!E68</f>
        <v>2.0323632808411627E-2</v>
      </c>
    </row>
    <row r="94" spans="1:3" x14ac:dyDescent="0.2">
      <c r="A94" s="43" t="s">
        <v>827</v>
      </c>
      <c r="B94" s="43" t="s">
        <v>828</v>
      </c>
      <c r="C94" s="53">
        <f>'Stat TCD'!E69</f>
        <v>9.0267691737455757E-3</v>
      </c>
    </row>
    <row r="95" spans="1:3" x14ac:dyDescent="0.2">
      <c r="A95" s="43" t="s">
        <v>829</v>
      </c>
      <c r="B95" s="43" t="s">
        <v>830</v>
      </c>
      <c r="C95" s="53">
        <f>'Stat TCD'!E70</f>
        <v>2.0090855327846457E-3</v>
      </c>
    </row>
    <row r="96" spans="1:3" x14ac:dyDescent="0.2">
      <c r="A96" s="43" t="s">
        <v>831</v>
      </c>
      <c r="B96" s="43" t="s">
        <v>832</v>
      </c>
      <c r="C96" s="53">
        <f>'Stat TCD'!E71</f>
        <v>6.2214355309434491E-2</v>
      </c>
    </row>
    <row r="97" spans="1:3" x14ac:dyDescent="0.2">
      <c r="A97" s="43" t="s">
        <v>833</v>
      </c>
      <c r="B97" s="43" t="s">
        <v>834</v>
      </c>
      <c r="C97" s="53">
        <f>'Stat TCD'!E72</f>
        <v>7.4172066665877641E-3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Cout de transport</vt:lpstr>
      <vt:lpstr>Feuil1</vt:lpstr>
      <vt:lpstr>Tableau stat</vt:lpstr>
      <vt:lpstr>Stat TCD</vt:lpstr>
      <vt:lpstr>Carte Prix Moyen</vt:lpstr>
      <vt:lpstr>Carte Poids pourcentage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2015-05-27T16:29:57Z</dcterms:created>
  <dcterms:modified xsi:type="dcterms:W3CDTF">2015-06-09T10:02:32Z</dcterms:modified>
</cp:coreProperties>
</file>