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595" yWindow="-75" windowWidth="20730" windowHeight="9855" tabRatio="706" activeTab="2"/>
  </bookViews>
  <sheets>
    <sheet name="Lead time media" sheetId="16" r:id="rId1"/>
    <sheet name="lead timeLNB" sheetId="14" r:id="rId2"/>
    <sheet name="Charges chromato" sheetId="7" r:id="rId3"/>
  </sheets>
  <calcPr calcId="145621"/>
</workbook>
</file>

<file path=xl/calcChain.xml><?xml version="1.0" encoding="utf-8"?>
<calcChain xmlns="http://schemas.openxmlformats.org/spreadsheetml/2006/main">
  <c r="K45" i="7" l="1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F73" i="7"/>
  <c r="F74" i="7"/>
  <c r="F75" i="7"/>
  <c r="F76" i="7"/>
  <c r="F77" i="7"/>
  <c r="F78" i="7"/>
  <c r="F79" i="7"/>
  <c r="F80" i="7"/>
  <c r="F81" i="7"/>
  <c r="F82" i="7"/>
  <c r="F83" i="7"/>
  <c r="F84" i="7"/>
  <c r="F72" i="7"/>
  <c r="E73" i="7"/>
  <c r="E74" i="7"/>
  <c r="E75" i="7"/>
  <c r="E76" i="7"/>
  <c r="E77" i="7"/>
  <c r="E78" i="7"/>
  <c r="E79" i="7"/>
  <c r="E80" i="7"/>
  <c r="E81" i="7"/>
  <c r="E82" i="7"/>
  <c r="E83" i="7"/>
  <c r="E84" i="7"/>
  <c r="W68" i="14" l="1"/>
  <c r="AQ62" i="14" l="1"/>
  <c r="AX70" i="14" l="1"/>
  <c r="AA76" i="14"/>
  <c r="X76" i="14"/>
  <c r="L76" i="14"/>
  <c r="I76" i="14"/>
  <c r="BA73" i="14" l="1"/>
  <c r="E71" i="14" l="1"/>
  <c r="Y56" i="14" l="1"/>
  <c r="AQ46" i="14" l="1"/>
  <c r="AQ42" i="14"/>
  <c r="W45" i="14" l="1"/>
  <c r="H44" i="14" l="1"/>
  <c r="I44" i="14"/>
  <c r="L44" i="14"/>
  <c r="M44" i="14"/>
  <c r="P44" i="14"/>
  <c r="N44" i="14" s="1"/>
  <c r="O44" i="14" s="1"/>
  <c r="T44" i="14"/>
  <c r="W44" i="14" s="1"/>
  <c r="V44" i="14"/>
  <c r="Y44" i="14" s="1"/>
  <c r="X44" i="14"/>
  <c r="AA44" i="14"/>
  <c r="Z44" i="14" l="1"/>
  <c r="AB44" i="14"/>
  <c r="K44" i="14"/>
  <c r="AG44" i="14"/>
  <c r="AQ38" i="14"/>
  <c r="AP34" i="14" l="1"/>
  <c r="AJ34" i="14" l="1"/>
  <c r="AQ30" i="14" l="1"/>
  <c r="Y26" i="14" l="1"/>
  <c r="AM22" i="14" l="1"/>
  <c r="A2" i="7" l="1"/>
  <c r="D7" i="7" l="1"/>
  <c r="D83" i="7"/>
  <c r="D81" i="7"/>
  <c r="D79" i="7"/>
  <c r="D77" i="7"/>
  <c r="D75" i="7"/>
  <c r="D73" i="7"/>
  <c r="D71" i="7"/>
  <c r="D69" i="7"/>
  <c r="D67" i="7"/>
  <c r="D65" i="7"/>
  <c r="D63" i="7"/>
  <c r="D61" i="7"/>
  <c r="D59" i="7"/>
  <c r="D57" i="7"/>
  <c r="D55" i="7"/>
  <c r="D53" i="7"/>
  <c r="D51" i="7"/>
  <c r="D49" i="7"/>
  <c r="D47" i="7"/>
  <c r="D45" i="7"/>
  <c r="D43" i="7"/>
  <c r="D41" i="7"/>
  <c r="D39" i="7"/>
  <c r="D37" i="7"/>
  <c r="D35" i="7"/>
  <c r="D33" i="7"/>
  <c r="D31" i="7"/>
  <c r="D29" i="7"/>
  <c r="D27" i="7"/>
  <c r="D25" i="7"/>
  <c r="D23" i="7"/>
  <c r="D21" i="7"/>
  <c r="D19" i="7"/>
  <c r="D17" i="7"/>
  <c r="D15" i="7"/>
  <c r="D13" i="7"/>
  <c r="D11" i="7"/>
  <c r="D9" i="7"/>
  <c r="G9" i="7"/>
  <c r="K11" i="7"/>
  <c r="K12" i="7"/>
  <c r="K13" i="7"/>
  <c r="K14" i="7"/>
  <c r="K15" i="7"/>
  <c r="K16" i="7"/>
  <c r="K17" i="7"/>
  <c r="K18" i="7"/>
  <c r="K19" i="7"/>
  <c r="K20" i="7"/>
  <c r="K21" i="7"/>
  <c r="K23" i="7"/>
  <c r="K25" i="7"/>
  <c r="K27" i="7"/>
  <c r="K29" i="7"/>
  <c r="K31" i="7"/>
  <c r="K33" i="7"/>
  <c r="K35" i="7"/>
  <c r="K37" i="7"/>
  <c r="K39" i="7"/>
  <c r="K41" i="7"/>
  <c r="K43" i="7"/>
  <c r="K10" i="7"/>
  <c r="I11" i="7"/>
  <c r="I13" i="7"/>
  <c r="I14" i="7"/>
  <c r="I15" i="7"/>
  <c r="I16" i="7"/>
  <c r="I17" i="7"/>
  <c r="I18" i="7"/>
  <c r="I19" i="7"/>
  <c r="I20" i="7"/>
  <c r="I21" i="7"/>
  <c r="I22" i="7"/>
  <c r="I23" i="7"/>
  <c r="I25" i="7"/>
  <c r="I27" i="7"/>
  <c r="I29" i="7"/>
  <c r="I31" i="7"/>
  <c r="I33" i="7"/>
  <c r="I35" i="7"/>
  <c r="I37" i="7"/>
  <c r="I39" i="7"/>
  <c r="I41" i="7"/>
  <c r="I43" i="7"/>
  <c r="I10" i="7"/>
  <c r="G10" i="7"/>
  <c r="G11" i="7"/>
  <c r="G13" i="7"/>
  <c r="G14" i="7"/>
  <c r="G15" i="7"/>
  <c r="G16" i="7"/>
  <c r="G17" i="7"/>
  <c r="G18" i="7"/>
  <c r="G19" i="7"/>
  <c r="G20" i="7"/>
  <c r="G21" i="7"/>
  <c r="G22" i="7"/>
  <c r="G23" i="7"/>
  <c r="G25" i="7"/>
  <c r="G27" i="7"/>
  <c r="G29" i="7"/>
  <c r="G31" i="7"/>
  <c r="G33" i="7"/>
  <c r="G35" i="7"/>
  <c r="G37" i="7"/>
  <c r="G39" i="7"/>
  <c r="G41" i="7"/>
  <c r="G43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7" i="7"/>
  <c r="E8" i="7"/>
  <c r="E9" i="7"/>
  <c r="D10" i="7" s="1"/>
  <c r="E10" i="7"/>
  <c r="E11" i="7"/>
  <c r="D12" i="7" s="1"/>
  <c r="E12" i="7"/>
  <c r="E13" i="7"/>
  <c r="D14" i="7" s="1"/>
  <c r="E14" i="7"/>
  <c r="E15" i="7"/>
  <c r="D16" i="7" s="1"/>
  <c r="E16" i="7"/>
  <c r="E17" i="7"/>
  <c r="D18" i="7" s="1"/>
  <c r="E18" i="7"/>
  <c r="E19" i="7"/>
  <c r="D20" i="7" s="1"/>
  <c r="E20" i="7"/>
  <c r="E21" i="7"/>
  <c r="D22" i="7" s="1"/>
  <c r="E22" i="7"/>
  <c r="E7" i="7"/>
  <c r="D8" i="7" s="1"/>
  <c r="H24" i="14" l="1"/>
  <c r="H25" i="14"/>
  <c r="W16" i="14" l="1"/>
  <c r="AQ12" i="14" l="1"/>
  <c r="V14" i="14" l="1"/>
  <c r="AG14" i="14" s="1"/>
  <c r="G12" i="7" s="1"/>
  <c r="AG8" i="14" l="1"/>
  <c r="AR5" i="14"/>
  <c r="AA75" i="14"/>
  <c r="X75" i="14"/>
  <c r="L75" i="14"/>
  <c r="I75" i="14"/>
  <c r="AA74" i="14"/>
  <c r="X74" i="14"/>
  <c r="L74" i="14"/>
  <c r="I74" i="14"/>
  <c r="AA73" i="14"/>
  <c r="X73" i="14"/>
  <c r="L73" i="14"/>
  <c r="I73" i="14"/>
  <c r="AA72" i="14"/>
  <c r="X72" i="14"/>
  <c r="L72" i="14"/>
  <c r="I72" i="14"/>
  <c r="AA71" i="14"/>
  <c r="X71" i="14"/>
  <c r="I71" i="14"/>
  <c r="AA70" i="14"/>
  <c r="X70" i="14"/>
  <c r="L70" i="14"/>
  <c r="I70" i="14"/>
  <c r="AA69" i="14"/>
  <c r="X69" i="14"/>
  <c r="L69" i="14"/>
  <c r="I69" i="14"/>
  <c r="AA68" i="14"/>
  <c r="X68" i="14"/>
  <c r="L68" i="14"/>
  <c r="I68" i="14"/>
  <c r="AA67" i="14"/>
  <c r="X67" i="14"/>
  <c r="L67" i="14"/>
  <c r="I67" i="14"/>
  <c r="AA66" i="14"/>
  <c r="X66" i="14"/>
  <c r="L66" i="14"/>
  <c r="I66" i="14"/>
  <c r="AA65" i="14"/>
  <c r="X65" i="14"/>
  <c r="I65" i="14"/>
  <c r="AA64" i="14"/>
  <c r="X64" i="14"/>
  <c r="L64" i="14"/>
  <c r="I64" i="14"/>
  <c r="AA63" i="14"/>
  <c r="X63" i="14"/>
  <c r="L63" i="14"/>
  <c r="I63" i="14"/>
  <c r="AA62" i="14"/>
  <c r="X62" i="14"/>
  <c r="L62" i="14"/>
  <c r="I62" i="14"/>
  <c r="AA61" i="14"/>
  <c r="X61" i="14"/>
  <c r="L61" i="14"/>
  <c r="I61" i="14"/>
  <c r="AA60" i="14"/>
  <c r="X60" i="14"/>
  <c r="L60" i="14"/>
  <c r="I60" i="14"/>
  <c r="AA59" i="14"/>
  <c r="X59" i="14"/>
  <c r="L59" i="14"/>
  <c r="I59" i="14"/>
  <c r="AA58" i="14"/>
  <c r="X58" i="14"/>
  <c r="L58" i="14"/>
  <c r="I58" i="14"/>
  <c r="AA57" i="14"/>
  <c r="X57" i="14"/>
  <c r="L57" i="14"/>
  <c r="I57" i="14"/>
  <c r="AA56" i="14"/>
  <c r="X56" i="14"/>
  <c r="L56" i="14"/>
  <c r="I56" i="14"/>
  <c r="AA55" i="14"/>
  <c r="X55" i="14"/>
  <c r="I55" i="14"/>
  <c r="AA54" i="14"/>
  <c r="X54" i="14"/>
  <c r="I54" i="14"/>
  <c r="AA53" i="14"/>
  <c r="X53" i="14"/>
  <c r="L53" i="14"/>
  <c r="I53" i="14"/>
  <c r="AA52" i="14"/>
  <c r="X52" i="14"/>
  <c r="L52" i="14"/>
  <c r="I52" i="14"/>
  <c r="AA51" i="14"/>
  <c r="X51" i="14"/>
  <c r="L51" i="14"/>
  <c r="I51" i="14"/>
  <c r="AA50" i="14"/>
  <c r="X50" i="14"/>
  <c r="L50" i="14"/>
  <c r="I50" i="14"/>
  <c r="AA49" i="14"/>
  <c r="X49" i="14"/>
  <c r="L49" i="14"/>
  <c r="I49" i="14"/>
  <c r="AA48" i="14"/>
  <c r="X48" i="14"/>
  <c r="L48" i="14"/>
  <c r="I48" i="14"/>
  <c r="AA47" i="14"/>
  <c r="X47" i="14"/>
  <c r="I47" i="14"/>
  <c r="AA46" i="14"/>
  <c r="X46" i="14"/>
  <c r="I46" i="14"/>
  <c r="AA45" i="14"/>
  <c r="X45" i="14"/>
  <c r="L45" i="14"/>
  <c r="I45" i="14"/>
  <c r="AA43" i="14"/>
  <c r="X43" i="14"/>
  <c r="L43" i="14"/>
  <c r="I43" i="14"/>
  <c r="AA42" i="14"/>
  <c r="X42" i="14"/>
  <c r="L42" i="14"/>
  <c r="I42" i="14"/>
  <c r="AA41" i="14"/>
  <c r="X41" i="14"/>
  <c r="L41" i="14"/>
  <c r="I41" i="14"/>
  <c r="AA40" i="14"/>
  <c r="X40" i="14"/>
  <c r="L40" i="14"/>
  <c r="I40" i="14"/>
  <c r="AA39" i="14"/>
  <c r="X39" i="14"/>
  <c r="I39" i="14"/>
  <c r="AA38" i="14"/>
  <c r="X38" i="14"/>
  <c r="L38" i="14"/>
  <c r="I38" i="14"/>
  <c r="AA37" i="14"/>
  <c r="X37" i="14"/>
  <c r="L37" i="14"/>
  <c r="I37" i="14"/>
  <c r="AA36" i="14"/>
  <c r="X36" i="14"/>
  <c r="L36" i="14"/>
  <c r="I36" i="14"/>
  <c r="AA35" i="14"/>
  <c r="X35" i="14"/>
  <c r="L35" i="14"/>
  <c r="I35" i="14"/>
  <c r="AA34" i="14"/>
  <c r="X34" i="14"/>
  <c r="L34" i="14"/>
  <c r="I34" i="14"/>
  <c r="AA33" i="14"/>
  <c r="X33" i="14"/>
  <c r="L33" i="14"/>
  <c r="I33" i="14"/>
  <c r="AA32" i="14"/>
  <c r="X32" i="14"/>
  <c r="L32" i="14"/>
  <c r="I32" i="14"/>
  <c r="AA31" i="14"/>
  <c r="X31" i="14"/>
  <c r="L31" i="14"/>
  <c r="I31" i="14"/>
  <c r="AA30" i="14"/>
  <c r="X30" i="14"/>
  <c r="L30" i="14"/>
  <c r="I30" i="14"/>
  <c r="AA29" i="14"/>
  <c r="X29" i="14"/>
  <c r="I29" i="14"/>
  <c r="AA28" i="14"/>
  <c r="X28" i="14"/>
  <c r="L28" i="14"/>
  <c r="I28" i="14"/>
  <c r="AA27" i="14"/>
  <c r="X27" i="14"/>
  <c r="L27" i="14"/>
  <c r="I27" i="14"/>
  <c r="AA26" i="14"/>
  <c r="Z26" i="14" s="1"/>
  <c r="X26" i="14"/>
  <c r="L26" i="14"/>
  <c r="I26" i="14"/>
  <c r="AA25" i="14"/>
  <c r="X25" i="14"/>
  <c r="L25" i="14"/>
  <c r="I25" i="14"/>
  <c r="AA24" i="14"/>
  <c r="X24" i="14"/>
  <c r="L24" i="14"/>
  <c r="I24" i="14"/>
  <c r="AA23" i="14"/>
  <c r="X23" i="14"/>
  <c r="L23" i="14"/>
  <c r="I23" i="14"/>
  <c r="AA22" i="14"/>
  <c r="X22" i="14"/>
  <c r="L22" i="14"/>
  <c r="I22" i="14"/>
  <c r="AA21" i="14"/>
  <c r="X21" i="14"/>
  <c r="L21" i="14"/>
  <c r="I21" i="14"/>
  <c r="AA20" i="14"/>
  <c r="X20" i="14"/>
  <c r="L20" i="14"/>
  <c r="I20" i="14"/>
  <c r="AA19" i="14"/>
  <c r="X19" i="14"/>
  <c r="I19" i="14"/>
  <c r="AA18" i="14"/>
  <c r="X18" i="14"/>
  <c r="I18" i="14"/>
  <c r="AA17" i="14"/>
  <c r="X17" i="14"/>
  <c r="L17" i="14"/>
  <c r="I17" i="14"/>
  <c r="AA16" i="14"/>
  <c r="X16" i="14"/>
  <c r="L16" i="14"/>
  <c r="I16" i="14"/>
  <c r="AA15" i="14"/>
  <c r="X15" i="14"/>
  <c r="L15" i="14"/>
  <c r="I15" i="14"/>
  <c r="AA14" i="14"/>
  <c r="X14" i="14"/>
  <c r="L14" i="14"/>
  <c r="I14" i="14"/>
  <c r="AA13" i="14"/>
  <c r="X13" i="14"/>
  <c r="L13" i="14"/>
  <c r="I13" i="14"/>
  <c r="AA12" i="14"/>
  <c r="X12" i="14"/>
  <c r="L12" i="14"/>
  <c r="I12" i="14"/>
  <c r="AA11" i="14"/>
  <c r="X11" i="14"/>
  <c r="P11" i="14"/>
  <c r="N11" i="14" s="1"/>
  <c r="O11" i="14" s="1"/>
  <c r="L11" i="14"/>
  <c r="I11" i="14"/>
  <c r="AA10" i="14"/>
  <c r="X10" i="14"/>
  <c r="N10" i="14"/>
  <c r="O10" i="14" s="1"/>
  <c r="M10" i="14"/>
  <c r="L10" i="14"/>
  <c r="I10" i="14"/>
  <c r="H10" i="14"/>
  <c r="A8" i="14"/>
  <c r="AA3" i="14"/>
  <c r="Y2" i="14"/>
  <c r="X2" i="14"/>
  <c r="K10" i="14" l="1"/>
  <c r="T1" i="14"/>
  <c r="AX12" i="14"/>
  <c r="BA12" i="14" s="1"/>
  <c r="W10" i="14"/>
  <c r="Y10" i="14"/>
  <c r="Z10" i="14" s="1"/>
  <c r="P12" i="14"/>
  <c r="N12" i="14" l="1"/>
  <c r="O12" i="14" s="1"/>
  <c r="AX13" i="14"/>
  <c r="BA13" i="14" s="1"/>
  <c r="J11" i="14"/>
  <c r="AB10" i="14"/>
  <c r="H11" i="14"/>
  <c r="M11" i="14"/>
  <c r="P13" i="14"/>
  <c r="K11" i="14" l="1"/>
  <c r="N13" i="14"/>
  <c r="O13" i="14" s="1"/>
  <c r="P14" i="14"/>
  <c r="AX14" i="14" s="1"/>
  <c r="BA14" i="14" s="1"/>
  <c r="W11" i="14"/>
  <c r="N14" i="14" l="1"/>
  <c r="O14" i="14" s="1"/>
  <c r="Y11" i="14"/>
  <c r="H12" i="14"/>
  <c r="M12" i="14"/>
  <c r="J12" i="14"/>
  <c r="AB11" i="14"/>
  <c r="K12" i="14" l="1"/>
  <c r="Z11" i="14"/>
  <c r="Y12" i="14" l="1"/>
  <c r="Z12" i="14" s="1"/>
  <c r="W12" i="14"/>
  <c r="J13" i="14" l="1"/>
  <c r="AB12" i="14"/>
  <c r="M13" i="14"/>
  <c r="H13" i="14"/>
  <c r="K13" i="14" l="1"/>
  <c r="AH14" i="14"/>
  <c r="I12" i="7" s="1"/>
  <c r="W13" i="14"/>
  <c r="AQ14" i="14" l="1"/>
  <c r="AP14" i="14"/>
  <c r="Y13" i="14"/>
  <c r="J14" i="14"/>
  <c r="AB13" i="14"/>
  <c r="M14" i="14"/>
  <c r="H14" i="14"/>
  <c r="K14" i="14" l="1"/>
  <c r="Z13" i="14"/>
  <c r="AM14" i="14" l="1"/>
  <c r="AW14" i="14"/>
  <c r="AY14" i="14" s="1"/>
  <c r="Y14" i="14"/>
  <c r="Z14" i="14" s="1"/>
  <c r="W14" i="14"/>
  <c r="J15" i="14" l="1"/>
  <c r="AB14" i="14"/>
  <c r="L11" i="7" l="1"/>
  <c r="L13" i="7"/>
  <c r="L15" i="7"/>
  <c r="L17" i="7"/>
  <c r="L19" i="7"/>
  <c r="L21" i="7"/>
  <c r="L23" i="7"/>
  <c r="L25" i="7"/>
  <c r="L27" i="7"/>
  <c r="L29" i="7"/>
  <c r="L31" i="7"/>
  <c r="L33" i="7"/>
  <c r="L35" i="7"/>
  <c r="L37" i="7"/>
  <c r="L39" i="7"/>
  <c r="L41" i="7"/>
  <c r="L43" i="7"/>
  <c r="L45" i="7"/>
  <c r="L80" i="7"/>
  <c r="L82" i="7"/>
  <c r="J11" i="7"/>
  <c r="J13" i="7"/>
  <c r="J15" i="7"/>
  <c r="J17" i="7"/>
  <c r="J19" i="7"/>
  <c r="J21" i="7"/>
  <c r="J23" i="7"/>
  <c r="J25" i="7"/>
  <c r="J27" i="7"/>
  <c r="J29" i="7"/>
  <c r="J31" i="7"/>
  <c r="J33" i="7"/>
  <c r="J35" i="7"/>
  <c r="J37" i="7"/>
  <c r="J39" i="7"/>
  <c r="J41" i="7"/>
  <c r="J43" i="7"/>
  <c r="J45" i="7"/>
  <c r="J80" i="7"/>
  <c r="J82" i="7"/>
  <c r="H13" i="7"/>
  <c r="H15" i="7"/>
  <c r="H17" i="7"/>
  <c r="H19" i="7"/>
  <c r="H21" i="7"/>
  <c r="H23" i="7"/>
  <c r="H25" i="7"/>
  <c r="H27" i="7"/>
  <c r="H29" i="7"/>
  <c r="H31" i="7"/>
  <c r="H33" i="7"/>
  <c r="H35" i="7"/>
  <c r="H37" i="7"/>
  <c r="H39" i="7"/>
  <c r="H41" i="7"/>
  <c r="H43" i="7"/>
  <c r="H45" i="7"/>
  <c r="H80" i="7"/>
  <c r="H82" i="7"/>
  <c r="H84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H11" i="7" l="1"/>
  <c r="H10" i="7" l="1"/>
  <c r="J10" i="7" l="1"/>
  <c r="L10" i="7" l="1"/>
  <c r="H12" i="7" l="1"/>
  <c r="J12" i="7" l="1"/>
  <c r="L12" i="7" l="1"/>
  <c r="H14" i="7" l="1"/>
  <c r="J14" i="7" l="1"/>
  <c r="L14" i="7" l="1"/>
  <c r="H16" i="7" l="1"/>
  <c r="J16" i="7" l="1"/>
  <c r="L16" i="7" l="1"/>
  <c r="H18" i="7" l="1"/>
  <c r="J18" i="7" l="1"/>
  <c r="L18" i="7" l="1"/>
  <c r="H20" i="7" l="1"/>
  <c r="J20" i="7" l="1"/>
  <c r="L20" i="7" l="1"/>
  <c r="H22" i="7" l="1"/>
  <c r="J22" i="7" l="1"/>
  <c r="H47" i="7" l="1"/>
  <c r="J47" i="7" l="1"/>
  <c r="L47" i="7" l="1"/>
  <c r="H49" i="7" l="1"/>
  <c r="J49" i="7" l="1"/>
  <c r="L49" i="7" l="1"/>
  <c r="H51" i="7" l="1"/>
  <c r="J51" i="7" l="1"/>
  <c r="L51" i="7" l="1"/>
  <c r="H53" i="7" l="1"/>
  <c r="J53" i="7" l="1"/>
  <c r="L53" i="7" l="1"/>
  <c r="H55" i="7" l="1"/>
  <c r="J55" i="7" l="1"/>
  <c r="L55" i="7" l="1"/>
  <c r="H57" i="7" l="1"/>
  <c r="J57" i="7" l="1"/>
  <c r="L57" i="7" l="1"/>
  <c r="H59" i="7" l="1"/>
  <c r="J59" i="7" l="1"/>
  <c r="L59" i="7" l="1"/>
  <c r="H61" i="7" l="1"/>
  <c r="J61" i="7" l="1"/>
  <c r="L61" i="7" l="1"/>
  <c r="H63" i="7" l="1"/>
  <c r="J63" i="7" l="1"/>
  <c r="L63" i="7" l="1"/>
  <c r="H65" i="7" l="1"/>
  <c r="J65" i="7"/>
  <c r="L65" i="7" l="1"/>
  <c r="J67" i="7" l="1"/>
  <c r="H67" i="7"/>
  <c r="L67" i="7" l="1"/>
  <c r="H69" i="7" l="1"/>
  <c r="J69" i="7" l="1"/>
  <c r="L69" i="7" l="1"/>
  <c r="J71" i="7" l="1"/>
  <c r="H71" i="7"/>
  <c r="L71" i="7" l="1"/>
  <c r="H73" i="7" l="1"/>
  <c r="J73" i="7"/>
  <c r="L73" i="7" l="1"/>
  <c r="H75" i="7" l="1"/>
  <c r="J75" i="7"/>
  <c r="L75" i="7" l="1"/>
  <c r="H77" i="7" l="1"/>
  <c r="J77" i="7"/>
  <c r="L77" i="7" l="1"/>
  <c r="H79" i="7" l="1"/>
  <c r="J79" i="7"/>
  <c r="J84" i="7" l="1"/>
  <c r="L79" i="7" l="1"/>
  <c r="H83" i="7" l="1"/>
  <c r="L84" i="7"/>
  <c r="J83" i="7" l="1"/>
  <c r="L83" i="7" l="1"/>
  <c r="M15" i="14"/>
  <c r="P15" i="14"/>
  <c r="Y15" i="14" l="1"/>
  <c r="Z15" i="14" s="1"/>
  <c r="W15" i="14"/>
  <c r="AX15" i="14"/>
  <c r="BA15" i="14" s="1"/>
  <c r="N15" i="14"/>
  <c r="O15" i="14" s="1"/>
  <c r="H15" i="14"/>
  <c r="K15" i="14" l="1"/>
  <c r="P16" i="14"/>
  <c r="AB15" i="14"/>
  <c r="J16" i="14"/>
  <c r="M16" i="14" l="1"/>
  <c r="H16" i="14"/>
  <c r="P17" i="14"/>
  <c r="N16" i="14"/>
  <c r="O16" i="14" s="1"/>
  <c r="AX16" i="14"/>
  <c r="K16" i="14" l="1"/>
  <c r="BA16" i="14"/>
  <c r="N17" i="14"/>
  <c r="O17" i="14" s="1"/>
  <c r="AX17" i="14"/>
  <c r="BA17" i="14" s="1"/>
  <c r="AB16" i="14" l="1"/>
  <c r="J17" i="14"/>
  <c r="M17" i="14"/>
  <c r="H17" i="14"/>
  <c r="P18" i="14"/>
  <c r="Y16" i="14"/>
  <c r="Z16" i="14" s="1"/>
  <c r="K17" i="14" l="1"/>
  <c r="P19" i="14"/>
  <c r="AP16" i="14"/>
  <c r="N18" i="14"/>
  <c r="O18" i="14" s="1"/>
  <c r="AX18" i="14"/>
  <c r="AX19" i="14" l="1"/>
  <c r="BA19" i="14" s="1"/>
  <c r="Y17" i="14"/>
  <c r="Z17" i="14" s="1"/>
  <c r="W17" i="14"/>
  <c r="P20" i="14"/>
  <c r="AX20" i="14" s="1"/>
  <c r="AQ16" i="14"/>
  <c r="AJ16" i="14"/>
  <c r="BA18" i="14"/>
  <c r="N19" i="14"/>
  <c r="O19" i="14" s="1"/>
  <c r="BA20" i="14" l="1"/>
  <c r="AW16" i="14"/>
  <c r="AY16" i="14" s="1"/>
  <c r="N20" i="14"/>
  <c r="O20" i="14" s="1"/>
  <c r="L18" i="14"/>
  <c r="H18" i="14"/>
  <c r="M18" i="14"/>
  <c r="J18" i="14"/>
  <c r="AB17" i="14"/>
  <c r="E21" i="14"/>
  <c r="P21" i="14" l="1"/>
  <c r="W18" i="14"/>
  <c r="K18" i="14"/>
  <c r="L19" i="14" l="1"/>
  <c r="Y18" i="14"/>
  <c r="P22" i="14"/>
  <c r="J19" i="14"/>
  <c r="AB18" i="14"/>
  <c r="N21" i="14"/>
  <c r="O21" i="14" s="1"/>
  <c r="AX21" i="14"/>
  <c r="BA21" i="14" s="1"/>
  <c r="H19" i="14"/>
  <c r="M19" i="14"/>
  <c r="AX22" i="14" l="1"/>
  <c r="BA22" i="14" s="1"/>
  <c r="K19" i="14"/>
  <c r="P23" i="14"/>
  <c r="AP18" i="14"/>
  <c r="N22" i="14"/>
  <c r="O22" i="14" s="1"/>
  <c r="Z18" i="14"/>
  <c r="AX23" i="14" l="1"/>
  <c r="BA23" i="14" s="1"/>
  <c r="P24" i="14"/>
  <c r="AJ18" i="14"/>
  <c r="AQ18" i="14"/>
  <c r="W19" i="14"/>
  <c r="Y19" i="14"/>
  <c r="Z19" i="14" s="1"/>
  <c r="N23" i="14"/>
  <c r="O23" i="14" s="1"/>
  <c r="AX24" i="14" l="1"/>
  <c r="BA24" i="14" s="1"/>
  <c r="P25" i="14"/>
  <c r="T20" i="14"/>
  <c r="M20" i="14"/>
  <c r="H20" i="14"/>
  <c r="AW18" i="14"/>
  <c r="AY18" i="14" s="1"/>
  <c r="J20" i="14"/>
  <c r="AB19" i="14"/>
  <c r="N24" i="14"/>
  <c r="O24" i="14" l="1"/>
  <c r="N25" i="14"/>
  <c r="AX25" i="14"/>
  <c r="BA25" i="14" s="1"/>
  <c r="W20" i="14"/>
  <c r="K20" i="14"/>
  <c r="O25" i="14" l="1"/>
  <c r="M21" i="14"/>
  <c r="H21" i="14"/>
  <c r="P26" i="14"/>
  <c r="J21" i="14"/>
  <c r="AB20" i="14"/>
  <c r="Y20" i="14"/>
  <c r="Z20" i="14" l="1"/>
  <c r="N26" i="14"/>
  <c r="O26" i="14" s="1"/>
  <c r="AX26" i="14"/>
  <c r="K21" i="14"/>
  <c r="AP20" i="14"/>
  <c r="P27" i="14" l="1"/>
  <c r="BA26" i="14"/>
  <c r="AQ20" i="14"/>
  <c r="Y21" i="14"/>
  <c r="Z21" i="14" s="1"/>
  <c r="W21" i="14"/>
  <c r="AB21" i="14" l="1"/>
  <c r="J22" i="14"/>
  <c r="N27" i="14"/>
  <c r="O27" i="14" s="1"/>
  <c r="AX27" i="14"/>
  <c r="BA27" i="14" s="1"/>
  <c r="AW20" i="14"/>
  <c r="AY20" i="14" s="1"/>
  <c r="AM20" i="14"/>
  <c r="T22" i="14"/>
  <c r="M22" i="14"/>
  <c r="H22" i="14"/>
  <c r="K22" i="14" l="1"/>
  <c r="W22" i="14"/>
  <c r="P28" i="14"/>
  <c r="E29" i="14" s="1"/>
  <c r="M23" i="14" l="1"/>
  <c r="T23" i="14"/>
  <c r="W23" i="14" s="1"/>
  <c r="H23" i="14"/>
  <c r="P29" i="14"/>
  <c r="N28" i="14"/>
  <c r="O28" i="14" s="1"/>
  <c r="AX28" i="14"/>
  <c r="AB22" i="14"/>
  <c r="J23" i="14"/>
  <c r="N29" i="14" l="1"/>
  <c r="O29" i="14" s="1"/>
  <c r="BA28" i="14"/>
  <c r="K23" i="14"/>
  <c r="AX29" i="14"/>
  <c r="BA29" i="14" s="1"/>
  <c r="P30" i="14" l="1"/>
  <c r="P31" i="14" l="1"/>
  <c r="AX31" i="14" s="1"/>
  <c r="N30" i="14"/>
  <c r="O30" i="14" s="1"/>
  <c r="AX30" i="14"/>
  <c r="BA31" i="14" l="1"/>
  <c r="N31" i="14"/>
  <c r="O31" i="14" s="1"/>
  <c r="BA30" i="14"/>
  <c r="P32" i="14" l="1"/>
  <c r="P33" i="14" l="1"/>
  <c r="N32" i="14"/>
  <c r="O32" i="14" s="1"/>
  <c r="AX32" i="14"/>
  <c r="P34" i="14" l="1"/>
  <c r="BA32" i="14"/>
  <c r="N33" i="14"/>
  <c r="O33" i="14" s="1"/>
  <c r="AX33" i="14"/>
  <c r="BA33" i="14" l="1"/>
  <c r="N34" i="14"/>
  <c r="O34" i="14" s="1"/>
  <c r="AX34" i="14"/>
  <c r="BA34" i="14" l="1"/>
  <c r="P35" i="14"/>
  <c r="P36" i="14" l="1"/>
  <c r="N35" i="14"/>
  <c r="O35" i="14" s="1"/>
  <c r="AX35" i="14"/>
  <c r="BA35" i="14" l="1"/>
  <c r="P37" i="14"/>
  <c r="N36" i="14"/>
  <c r="O36" i="14" s="1"/>
  <c r="AX36" i="14"/>
  <c r="N37" i="14" l="1"/>
  <c r="O37" i="14" s="1"/>
  <c r="AX37" i="14"/>
  <c r="BA36" i="14"/>
  <c r="BA37" i="14" l="1"/>
  <c r="P38" i="14"/>
  <c r="N38" i="14" l="1"/>
  <c r="O38" i="14" s="1"/>
  <c r="AX38" i="14"/>
  <c r="P39" i="14" l="1"/>
  <c r="BA38" i="14"/>
  <c r="N39" i="14" l="1"/>
  <c r="O39" i="14" s="1"/>
  <c r="AX39" i="14"/>
  <c r="BA39" i="14" l="1"/>
  <c r="P40" i="14"/>
  <c r="N40" i="14" l="1"/>
  <c r="O40" i="14" s="1"/>
  <c r="AX40" i="14"/>
  <c r="P41" i="14" l="1"/>
  <c r="BA40" i="14"/>
  <c r="P42" i="14" l="1"/>
  <c r="N41" i="14"/>
  <c r="O41" i="14" s="1"/>
  <c r="AX41" i="14"/>
  <c r="BA41" i="14" l="1"/>
  <c r="N42" i="14"/>
  <c r="O42" i="14" s="1"/>
  <c r="AX42" i="14"/>
  <c r="BA42" i="14" l="1"/>
  <c r="P43" i="14"/>
  <c r="AX44" i="14" s="1"/>
  <c r="BA44" i="14" l="1"/>
  <c r="N43" i="14"/>
  <c r="O43" i="14" s="1"/>
  <c r="AX43" i="14"/>
  <c r="BA43" i="14" l="1"/>
  <c r="P45" i="14"/>
  <c r="N45" i="14" l="1"/>
  <c r="O45" i="14" s="1"/>
  <c r="AX45" i="14"/>
  <c r="BA45" i="14" l="1"/>
  <c r="P46" i="14"/>
  <c r="N46" i="14" l="1"/>
  <c r="O46" i="14" s="1"/>
  <c r="AX46" i="14"/>
  <c r="P47" i="14"/>
  <c r="P48" i="14" l="1"/>
  <c r="N47" i="14"/>
  <c r="O47" i="14" s="1"/>
  <c r="BA46" i="14"/>
  <c r="P49" i="14" l="1"/>
  <c r="AX48" i="14" s="1"/>
  <c r="N48" i="14"/>
  <c r="O48" i="14" s="1"/>
  <c r="AX49" i="14" l="1"/>
  <c r="P50" i="14"/>
  <c r="AX50" i="14" s="1"/>
  <c r="N49" i="14"/>
  <c r="O49" i="14" s="1"/>
  <c r="BA49" i="14" l="1"/>
  <c r="BA48" i="14"/>
  <c r="N50" i="14"/>
  <c r="O50" i="14" s="1"/>
  <c r="BA50" i="14"/>
  <c r="P51" i="14" l="1"/>
  <c r="N51" i="14" l="1"/>
  <c r="O51" i="14" s="1"/>
  <c r="AX51" i="14"/>
  <c r="BA51" i="14" s="1"/>
  <c r="P52" i="14" l="1"/>
  <c r="P53" i="14" l="1"/>
  <c r="N52" i="14"/>
  <c r="O52" i="14" s="1"/>
  <c r="AX52" i="14"/>
  <c r="N53" i="14" l="1"/>
  <c r="O53" i="14" s="1"/>
  <c r="AX53" i="14"/>
  <c r="BA53" i="14" s="1"/>
  <c r="BA52" i="14"/>
  <c r="P54" i="14" l="1"/>
  <c r="N54" i="14" l="1"/>
  <c r="O54" i="14" s="1"/>
  <c r="AX54" i="14"/>
  <c r="P55" i="14" l="1"/>
  <c r="BA54" i="14"/>
  <c r="P56" i="14" l="1"/>
  <c r="N55" i="14"/>
  <c r="O55" i="14" s="1"/>
  <c r="AX55" i="14"/>
  <c r="BA55" i="14" s="1"/>
  <c r="AX56" i="14" l="1"/>
  <c r="BA56" i="14" s="1"/>
  <c r="P57" i="14"/>
  <c r="N56" i="14"/>
  <c r="O56" i="14" s="1"/>
  <c r="AX57" i="14" l="1"/>
  <c r="BA57" i="14" s="1"/>
  <c r="P58" i="14"/>
  <c r="N57" i="14"/>
  <c r="O57" i="14" s="1"/>
  <c r="N58" i="14" l="1"/>
  <c r="O58" i="14" s="1"/>
  <c r="P59" i="14"/>
  <c r="AX58" i="14"/>
  <c r="P60" i="14" l="1"/>
  <c r="BA58" i="14"/>
  <c r="N59" i="14"/>
  <c r="O59" i="14" s="1"/>
  <c r="AX59" i="14"/>
  <c r="BA59" i="14" s="1"/>
  <c r="AX60" i="14" l="1"/>
  <c r="BA60" i="14" s="1"/>
  <c r="P61" i="14"/>
  <c r="N60" i="14"/>
  <c r="O60" i="14" s="1"/>
  <c r="AX61" i="14" l="1"/>
  <c r="BA61" i="14" s="1"/>
  <c r="P62" i="14"/>
  <c r="AX62" i="14" s="1"/>
  <c r="N61" i="14"/>
  <c r="O61" i="14" s="1"/>
  <c r="BA62" i="14" l="1"/>
  <c r="N62" i="14"/>
  <c r="O62" i="14" s="1"/>
  <c r="P63" i="14" l="1"/>
  <c r="P64" i="14" l="1"/>
  <c r="N63" i="14"/>
  <c r="O63" i="14" s="1"/>
  <c r="AX63" i="14"/>
  <c r="BA63" i="14" s="1"/>
  <c r="AX64" i="14" l="1"/>
  <c r="BA64" i="14" s="1"/>
  <c r="P65" i="14"/>
  <c r="AX65" i="14" s="1"/>
  <c r="BA65" i="14" s="1"/>
  <c r="N64" i="14"/>
  <c r="O64" i="14" s="1"/>
  <c r="P66" i="14" l="1"/>
  <c r="N65" i="14"/>
  <c r="O65" i="14" s="1"/>
  <c r="AX66" i="14" l="1"/>
  <c r="BA66" i="14" s="1"/>
  <c r="N66" i="14"/>
  <c r="O66" i="14" s="1"/>
  <c r="P67" i="14" l="1"/>
  <c r="N67" i="14" s="1"/>
  <c r="O67" i="14" s="1"/>
  <c r="AX67" i="14"/>
  <c r="BA67" i="14" s="1"/>
  <c r="AX68" i="14" l="1"/>
  <c r="BA68" i="14" s="1"/>
  <c r="N68" i="14"/>
  <c r="O68" i="14" s="1"/>
  <c r="AX69" i="14" l="1"/>
  <c r="BA69" i="14" s="1"/>
  <c r="N69" i="14"/>
  <c r="O69" i="14" s="1"/>
  <c r="BA70" i="14" l="1"/>
  <c r="P71" i="14"/>
  <c r="N70" i="14"/>
  <c r="O70" i="14" s="1"/>
  <c r="N71" i="14" l="1"/>
  <c r="O71" i="14" s="1"/>
  <c r="E72" i="14"/>
  <c r="P72" i="14" l="1"/>
  <c r="AX72" i="14" s="1"/>
  <c r="E73" i="14" l="1"/>
  <c r="P73" i="14" s="1"/>
  <c r="N72" i="14"/>
  <c r="O72" i="14" s="1"/>
  <c r="N73" i="14" l="1"/>
  <c r="O73" i="14" s="1"/>
  <c r="BA72" i="14"/>
  <c r="P74" i="14" l="1"/>
  <c r="AX74" i="14" s="1"/>
  <c r="BA74" i="14" l="1"/>
  <c r="N74" i="14"/>
  <c r="O74" i="14" s="1"/>
  <c r="P75" i="14" l="1"/>
  <c r="P76" i="14" l="1"/>
  <c r="N76" i="14" s="1"/>
  <c r="O76" i="14" s="1"/>
  <c r="N75" i="14"/>
  <c r="O75" i="14" s="1"/>
  <c r="Y22" i="14"/>
  <c r="AX76" i="14" l="1"/>
  <c r="BA76" i="14" s="1"/>
  <c r="AP22" i="14"/>
  <c r="AI22" i="14"/>
  <c r="AQ22" i="14" s="1"/>
  <c r="Z22" i="14"/>
  <c r="AW22" i="14" l="1"/>
  <c r="AY22" i="14" s="1"/>
  <c r="Y23" i="14"/>
  <c r="Z23" i="14" s="1"/>
  <c r="AB23" i="14" l="1"/>
  <c r="J24" i="14"/>
  <c r="M24" i="14"/>
  <c r="T24" i="14"/>
  <c r="W24" i="14" l="1"/>
  <c r="K24" i="14"/>
  <c r="Y24" i="14" l="1"/>
  <c r="T25" i="14"/>
  <c r="M25" i="14"/>
  <c r="AB24" i="14"/>
  <c r="J25" i="14"/>
  <c r="K25" i="14" l="1"/>
  <c r="AP24" i="14"/>
  <c r="Z24" i="14"/>
  <c r="W25" i="14" l="1"/>
  <c r="Y25" i="14"/>
  <c r="Z25" i="14" s="1"/>
  <c r="AQ24" i="14"/>
  <c r="K22" i="7"/>
  <c r="L22" i="7" s="1"/>
  <c r="AW24" i="14" l="1"/>
  <c r="AY24" i="14" s="1"/>
  <c r="M26" i="14"/>
  <c r="H26" i="14"/>
  <c r="J26" i="14"/>
  <c r="AB25" i="14"/>
  <c r="F22" i="7" l="1"/>
  <c r="E23" i="7"/>
  <c r="K26" i="14"/>
  <c r="W26" i="14"/>
  <c r="D24" i="7" l="1"/>
  <c r="M27" i="14"/>
  <c r="H27" i="14"/>
  <c r="T27" i="14"/>
  <c r="J27" i="14"/>
  <c r="AB26" i="14"/>
  <c r="I24" i="7" l="1"/>
  <c r="G24" i="7"/>
  <c r="K27" i="14"/>
  <c r="AP26" i="14" l="1"/>
  <c r="E24" i="7"/>
  <c r="F23" i="7"/>
  <c r="H24" i="7"/>
  <c r="J24" i="7"/>
  <c r="AQ26" i="14"/>
  <c r="Y27" i="14"/>
  <c r="Z27" i="14" s="1"/>
  <c r="W27" i="14"/>
  <c r="K24" i="7" l="1"/>
  <c r="L24" i="7" s="1"/>
  <c r="AW26" i="14"/>
  <c r="AY26" i="14" s="1"/>
  <c r="AB27" i="14"/>
  <c r="J28" i="14"/>
  <c r="T28" i="14"/>
  <c r="M28" i="14"/>
  <c r="H28" i="14"/>
  <c r="F24" i="7" l="1"/>
  <c r="E25" i="7"/>
  <c r="K28" i="14"/>
  <c r="W28" i="14"/>
  <c r="D26" i="7" l="1"/>
  <c r="L29" i="14"/>
  <c r="H29" i="14"/>
  <c r="M29" i="14"/>
  <c r="Y28" i="14"/>
  <c r="J29" i="14"/>
  <c r="AB28" i="14"/>
  <c r="I26" i="7" l="1"/>
  <c r="G26" i="7"/>
  <c r="K29" i="14"/>
  <c r="Z28" i="14"/>
  <c r="AP28" i="14" l="1"/>
  <c r="H26" i="7"/>
  <c r="E26" i="7"/>
  <c r="F25" i="7"/>
  <c r="J26" i="7"/>
  <c r="W29" i="14"/>
  <c r="Y29" i="14"/>
  <c r="Z29" i="14" s="1"/>
  <c r="K26" i="7" l="1"/>
  <c r="L26" i="7" s="1"/>
  <c r="AQ28" i="14"/>
  <c r="AB29" i="14"/>
  <c r="J30" i="14"/>
  <c r="M30" i="14"/>
  <c r="H30" i="14"/>
  <c r="AW28" i="14" l="1"/>
  <c r="AY28" i="14" s="1"/>
  <c r="F26" i="7"/>
  <c r="E27" i="7"/>
  <c r="W30" i="14"/>
  <c r="K30" i="14"/>
  <c r="D28" i="7" l="1"/>
  <c r="Y30" i="14"/>
  <c r="AB30" i="14"/>
  <c r="J31" i="14"/>
  <c r="M31" i="14"/>
  <c r="H31" i="14"/>
  <c r="I28" i="7" l="1"/>
  <c r="G28" i="7"/>
  <c r="K31" i="14"/>
  <c r="Z30" i="14"/>
  <c r="AP30" i="14" l="1"/>
  <c r="E28" i="7"/>
  <c r="F27" i="7"/>
  <c r="H28" i="7"/>
  <c r="J28" i="7"/>
  <c r="W31" i="14"/>
  <c r="Y31" i="14"/>
  <c r="Z31" i="14" s="1"/>
  <c r="AJ30" i="14" l="1"/>
  <c r="K28" i="7"/>
  <c r="L28" i="7" s="1"/>
  <c r="H32" i="14"/>
  <c r="M32" i="14"/>
  <c r="J32" i="14"/>
  <c r="AB31" i="14"/>
  <c r="AL30" i="14" l="1"/>
  <c r="AW30" i="14" s="1"/>
  <c r="AY30" i="14" s="1"/>
  <c r="F28" i="7"/>
  <c r="E29" i="7"/>
  <c r="K32" i="14"/>
  <c r="W32" i="14"/>
  <c r="D30" i="7" l="1"/>
  <c r="M33" i="14"/>
  <c r="H33" i="14"/>
  <c r="AB32" i="14"/>
  <c r="J33" i="14"/>
  <c r="Y32" i="14"/>
  <c r="K33" i="14" l="1"/>
  <c r="I30" i="7"/>
  <c r="G30" i="7"/>
  <c r="Z32" i="14"/>
  <c r="AP32" i="14" l="1"/>
  <c r="E30" i="7"/>
  <c r="F29" i="7"/>
  <c r="H30" i="7"/>
  <c r="J30" i="7"/>
  <c r="W33" i="14"/>
  <c r="Y33" i="14" l="1"/>
  <c r="Z33" i="14" s="1"/>
  <c r="K30" i="7"/>
  <c r="L30" i="7" s="1"/>
  <c r="AQ32" i="14"/>
  <c r="J34" i="14"/>
  <c r="AB33" i="14"/>
  <c r="T34" i="14"/>
  <c r="H34" i="14"/>
  <c r="M34" i="14"/>
  <c r="AM32" i="14" l="1"/>
  <c r="K34" i="14"/>
  <c r="W34" i="14" l="1"/>
  <c r="AB34" i="14" s="1"/>
  <c r="E31" i="7"/>
  <c r="F30" i="7"/>
  <c r="AW32" i="14"/>
  <c r="AY32" i="14" s="1"/>
  <c r="D32" i="7"/>
  <c r="Y34" i="14"/>
  <c r="H35" i="14" l="1"/>
  <c r="J35" i="14"/>
  <c r="M35" i="14"/>
  <c r="G32" i="7"/>
  <c r="Z34" i="14"/>
  <c r="K35" i="14" l="1"/>
  <c r="I32" i="7"/>
  <c r="J32" i="7" s="1"/>
  <c r="E32" i="7"/>
  <c r="F31" i="7"/>
  <c r="H32" i="7"/>
  <c r="W35" i="14"/>
  <c r="V35" i="14"/>
  <c r="AQ34" i="14" l="1"/>
  <c r="Y35" i="14"/>
  <c r="Z35" i="14" s="1"/>
  <c r="K32" i="7"/>
  <c r="L32" i="7" s="1"/>
  <c r="H36" i="14"/>
  <c r="M36" i="14"/>
  <c r="J36" i="14"/>
  <c r="AB35" i="14"/>
  <c r="W36" i="14" l="1"/>
  <c r="K36" i="14"/>
  <c r="E33" i="7" l="1"/>
  <c r="D34" i="7" s="1"/>
  <c r="F32" i="7"/>
  <c r="Y36" i="14"/>
  <c r="AW34" i="14"/>
  <c r="AY34" i="14" s="1"/>
  <c r="J37" i="14"/>
  <c r="AB36" i="14"/>
  <c r="H37" i="14" l="1"/>
  <c r="M37" i="14"/>
  <c r="Z36" i="14"/>
  <c r="K37" i="14" l="1"/>
  <c r="G34" i="7"/>
  <c r="H34" i="7" s="1"/>
  <c r="E34" i="7"/>
  <c r="F33" i="7"/>
  <c r="W37" i="14"/>
  <c r="V37" i="14"/>
  <c r="I34" i="7" l="1"/>
  <c r="J34" i="7" s="1"/>
  <c r="AP36" i="14"/>
  <c r="Y37" i="14"/>
  <c r="Z37" i="14" s="1"/>
  <c r="M38" i="14"/>
  <c r="H38" i="14"/>
  <c r="AB37" i="14"/>
  <c r="J38" i="14"/>
  <c r="K34" i="7" l="1"/>
  <c r="L34" i="7" s="1"/>
  <c r="AQ36" i="14"/>
  <c r="W38" i="14"/>
  <c r="K38" i="14"/>
  <c r="AW36" i="14" l="1"/>
  <c r="AY36" i="14" s="1"/>
  <c r="Y38" i="14"/>
  <c r="E35" i="7"/>
  <c r="D36" i="7" s="1"/>
  <c r="F34" i="7"/>
  <c r="AB38" i="14"/>
  <c r="J39" i="14"/>
  <c r="L39" i="14" l="1"/>
  <c r="H39" i="14"/>
  <c r="M39" i="14"/>
  <c r="Z38" i="14"/>
  <c r="I36" i="7" l="1"/>
  <c r="J36" i="7" s="1"/>
  <c r="G36" i="7"/>
  <c r="H36" i="7" s="1"/>
  <c r="K39" i="14"/>
  <c r="E36" i="7"/>
  <c r="F35" i="7"/>
  <c r="W39" i="14"/>
  <c r="AP38" i="14" l="1"/>
  <c r="Y39" i="14"/>
  <c r="Z39" i="14" s="1"/>
  <c r="M40" i="14"/>
  <c r="H40" i="14"/>
  <c r="J40" i="14"/>
  <c r="AB39" i="14"/>
  <c r="E37" i="7" l="1"/>
  <c r="K36" i="7"/>
  <c r="L36" i="7" s="1"/>
  <c r="K40" i="14"/>
  <c r="F36" i="7" l="1"/>
  <c r="W40" i="14"/>
  <c r="J41" i="14" s="1"/>
  <c r="AW38" i="14"/>
  <c r="AY38" i="14" s="1"/>
  <c r="D38" i="7"/>
  <c r="AB40" i="14"/>
  <c r="Y40" i="14" l="1"/>
  <c r="Z40" i="14" s="1"/>
  <c r="H41" i="14"/>
  <c r="M41" i="14"/>
  <c r="I38" i="7"/>
  <c r="G38" i="7"/>
  <c r="F37" i="7" l="1"/>
  <c r="K41" i="14"/>
  <c r="AP40" i="14"/>
  <c r="H38" i="7"/>
  <c r="J38" i="7"/>
  <c r="W41" i="14" l="1"/>
  <c r="J42" i="14" s="1"/>
  <c r="E38" i="7"/>
  <c r="Y41" i="14"/>
  <c r="Z41" i="14" s="1"/>
  <c r="AQ40" i="14"/>
  <c r="K38" i="7"/>
  <c r="L38" i="7" s="1"/>
  <c r="H42" i="14" l="1"/>
  <c r="M42" i="14"/>
  <c r="T42" i="14"/>
  <c r="AB41" i="14"/>
  <c r="K42" i="14" l="1"/>
  <c r="F38" i="7"/>
  <c r="W42" i="14"/>
  <c r="AB42" i="14" s="1"/>
  <c r="E39" i="7"/>
  <c r="D40" i="7" s="1"/>
  <c r="AW40" i="14"/>
  <c r="AY40" i="14" s="1"/>
  <c r="Y42" i="14" l="1"/>
  <c r="H43" i="14"/>
  <c r="M43" i="14"/>
  <c r="J43" i="14"/>
  <c r="I40" i="7"/>
  <c r="G40" i="7"/>
  <c r="Z42" i="14"/>
  <c r="K43" i="14" l="1"/>
  <c r="J40" i="7"/>
  <c r="AP42" i="14"/>
  <c r="E40" i="7"/>
  <c r="F39" i="7"/>
  <c r="H40" i="7"/>
  <c r="W43" i="14"/>
  <c r="J44" i="14" s="1"/>
  <c r="Y43" i="14" l="1"/>
  <c r="Z43" i="14" s="1"/>
  <c r="AH44" i="14"/>
  <c r="K40" i="7"/>
  <c r="L40" i="7" s="1"/>
  <c r="AB43" i="14"/>
  <c r="AI44" i="14" l="1"/>
  <c r="AJ44" i="14" s="1"/>
  <c r="AP44" i="14"/>
  <c r="AQ44" i="14" l="1"/>
  <c r="AK44" i="14"/>
  <c r="E41" i="7"/>
  <c r="D42" i="7" s="1"/>
  <c r="F40" i="7"/>
  <c r="AW42" i="14"/>
  <c r="AY42" i="14" s="1"/>
  <c r="M45" i="14"/>
  <c r="H45" i="14"/>
  <c r="AM44" i="14" l="1"/>
  <c r="AL44" i="14"/>
  <c r="AW44" i="14" s="1"/>
  <c r="AY44" i="14" s="1"/>
  <c r="J45" i="14"/>
  <c r="I42" i="7"/>
  <c r="G42" i="7"/>
  <c r="K45" i="14"/>
  <c r="H42" i="7" l="1"/>
  <c r="J42" i="7"/>
  <c r="F41" i="7" l="1"/>
  <c r="E42" i="7"/>
  <c r="K42" i="7"/>
  <c r="L42" i="7" s="1"/>
  <c r="AB45" i="14"/>
  <c r="J46" i="14"/>
  <c r="L46" i="14" l="1"/>
  <c r="Y45" i="14"/>
  <c r="Z45" i="14" s="1"/>
  <c r="H46" i="14"/>
  <c r="M46" i="14"/>
  <c r="K46" i="14" l="1"/>
  <c r="W46" i="14" l="1"/>
  <c r="AB46" i="14" s="1"/>
  <c r="Y46" i="14"/>
  <c r="Z46" i="14" s="1"/>
  <c r="F42" i="7"/>
  <c r="E43" i="7"/>
  <c r="D44" i="7" s="1"/>
  <c r="L47" i="14"/>
  <c r="I44" i="7"/>
  <c r="G44" i="7"/>
  <c r="M47" i="14" l="1"/>
  <c r="J47" i="14"/>
  <c r="H47" i="14"/>
  <c r="E44" i="7"/>
  <c r="AP46" i="14"/>
  <c r="H44" i="7"/>
  <c r="J44" i="7"/>
  <c r="K47" i="14" l="1"/>
  <c r="F43" i="7"/>
  <c r="H48" i="14"/>
  <c r="W47" i="14"/>
  <c r="AB47" i="14" s="1"/>
  <c r="Y47" i="14"/>
  <c r="Z47" i="14" s="1"/>
  <c r="M48" i="14" l="1"/>
  <c r="K48" i="14" s="1"/>
  <c r="J48" i="14"/>
  <c r="K44" i="7"/>
  <c r="L44" i="7" s="1"/>
  <c r="E45" i="7" l="1"/>
  <c r="D46" i="7" s="1"/>
  <c r="W48" i="14"/>
  <c r="AB48" i="14" s="1"/>
  <c r="H49" i="14"/>
  <c r="F44" i="7"/>
  <c r="AW46" i="14"/>
  <c r="AY46" i="14" s="1"/>
  <c r="Y48" i="14"/>
  <c r="J49" i="14" l="1"/>
  <c r="M49" i="14"/>
  <c r="K49" i="14" s="1"/>
  <c r="Z48" i="14"/>
  <c r="E46" i="7" l="1"/>
  <c r="F45" i="7"/>
  <c r="W49" i="14"/>
  <c r="H46" i="7" l="1"/>
  <c r="Y49" i="14"/>
  <c r="Z49" i="14" s="1"/>
  <c r="M50" i="14"/>
  <c r="H50" i="14"/>
  <c r="AB49" i="14"/>
  <c r="J50" i="14"/>
  <c r="AP48" i="14" l="1"/>
  <c r="AQ48" i="14"/>
  <c r="J46" i="7"/>
  <c r="W50" i="14"/>
  <c r="K50" i="14"/>
  <c r="E47" i="7" l="1"/>
  <c r="D48" i="7" s="1"/>
  <c r="F46" i="7"/>
  <c r="J51" i="14"/>
  <c r="AB50" i="14"/>
  <c r="L46" i="7" l="1"/>
  <c r="M51" i="14"/>
  <c r="H51" i="14"/>
  <c r="Y50" i="14"/>
  <c r="Z50" i="14" s="1"/>
  <c r="AW48" i="14" l="1"/>
  <c r="AY48" i="14" s="1"/>
  <c r="K51" i="14"/>
  <c r="Y51" i="14" l="1"/>
  <c r="Z51" i="14" s="1"/>
  <c r="W51" i="14"/>
  <c r="AB51" i="14" s="1"/>
  <c r="F47" i="7"/>
  <c r="E48" i="7"/>
  <c r="M52" i="14" l="1"/>
  <c r="H48" i="7"/>
  <c r="J52" i="14"/>
  <c r="H52" i="14"/>
  <c r="K52" i="14" l="1"/>
  <c r="J48" i="7"/>
  <c r="AP50" i="14"/>
  <c r="F48" i="7"/>
  <c r="W52" i="14"/>
  <c r="J53" i="14" s="1"/>
  <c r="E49" i="7"/>
  <c r="D50" i="7" s="1"/>
  <c r="Y52" i="14"/>
  <c r="M53" i="14" l="1"/>
  <c r="AQ50" i="14"/>
  <c r="AB52" i="14"/>
  <c r="H53" i="14"/>
  <c r="Z52" i="14"/>
  <c r="K53" i="14" l="1"/>
  <c r="L48" i="7"/>
  <c r="E50" i="7"/>
  <c r="F49" i="7"/>
  <c r="W53" i="14"/>
  <c r="AW50" i="14" l="1"/>
  <c r="AY50" i="14" s="1"/>
  <c r="L54" i="14"/>
  <c r="Y53" i="14"/>
  <c r="Z53" i="14" s="1"/>
  <c r="J54" i="14"/>
  <c r="AB53" i="14"/>
  <c r="H54" i="14"/>
  <c r="M54" i="14"/>
  <c r="F50" i="7" l="1"/>
  <c r="H50" i="7"/>
  <c r="K54" i="14"/>
  <c r="W54" i="14" l="1"/>
  <c r="AB54" i="14" s="1"/>
  <c r="E51" i="7"/>
  <c r="D52" i="7" s="1"/>
  <c r="V54" i="14"/>
  <c r="J50" i="7"/>
  <c r="AP52" i="14"/>
  <c r="Y54" i="14" l="1"/>
  <c r="M55" i="14"/>
  <c r="L55" i="14"/>
  <c r="J55" i="14"/>
  <c r="H55" i="14"/>
  <c r="AJ52" i="14"/>
  <c r="AQ52" i="14"/>
  <c r="W55" i="14" l="1"/>
  <c r="Z54" i="14"/>
  <c r="K55" i="14"/>
  <c r="L50" i="7"/>
  <c r="Y55" i="14" l="1"/>
  <c r="Z55" i="14" s="1"/>
  <c r="F51" i="7"/>
  <c r="E52" i="7"/>
  <c r="AW52" i="14"/>
  <c r="AY52" i="14" s="1"/>
  <c r="J56" i="14"/>
  <c r="AB55" i="14"/>
  <c r="H56" i="14" l="1"/>
  <c r="M56" i="14"/>
  <c r="H52" i="7"/>
  <c r="K56" i="14" l="1"/>
  <c r="W56" i="14"/>
  <c r="J57" i="14" s="1"/>
  <c r="F52" i="7"/>
  <c r="E53" i="7"/>
  <c r="D54" i="7" s="1"/>
  <c r="J52" i="7"/>
  <c r="AP54" i="14"/>
  <c r="M57" i="14"/>
  <c r="H57" i="14"/>
  <c r="AB56" i="14" l="1"/>
  <c r="AQ54" i="14"/>
  <c r="K57" i="14"/>
  <c r="Z56" i="14" l="1"/>
  <c r="L52" i="7"/>
  <c r="AW54" i="14"/>
  <c r="AY54" i="14" s="1"/>
  <c r="E54" i="7"/>
  <c r="F53" i="7"/>
  <c r="W57" i="14"/>
  <c r="Y57" i="14" l="1"/>
  <c r="Z57" i="14" s="1"/>
  <c r="AB57" i="14"/>
  <c r="J58" i="14"/>
  <c r="M58" i="14"/>
  <c r="H58" i="14"/>
  <c r="W58" i="14" l="1"/>
  <c r="H54" i="7"/>
  <c r="K58" i="14"/>
  <c r="E55" i="7" l="1"/>
  <c r="D56" i="7" s="1"/>
  <c r="J59" i="14"/>
  <c r="F54" i="7"/>
  <c r="J54" i="7"/>
  <c r="AP56" i="14"/>
  <c r="H59" i="14"/>
  <c r="M59" i="14"/>
  <c r="Y58" i="14" l="1"/>
  <c r="Z58" i="14" s="1"/>
  <c r="AB58" i="14"/>
  <c r="AJ56" i="14"/>
  <c r="AQ56" i="14"/>
  <c r="K59" i="14"/>
  <c r="F55" i="7" l="1"/>
  <c r="L54" i="7"/>
  <c r="AM56" i="14"/>
  <c r="AW56" i="14"/>
  <c r="AY56" i="14" s="1"/>
  <c r="W59" i="14" l="1"/>
  <c r="J60" i="14" s="1"/>
  <c r="E56" i="7"/>
  <c r="Y59" i="14"/>
  <c r="Z59" i="14" s="1"/>
  <c r="AB59" i="14" l="1"/>
  <c r="T60" i="14"/>
  <c r="H60" i="14"/>
  <c r="M60" i="14"/>
  <c r="H56" i="7"/>
  <c r="K60" i="14" l="1"/>
  <c r="W60" i="14"/>
  <c r="AB60" i="14" s="1"/>
  <c r="E57" i="7"/>
  <c r="D58" i="7" s="1"/>
  <c r="F56" i="7"/>
  <c r="J56" i="7"/>
  <c r="AP58" i="14"/>
  <c r="Y60" i="14"/>
  <c r="M61" i="14" l="1"/>
  <c r="J61" i="14"/>
  <c r="H61" i="14"/>
  <c r="AQ58" i="14"/>
  <c r="Z60" i="14"/>
  <c r="K61" i="14" l="1"/>
  <c r="L56" i="7"/>
  <c r="AW58" i="14"/>
  <c r="AY58" i="14" s="1"/>
  <c r="E58" i="7"/>
  <c r="F57" i="7"/>
  <c r="W61" i="14"/>
  <c r="Y61" i="14" l="1"/>
  <c r="Z61" i="14" s="1"/>
  <c r="M62" i="14"/>
  <c r="H62" i="14"/>
  <c r="J62" i="14"/>
  <c r="AB61" i="14"/>
  <c r="F58" i="7" l="1"/>
  <c r="H58" i="7"/>
  <c r="K62" i="14"/>
  <c r="W62" i="14" l="1"/>
  <c r="J63" i="14" s="1"/>
  <c r="E59" i="7"/>
  <c r="D60" i="7" s="1"/>
  <c r="J58" i="7"/>
  <c r="AP60" i="14"/>
  <c r="Y62" i="14" l="1"/>
  <c r="Z62" i="14" s="1"/>
  <c r="H63" i="14"/>
  <c r="T63" i="14"/>
  <c r="AB62" i="14"/>
  <c r="M63" i="14"/>
  <c r="AQ60" i="14"/>
  <c r="E60" i="7" l="1"/>
  <c r="K63" i="14"/>
  <c r="L58" i="7"/>
  <c r="AW60" i="14"/>
  <c r="AY60" i="14" s="1"/>
  <c r="W63" i="14" l="1"/>
  <c r="AB63" i="14" s="1"/>
  <c r="F59" i="7"/>
  <c r="Y63" i="14"/>
  <c r="Z63" i="14" s="1"/>
  <c r="T64" i="14" l="1"/>
  <c r="M64" i="14"/>
  <c r="H64" i="14"/>
  <c r="J64" i="14"/>
  <c r="H60" i="7"/>
  <c r="K64" i="14" l="1"/>
  <c r="J60" i="7"/>
  <c r="AP62" i="14"/>
  <c r="L60" i="7" l="1"/>
  <c r="AM62" i="14"/>
  <c r="AW62" i="14"/>
  <c r="AY62" i="14" s="1"/>
  <c r="D74" i="7" l="1"/>
  <c r="H74" i="7" l="1"/>
  <c r="D76" i="7" l="1"/>
  <c r="J74" i="7"/>
  <c r="L74" i="7" l="1"/>
  <c r="D78" i="7" l="1"/>
  <c r="N13" i="7" a="1"/>
  <c r="N13" i="7" s="1"/>
  <c r="G4" i="7" a="1"/>
  <c r="G4" i="7" s="1"/>
  <c r="H76" i="7"/>
  <c r="H78" i="7" l="1"/>
  <c r="J76" i="7"/>
  <c r="I4" i="7" a="1"/>
  <c r="I4" i="7" s="1"/>
  <c r="J78" i="7" l="1"/>
  <c r="K4" i="7" a="1"/>
  <c r="K4" i="7" s="1"/>
  <c r="L76" i="7"/>
  <c r="D80" i="7" l="1"/>
  <c r="L78" i="7" l="1"/>
  <c r="H81" i="7" l="1"/>
  <c r="D82" i="7" l="1"/>
  <c r="J81" i="7"/>
  <c r="L81" i="7" l="1"/>
  <c r="D84" i="7" l="1"/>
  <c r="E61" i="7" l="1"/>
  <c r="D62" i="7" s="1"/>
  <c r="F60" i="7"/>
  <c r="W64" i="14"/>
  <c r="J65" i="14" s="1"/>
  <c r="L65" i="14"/>
  <c r="Y64" i="14"/>
  <c r="Z64" i="14" l="1"/>
  <c r="H65" i="14"/>
  <c r="M65" i="14"/>
  <c r="AB64" i="14"/>
  <c r="T65" i="14"/>
  <c r="K65" i="14" l="1"/>
  <c r="H62" i="7"/>
  <c r="F61" i="7"/>
  <c r="W65" i="14"/>
  <c r="E62" i="7"/>
  <c r="Y65" i="14"/>
  <c r="Z65" i="14" s="1"/>
  <c r="J62" i="7" l="1"/>
  <c r="M66" i="14"/>
  <c r="H66" i="14"/>
  <c r="T66" i="14"/>
  <c r="AB65" i="14"/>
  <c r="J66" i="14"/>
  <c r="AQ64" i="14" l="1"/>
  <c r="W66" i="14"/>
  <c r="E63" i="7"/>
  <c r="F62" i="7"/>
  <c r="K66" i="14"/>
  <c r="AM64" i="14" l="1"/>
  <c r="AL64" i="14"/>
  <c r="AW64" i="14" s="1"/>
  <c r="AY64" i="14" s="1"/>
  <c r="L62" i="7"/>
  <c r="Y66" i="14"/>
  <c r="J67" i="14"/>
  <c r="AB66" i="14"/>
  <c r="T67" i="14"/>
  <c r="H67" i="14"/>
  <c r="M67" i="14"/>
  <c r="D64" i="7"/>
  <c r="K67" i="14" l="1"/>
  <c r="H64" i="7"/>
  <c r="Z66" i="14"/>
  <c r="F63" i="7" l="1"/>
  <c r="W67" i="14"/>
  <c r="E64" i="7"/>
  <c r="Y67" i="14"/>
  <c r="Z67" i="14" s="1"/>
  <c r="J64" i="7"/>
  <c r="AP66" i="14"/>
  <c r="AI66" i="14"/>
  <c r="AJ66" i="14" l="1"/>
  <c r="AQ66" i="14"/>
  <c r="AK66" i="14"/>
  <c r="M68" i="14"/>
  <c r="V68" i="14"/>
  <c r="H68" i="14"/>
  <c r="AB67" i="14"/>
  <c r="J68" i="14"/>
  <c r="K68" i="14" l="1"/>
  <c r="AL66" i="14"/>
  <c r="AW66" i="14" s="1"/>
  <c r="AY66" i="14" s="1"/>
  <c r="L64" i="7"/>
  <c r="AM66" i="14"/>
  <c r="E65" i="7"/>
  <c r="F64" i="7"/>
  <c r="AB68" i="14" l="1"/>
  <c r="J69" i="14"/>
  <c r="T69" i="14"/>
  <c r="M69" i="14"/>
  <c r="H69" i="14"/>
  <c r="D66" i="7"/>
  <c r="Y68" i="14"/>
  <c r="AG68" i="14"/>
  <c r="Z68" i="14" l="1"/>
  <c r="U69" i="14"/>
  <c r="H66" i="7"/>
  <c r="AH68" i="14"/>
  <c r="K69" i="14"/>
  <c r="J66" i="7" l="1"/>
  <c r="AP68" i="14"/>
  <c r="AI68" i="14"/>
  <c r="F65" i="7"/>
  <c r="E66" i="7"/>
  <c r="F70" i="14"/>
  <c r="W69" i="14"/>
  <c r="V69" i="14"/>
  <c r="Y69" i="14" s="1"/>
  <c r="Z69" i="14" s="1"/>
  <c r="AB69" i="14" l="1"/>
  <c r="J70" i="14"/>
  <c r="AJ68" i="14"/>
  <c r="AK68" i="14"/>
  <c r="AQ68" i="14"/>
  <c r="M70" i="14"/>
  <c r="T70" i="14"/>
  <c r="U70" i="14" s="1"/>
  <c r="H70" i="14"/>
  <c r="K70" i="14" l="1"/>
  <c r="L66" i="7"/>
  <c r="AM68" i="14"/>
  <c r="AL68" i="14"/>
  <c r="AW68" i="14" s="1"/>
  <c r="AY68" i="14" s="1"/>
  <c r="F66" i="7"/>
  <c r="F71" i="14"/>
  <c r="W70" i="14"/>
  <c r="E67" i="7"/>
  <c r="V70" i="14"/>
  <c r="AG70" i="14" s="1"/>
  <c r="L71" i="14" l="1"/>
  <c r="Y70" i="14"/>
  <c r="M71" i="14"/>
  <c r="T71" i="14"/>
  <c r="H71" i="14"/>
  <c r="D68" i="7"/>
  <c r="J71" i="14"/>
  <c r="AB70" i="14"/>
  <c r="K71" i="14" l="1"/>
  <c r="H68" i="7"/>
  <c r="AH70" i="14"/>
  <c r="AP70" i="14" s="1"/>
  <c r="Z70" i="14"/>
  <c r="U71" i="14"/>
  <c r="E68" i="7" l="1"/>
  <c r="F72" i="14"/>
  <c r="F67" i="7"/>
  <c r="W71" i="14"/>
  <c r="V71" i="14"/>
  <c r="Y71" i="14" s="1"/>
  <c r="Z71" i="14" s="1"/>
  <c r="J68" i="7"/>
  <c r="AI70" i="14"/>
  <c r="AK70" i="14" s="1"/>
  <c r="AJ70" i="14" l="1"/>
  <c r="AQ70" i="14"/>
  <c r="AB71" i="14"/>
  <c r="J72" i="14"/>
  <c r="T72" i="14"/>
  <c r="U72" i="14" s="1"/>
  <c r="H72" i="14"/>
  <c r="M72" i="14"/>
  <c r="W72" i="14" l="1"/>
  <c r="F73" i="14"/>
  <c r="F68" i="7"/>
  <c r="E69" i="7"/>
  <c r="V72" i="14"/>
  <c r="AG72" i="14" s="1"/>
  <c r="K72" i="14"/>
  <c r="AL70" i="14"/>
  <c r="AW70" i="14" s="1"/>
  <c r="AY70" i="14" s="1"/>
  <c r="AM70" i="14"/>
  <c r="L68" i="7"/>
  <c r="J73" i="14" l="1"/>
  <c r="AB72" i="14"/>
  <c r="D70" i="7"/>
  <c r="Y72" i="14"/>
  <c r="M73" i="14"/>
  <c r="T73" i="14"/>
  <c r="H73" i="14"/>
  <c r="K73" i="14" l="1"/>
  <c r="Z72" i="14"/>
  <c r="U73" i="14"/>
  <c r="F69" i="7" l="1"/>
  <c r="F74" i="14"/>
  <c r="V73" i="14"/>
  <c r="E70" i="7"/>
  <c r="W73" i="14"/>
  <c r="Y73" i="14" l="1"/>
  <c r="Z73" i="14" s="1"/>
  <c r="AB73" i="14"/>
  <c r="J74" i="14"/>
  <c r="M74" i="14"/>
  <c r="T74" i="14"/>
  <c r="U74" i="14" s="1"/>
  <c r="V74" i="14" s="1"/>
  <c r="H74" i="14"/>
  <c r="AH72" i="14" l="1"/>
  <c r="H70" i="7"/>
  <c r="K74" i="14"/>
  <c r="AG74" i="14"/>
  <c r="W74" i="14"/>
  <c r="E71" i="7"/>
  <c r="F70" i="7"/>
  <c r="F75" i="14"/>
  <c r="AI72" i="14" l="1"/>
  <c r="AP72" i="14"/>
  <c r="J70" i="7"/>
  <c r="D72" i="7"/>
  <c r="D4" i="7" s="1" a="1"/>
  <c r="D4" i="7" s="1"/>
  <c r="AB74" i="14"/>
  <c r="J75" i="14"/>
  <c r="M75" i="14"/>
  <c r="H75" i="14"/>
  <c r="K75" i="14" s="1"/>
  <c r="T75" i="14"/>
  <c r="Y74" i="14"/>
  <c r="AK72" i="14" l="1"/>
  <c r="AM72" i="14" s="1"/>
  <c r="AQ72" i="14"/>
  <c r="AJ72" i="14"/>
  <c r="Z74" i="14"/>
  <c r="U75" i="14"/>
  <c r="V75" i="14" s="1"/>
  <c r="F76" i="14" l="1"/>
  <c r="AL72" i="14"/>
  <c r="AW72" i="14" s="1"/>
  <c r="AY72" i="14" s="1"/>
  <c r="L70" i="7"/>
  <c r="W75" i="14"/>
  <c r="E72" i="7"/>
  <c r="E4" i="7" s="1" a="1"/>
  <c r="E4" i="7" s="1"/>
  <c r="F71" i="7"/>
  <c r="F4" i="7" s="1" a="1"/>
  <c r="F4" i="7" s="1"/>
  <c r="H76" i="14" l="1"/>
  <c r="M76" i="14"/>
  <c r="AB75" i="14"/>
  <c r="J76" i="14"/>
  <c r="Y75" i="14"/>
  <c r="K76" i="14" l="1"/>
  <c r="Z75" i="14"/>
  <c r="U76" i="14"/>
  <c r="V76" i="14" s="1"/>
  <c r="H72" i="7"/>
  <c r="H4" i="7" s="1" a="1"/>
  <c r="H4" i="7" s="1"/>
  <c r="AH74" i="14"/>
  <c r="AP74" i="14" s="1"/>
  <c r="W76" i="14" l="1"/>
  <c r="AB76" i="14" s="1"/>
  <c r="AI74" i="14"/>
  <c r="J72" i="7"/>
  <c r="J4" i="7" s="1" a="1"/>
  <c r="J4" i="7" s="1"/>
  <c r="Y76" i="14" l="1"/>
  <c r="Z76" i="14" s="1"/>
  <c r="AG76" i="14"/>
  <c r="AK74" i="14"/>
  <c r="AM74" i="14" s="1"/>
  <c r="AQ74" i="14"/>
  <c r="AJ74" i="14"/>
  <c r="AH76" i="14" l="1"/>
  <c r="AP76" i="14" s="1"/>
  <c r="L72" i="7"/>
  <c r="L4" i="7" s="1" a="1"/>
  <c r="L4" i="7" s="1"/>
  <c r="AL74" i="14"/>
  <c r="AW74" i="14" s="1"/>
  <c r="AY74" i="14" s="1"/>
  <c r="AI76" i="14" l="1"/>
  <c r="AJ76" i="14" l="1"/>
  <c r="AQ76" i="14"/>
  <c r="AK76" i="14"/>
  <c r="AM76" i="14" l="1"/>
  <c r="AL76" i="14"/>
  <c r="AW76" i="14" s="1"/>
  <c r="AY76" i="14" s="1"/>
</calcChain>
</file>

<file path=xl/comments1.xml><?xml version="1.0" encoding="utf-8"?>
<comments xmlns="http://schemas.openxmlformats.org/spreadsheetml/2006/main">
  <authors>
    <author>Auteur</author>
  </authors>
  <commentList>
    <comment ref="T45" authorId="0">
      <text>
        <r>
          <rPr>
            <b/>
            <sz val="14"/>
            <color indexed="81"/>
            <rFont val="Tahoma"/>
            <family val="2"/>
          </rPr>
          <t>Auteur:</t>
        </r>
        <r>
          <rPr>
            <sz val="14"/>
            <color indexed="81"/>
            <rFont val="Tahoma"/>
            <family val="2"/>
          </rPr>
          <t xml:space="preserve">
Heure à avancer manuellement pour tenir compte du fait que l'on filtre 2 poches</t>
        </r>
      </text>
    </comment>
    <comment ref="V45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projection du au fait que le chargement n'est que de 2133L </t>
        </r>
      </text>
    </comment>
    <comment ref="V68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volume cc plus petit selon planning détaillé</t>
        </r>
      </text>
    </comment>
    <comment ref="E74" authorId="0">
      <text>
        <r>
          <rPr>
            <b/>
            <sz val="12"/>
            <color indexed="81"/>
            <rFont val="Tahoma"/>
            <family val="2"/>
          </rPr>
          <t>Auteur:</t>
        </r>
        <r>
          <rPr>
            <sz val="12"/>
            <color indexed="81"/>
            <rFont val="Tahoma"/>
            <family val="2"/>
          </rPr>
          <t xml:space="preserve">
récolte final B13 selon planning détaillé</t>
        </r>
      </text>
    </comment>
    <comment ref="V7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volume cc plus petit selon planning détaillé</t>
        </r>
      </text>
    </comment>
    <comment ref="V75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1/2 chargement</t>
        </r>
      </text>
    </comment>
    <comment ref="E76" authorId="0">
      <text>
        <r>
          <rPr>
            <b/>
            <sz val="12"/>
            <color indexed="81"/>
            <rFont val="Tahoma"/>
            <family val="2"/>
          </rPr>
          <t>Auteur:</t>
        </r>
        <r>
          <rPr>
            <sz val="12"/>
            <color indexed="81"/>
            <rFont val="Tahoma"/>
            <family val="2"/>
          </rPr>
          <t xml:space="preserve">
récolte final B92 selon planning détaillé</t>
        </r>
      </text>
    </comment>
    <comment ref="T76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selom planning détaillé</t>
        </r>
      </text>
    </comment>
    <comment ref="V76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volume cc plus petit cf. planning détaillé</t>
        </r>
      </text>
    </comment>
  </commentList>
</comments>
</file>

<file path=xl/sharedStrings.xml><?xml version="1.0" encoding="utf-8"?>
<sst xmlns="http://schemas.openxmlformats.org/spreadsheetml/2006/main" count="466" uniqueCount="295">
  <si>
    <t>début de filtration</t>
  </si>
  <si>
    <t>retard</t>
  </si>
  <si>
    <t>Lead time CC</t>
  </si>
  <si>
    <t>heure de fin de dilution CC</t>
  </si>
  <si>
    <t>lead time</t>
  </si>
  <si>
    <t>Filtration dilution</t>
  </si>
  <si>
    <t>warning</t>
  </si>
  <si>
    <t>Chargement + SIP poche 3500</t>
  </si>
  <si>
    <t>retard total</t>
  </si>
  <si>
    <t>impact repreparation A14/15</t>
  </si>
  <si>
    <t>repréparation A14/A15</t>
  </si>
  <si>
    <t>TC</t>
  </si>
  <si>
    <t>cellule automatique, ne pas compléter</t>
  </si>
  <si>
    <t>"x" si A14/15 à repréparer après filtration</t>
  </si>
  <si>
    <t>Cellule semi automatique, à mettre à jour si nécessaire</t>
  </si>
  <si>
    <t>dépassement du lead time</t>
  </si>
  <si>
    <t>ajuster manuellement les heures prévues, si requis</t>
  </si>
  <si>
    <t>commentaire(explication retard ou dépassement lead time)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</si>
  <si>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</si>
  <si>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</si>
  <si>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</si>
  <si>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</si>
  <si>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</si>
  <si>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</si>
  <si>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</si>
  <si>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</si>
  <si>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</si>
  <si>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</si>
  <si>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</si>
  <si>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</si>
  <si>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</si>
  <si>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</si>
  <si>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</si>
  <si>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</si>
  <si>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</si>
  <si>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</si>
  <si>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</si>
  <si>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</si>
  <si>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</si>
  <si>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</si>
  <si>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</si>
  <si>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</si>
  <si>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</si>
  <si>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</si>
  <si>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</si>
  <si>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</si>
  <si>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</si>
  <si>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</si>
  <si>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</si>
  <si>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</si>
  <si>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</si>
  <si>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</si>
  <si>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</si>
  <si>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</si>
  <si>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</si>
  <si>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</si>
  <si>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</si>
  <si>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</si>
  <si>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</si>
  <si>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</si>
  <si>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</si>
  <si>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</si>
  <si>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</si>
  <si>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</si>
  <si>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</si>
  <si>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</si>
  <si>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</si>
  <si>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</si>
  <si>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</si>
  <si>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</si>
  <si>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impact 1 colonne Mab en utilisation</t>
  </si>
  <si>
    <t>LVG/ELU/REG/EQ init MAB</t>
  </si>
  <si>
    <t>Set up SIP poche 3500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</si>
  <si>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</si>
  <si>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</si>
  <si>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</si>
  <si>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</si>
  <si>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</si>
  <si>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</si>
  <si>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</si>
  <si>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</si>
  <si>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</si>
  <si>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</si>
  <si>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</si>
  <si>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</si>
  <si>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</si>
  <si>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</si>
  <si>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</si>
  <si>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</si>
  <si>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</si>
  <si>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</si>
  <si>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</si>
  <si>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</si>
  <si>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</si>
  <si>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</si>
  <si>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</si>
  <si>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</si>
  <si>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</si>
  <si>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</si>
  <si>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</si>
  <si>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</si>
  <si>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</si>
  <si>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</si>
  <si>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</si>
  <si>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</si>
  <si>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</si>
  <si>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</si>
  <si>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</si>
  <si>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</si>
  <si>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</si>
  <si>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</si>
  <si>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</si>
  <si>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</si>
  <si>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</si>
  <si>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</si>
  <si>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</si>
  <si>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</si>
  <si>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</si>
  <si>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</si>
  <si>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</si>
  <si>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</si>
  <si>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</si>
  <si>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</si>
  <si>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</si>
  <si>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</si>
  <si>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</si>
  <si>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</si>
  <si>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</si>
  <si>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</si>
  <si>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</si>
  <si>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</si>
  <si>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</si>
  <si>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</si>
  <si>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</si>
  <si>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</si>
  <si>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</si>
  <si>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</si>
  <si>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</si>
  <si>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</si>
  <si>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</si>
  <si>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</si>
  <si>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</si>
  <si>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</si>
  <si>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</si>
  <si>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</si>
  <si>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</si>
  <si>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</si>
  <si>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</si>
  <si>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</si>
  <si>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</si>
  <si>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</si>
  <si>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</si>
  <si>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</si>
  <si>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temps entre fin de chargement MAB et fin d'élution</t>
  </si>
  <si>
    <t>Chgr/LVG/Elution SOS</t>
  </si>
  <si>
    <t>fin elution SOS et fin equilibrage SOS lot N+1</t>
  </si>
  <si>
    <t>fin elu SOS/fin dilution QA</t>
  </si>
  <si>
    <t>début chargement MOQ/fin elu MOQ</t>
  </si>
  <si>
    <t>fin elu MOQ à 1CV EQL QA</t>
  </si>
  <si>
    <t>hold time max Temps de process cumulé</t>
  </si>
  <si>
    <t>To:heure de début de la première récolte</t>
  </si>
  <si>
    <t>temps process cumulé pour le lot 01</t>
  </si>
  <si>
    <t>Lot</t>
  </si>
  <si>
    <t>Fin dilution QA</t>
  </si>
  <si>
    <t>commentaire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</si>
  <si>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</si>
  <si>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</si>
  <si>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</si>
  <si>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</si>
  <si>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</si>
  <si>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</si>
  <si>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</si>
  <si>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</si>
  <si>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</si>
  <si>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</si>
  <si>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</si>
  <si>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</si>
  <si>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</si>
  <si>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</si>
  <si>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 15</t>
  </si>
  <si>
    <t>Lot 16</t>
  </si>
  <si>
    <t>Lot 17</t>
  </si>
  <si>
    <t>Lot 18</t>
  </si>
  <si>
    <t>Lot 19</t>
  </si>
  <si>
    <t>Lot 20</t>
  </si>
  <si>
    <t>Lot 21</t>
  </si>
  <si>
    <t>Lot 22</t>
  </si>
  <si>
    <t>Lot 23</t>
  </si>
  <si>
    <t>Lot 24</t>
  </si>
  <si>
    <t>Lot 25</t>
  </si>
  <si>
    <t>Lot 26</t>
  </si>
  <si>
    <t>Lot 27</t>
  </si>
  <si>
    <t>Lot 28</t>
  </si>
  <si>
    <t>Lot 29</t>
  </si>
  <si>
    <t>Lot 30</t>
  </si>
  <si>
    <t>Lot 31</t>
  </si>
  <si>
    <t>Lot 32</t>
  </si>
  <si>
    <t>Comparaison temps de cycle MOQ/CC</t>
  </si>
  <si>
    <t>Temps de congélation.</t>
  </si>
  <si>
    <t>Commentaire si &gt;à05H</t>
  </si>
  <si>
    <t>TC MOQ</t>
  </si>
  <si>
    <t>TC CC</t>
  </si>
  <si>
    <t>Temps sur la MOQ VS CC</t>
  </si>
  <si>
    <t>Attente MAB</t>
  </si>
  <si>
    <t xml:space="preserve">Attente MOQ </t>
  </si>
  <si>
    <t>fin élution MOQ</t>
  </si>
  <si>
    <t>Mettre"x" quand J1 en Chromato</t>
  </si>
  <si>
    <t>début chargement MOQ/
début lvges alcalins lot suivant en cas de lot complet sur 50</t>
  </si>
  <si>
    <t>CC 18</t>
  </si>
  <si>
    <t>CHARGE 9</t>
  </si>
  <si>
    <t>CHARGE 8</t>
  </si>
  <si>
    <t>CHARGE 3/11</t>
  </si>
  <si>
    <t>CHARGE 5</t>
  </si>
  <si>
    <t>Sortie</t>
  </si>
  <si>
    <t xml:space="preserve">Sortie </t>
  </si>
  <si>
    <t>Repréparation</t>
  </si>
  <si>
    <t xml:space="preserve">Repréparation </t>
  </si>
  <si>
    <t>Nombre de chargement 3 pendant la campagne</t>
  </si>
  <si>
    <t>J</t>
  </si>
  <si>
    <t>Fin elution MAB</t>
  </si>
  <si>
    <t>Début chargement SOS</t>
  </si>
  <si>
    <t>Fin élution  SOS</t>
  </si>
  <si>
    <t>SOS equilibrée lot N+1</t>
  </si>
  <si>
    <t xml:space="preserve">limite alerte: croisement AA  </t>
  </si>
  <si>
    <t>limite alarme: evaluation si 3 eme chgt</t>
  </si>
  <si>
    <t>standard LNB</t>
  </si>
  <si>
    <r>
      <t xml:space="preserve">"x" si B17 à repréparer avant </t>
    </r>
    <r>
      <rPr>
        <b/>
        <u/>
        <sz val="11"/>
        <color theme="1"/>
        <rFont val="Calibri"/>
        <family val="2"/>
        <scheme val="minor"/>
      </rPr>
      <t>prochaine</t>
    </r>
    <r>
      <rPr>
        <b/>
        <sz val="11"/>
        <color theme="1"/>
        <rFont val="Calibri"/>
        <family val="2"/>
        <scheme val="minor"/>
      </rPr>
      <t xml:space="preserve"> filtration</t>
    </r>
  </si>
  <si>
    <t>repréparation B17</t>
  </si>
  <si>
    <t>heure de rotation des poches</t>
  </si>
  <si>
    <t>Prévistion réduction du retard</t>
  </si>
  <si>
    <t>impact repreparation B17</t>
  </si>
  <si>
    <t>temps de repréparation B17</t>
  </si>
  <si>
    <t>limite média back up</t>
  </si>
  <si>
    <t>Risque de drainage des  harvest</t>
  </si>
  <si>
    <t>x</t>
  </si>
  <si>
    <t>durée filtration</t>
  </si>
  <si>
    <t>capacité standard réduction du retard</t>
  </si>
  <si>
    <t>temps de repréparation B14/15</t>
  </si>
  <si>
    <t>SIP 342</t>
  </si>
  <si>
    <t>transfert B19</t>
  </si>
  <si>
    <t>SIP/transfert/liberation média</t>
  </si>
  <si>
    <t>temps prep média avec CIP inclus</t>
  </si>
  <si>
    <t>heure de début de transfert B19</t>
  </si>
  <si>
    <t>heure de fin de SIP poche 3500L</t>
  </si>
  <si>
    <t>retard avant transfert B19</t>
  </si>
  <si>
    <t>standard lead time</t>
  </si>
  <si>
    <t>objectif</t>
  </si>
  <si>
    <t>N=° template #3110597</t>
  </si>
  <si>
    <t>Décallage rotations</t>
  </si>
  <si>
    <t>Rotation en décalée</t>
  </si>
  <si>
    <t>problème lors du test pression du SIP342</t>
  </si>
  <si>
    <t>formation sur cold SD</t>
  </si>
  <si>
    <t>S/D lancée plus tard pour décaller avec la ligne A</t>
  </si>
  <si>
    <t>Communication : Lancement d'un CIP en média alors que le CIP ligne de transfert allait être lancé. Reste retard du à repréparation</t>
  </si>
  <si>
    <t>repreparation collecting retard sans impact</t>
  </si>
  <si>
    <t>enchainement normal des opérations, le retard sera pris  du à l'obligation de réaliser un SiP145, la reco sera prête avant la cc</t>
  </si>
  <si>
    <t>début chargement MOQ/mi QB18</t>
  </si>
  <si>
    <t>1CV equilibrage QB35 lot n+1 ou second pic élution ou mi QB18 selon stratégie</t>
  </si>
  <si>
    <t>début chargement MOQ/second pic moq</t>
  </si>
  <si>
    <t>Enchainement normal des opérations, SIP 240 terminé à 05h54 (pendant le passage d'équipe)</t>
  </si>
  <si>
    <t>Attente fin de transfert reco. Retard suite à la repréparation de B17</t>
  </si>
  <si>
    <t xml:space="preserve">attente fin de transfert reco. </t>
  </si>
  <si>
    <t>B30</t>
  </si>
  <si>
    <t>B31</t>
  </si>
  <si>
    <t>Fin de Reg sur B41, bien plus tard cause alarne v2.1 valve error persistante.</t>
  </si>
  <si>
    <t>Fuite sur manifold lors du sip après changement de poche AM.</t>
  </si>
  <si>
    <t>Retard  sur la filtration du au lancement tardif du cip 62 de réco (1h)</t>
  </si>
  <si>
    <t>Retard sur B40 car NEP et regeneration sur B41
Horaires éstimés</t>
  </si>
  <si>
    <t>repréparation de B17, attente fin de SIP 241-2</t>
  </si>
  <si>
    <t>retard du a reprep B17</t>
  </si>
  <si>
    <t>SD en même temps que elution MAB. 2 techniciens seulement en reco B.</t>
  </si>
  <si>
    <t>Drainage de B92 / repréparation de B17/ CIP74 bloqué en Rinçage acide</t>
  </si>
  <si>
    <t>Repréparation B19 repoussle suite à repréparation B92 (contamination)</t>
  </si>
  <si>
    <t>CC pas préte</t>
  </si>
  <si>
    <t xml:space="preserve">Lancement de la filtration non prioritaire (temps de cycle en 24h) en fonction de l'effetif v/s charge de travail. </t>
  </si>
  <si>
    <t>temps de cycle en 24h tempo du sip de la poche pour lissage  charge de travail sans impact sur CC</t>
  </si>
  <si>
    <t>rotation des poches non synchronisée</t>
  </si>
  <si>
    <t>reprep collecting</t>
  </si>
  <si>
    <t>retard suite à la reprep du collecting tank après j45</t>
  </si>
  <si>
    <t>cuno pas prêt</t>
  </si>
  <si>
    <t xml:space="preserve">cuno pas prêt </t>
  </si>
  <si>
    <t>fin de transfert reco à 17:11 pour E52</t>
  </si>
  <si>
    <t>3 h de perdu entre la fin de transfert et le début de chargement à cause d'une alarme haute pression durant le sip des manifolds effectué dans le cadre d'un hangement de poche d'AQ</t>
  </si>
  <si>
    <t xml:space="preserve">suite au retard de la reco,  la filtration a été lancée plus tard </t>
  </si>
  <si>
    <t>Perte de temps pour lancer le chargement car : SIP de la ligne refait car perte de pression sur la ligne constatée avant le montage de la charge 9 puis fuite constatée sur manifolds au sip. Montage refait et sip relancé</t>
  </si>
  <si>
    <t>INDICATEUR DE PERFORMANCE CAMPAGNE B15180000</t>
  </si>
  <si>
    <t>accumulation des retard dû à la reprep de B17 + retard reco.</t>
  </si>
  <si>
    <t>repréparation du collecting. Sip temporisé car CC pas prete</t>
  </si>
  <si>
    <t>transfert en cours du lot précèdent vers la reco</t>
  </si>
  <si>
    <t>Lot 33</t>
  </si>
  <si>
    <t>E67</t>
  </si>
  <si>
    <t>J67</t>
  </si>
  <si>
    <t>récolte finale de B12</t>
  </si>
  <si>
    <t>Attente reprep du cuno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</si>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</sst>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[h]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indexed="81"/>
      <name val="Tahoma"/>
      <family val="2"/>
    </font>
    <font>
      <b/>
      <sz val="14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indexed="81"/>
      <name val="Tahoma"/>
      <family val="2"/>
    </font>
    <font>
      <sz val="12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20" fontId="0" fillId="0" borderId="1" xfId="0" applyNumberFormat="1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0" fillId="8" borderId="0" xfId="0" applyFill="1"/>
    <xf numFmtId="0" fontId="0" fillId="8" borderId="0" xfId="0" applyFill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/>
    </xf>
    <xf numFmtId="2" fontId="0" fillId="8" borderId="0" xfId="0" applyNumberFormat="1" applyFill="1" applyAlignment="1">
      <alignment horizontal="center" vertical="center" wrapText="1"/>
    </xf>
    <xf numFmtId="22" fontId="0" fillId="8" borderId="0" xfId="0" applyNumberFormat="1" applyFill="1" applyAlignment="1">
      <alignment horizontal="center" vertical="center" wrapText="1"/>
    </xf>
    <xf numFmtId="14" fontId="0" fillId="8" borderId="0" xfId="0" applyNumberFormat="1" applyFill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164" fontId="0" fillId="8" borderId="0" xfId="0" applyNumberFormat="1" applyFill="1"/>
    <xf numFmtId="2" fontId="0" fillId="8" borderId="1" xfId="0" applyNumberForma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 vertical="center" wrapText="1"/>
    </xf>
    <xf numFmtId="164" fontId="0" fillId="8" borderId="0" xfId="0" applyNumberForma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textRotation="90"/>
    </xf>
    <xf numFmtId="0" fontId="1" fillId="8" borderId="1" xfId="0" applyFont="1" applyFill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22" fontId="0" fillId="8" borderId="2" xfId="0" applyNumberFormat="1" applyFill="1" applyBorder="1" applyAlignment="1">
      <alignment horizontal="center" vertical="center" wrapText="1"/>
    </xf>
    <xf numFmtId="22" fontId="0" fillId="8" borderId="1" xfId="0" applyNumberFormat="1" applyFill="1" applyBorder="1" applyAlignment="1">
      <alignment horizontal="center" vertical="center" wrapText="1"/>
    </xf>
    <xf numFmtId="164" fontId="0" fillId="9" borderId="2" xfId="0" applyNumberFormat="1" applyFill="1" applyBorder="1" applyAlignment="1">
      <alignment horizontal="center" vertical="center"/>
    </xf>
    <xf numFmtId="14" fontId="0" fillId="8" borderId="0" xfId="0" applyNumberFormat="1" applyFill="1"/>
    <xf numFmtId="0" fontId="1" fillId="0" borderId="2" xfId="0" applyFont="1" applyBorder="1" applyAlignment="1">
      <alignment horizontal="center" vertical="center" textRotation="90"/>
    </xf>
    <xf numFmtId="164" fontId="0" fillId="10" borderId="2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vertical="top" wrapText="1"/>
    </xf>
    <xf numFmtId="20" fontId="0" fillId="8" borderId="1" xfId="0" applyNumberFormat="1" applyFill="1" applyBorder="1"/>
    <xf numFmtId="0" fontId="0" fillId="8" borderId="1" xfId="0" applyFill="1" applyBorder="1"/>
    <xf numFmtId="20" fontId="0" fillId="8" borderId="0" xfId="0" applyNumberFormat="1" applyFill="1" applyBorder="1"/>
    <xf numFmtId="0" fontId="0" fillId="8" borderId="1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46" fontId="0" fillId="8" borderId="1" xfId="0" applyNumberFormat="1" applyFill="1" applyBorder="1" applyAlignment="1">
      <alignment horizontal="center" vertical="center" wrapText="1"/>
    </xf>
    <xf numFmtId="46" fontId="1" fillId="8" borderId="1" xfId="0" applyNumberFormat="1" applyFont="1" applyFill="1" applyBorder="1" applyAlignment="1">
      <alignment horizontal="center" vertical="center"/>
    </xf>
    <xf numFmtId="22" fontId="0" fillId="8" borderId="0" xfId="0" applyNumberFormat="1" applyFill="1" applyAlignment="1">
      <alignment horizontal="center" vertical="center"/>
    </xf>
    <xf numFmtId="22" fontId="0" fillId="0" borderId="0" xfId="0" applyNumberFormat="1"/>
    <xf numFmtId="0" fontId="1" fillId="8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65" fontId="1" fillId="8" borderId="0" xfId="0" applyNumberFormat="1" applyFont="1" applyFill="1" applyBorder="1" applyAlignment="1">
      <alignment horizontal="center" vertical="center" wrapText="1"/>
    </xf>
    <xf numFmtId="22" fontId="0" fillId="8" borderId="0" xfId="0" applyNumberFormat="1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/>
    <xf numFmtId="0" fontId="0" fillId="0" borderId="0" xfId="0" applyBorder="1"/>
    <xf numFmtId="0" fontId="0" fillId="11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164" fontId="0" fillId="8" borderId="1" xfId="0" applyNumberFormat="1" applyFill="1" applyBorder="1"/>
    <xf numFmtId="20" fontId="0" fillId="8" borderId="0" xfId="0" applyNumberFormat="1" applyFill="1"/>
    <xf numFmtId="164" fontId="0" fillId="8" borderId="0" xfId="0" applyNumberFormat="1" applyFill="1" applyBorder="1"/>
    <xf numFmtId="0" fontId="4" fillId="8" borderId="1" xfId="0" applyFont="1" applyFill="1" applyBorder="1" applyAlignment="1">
      <alignment horizontal="left" vertical="top" wrapText="1"/>
    </xf>
    <xf numFmtId="0" fontId="4" fillId="8" borderId="1" xfId="0" applyFont="1" applyFill="1" applyBorder="1" applyAlignment="1">
      <alignment wrapText="1"/>
    </xf>
    <xf numFmtId="0" fontId="0" fillId="8" borderId="0" xfId="0" applyFill="1" applyAlignment="1">
      <alignment wrapText="1"/>
    </xf>
    <xf numFmtId="0" fontId="0" fillId="8" borderId="1" xfId="0" applyFill="1" applyBorder="1" applyAlignment="1">
      <alignment wrapText="1"/>
    </xf>
    <xf numFmtId="0" fontId="0" fillId="8" borderId="0" xfId="0" applyFill="1" applyAlignment="1">
      <alignment horizontal="center"/>
    </xf>
    <xf numFmtId="22" fontId="0" fillId="8" borderId="0" xfId="0" applyNumberForma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22" fontId="5" fillId="15" borderId="4" xfId="0" applyNumberFormat="1" applyFont="1" applyFill="1" applyBorder="1" applyAlignment="1">
      <alignment horizontal="center"/>
    </xf>
    <xf numFmtId="22" fontId="5" fillId="16" borderId="4" xfId="0" applyNumberFormat="1" applyFont="1" applyFill="1" applyBorder="1" applyAlignment="1">
      <alignment horizontal="center"/>
    </xf>
    <xf numFmtId="22" fontId="5" fillId="17" borderId="4" xfId="0" applyNumberFormat="1" applyFont="1" applyFill="1" applyBorder="1" applyAlignment="1">
      <alignment horizontal="center"/>
    </xf>
    <xf numFmtId="22" fontId="5" fillId="13" borderId="4" xfId="0" applyNumberFormat="1" applyFont="1" applyFill="1" applyBorder="1" applyAlignment="1">
      <alignment horizontal="center"/>
    </xf>
    <xf numFmtId="22" fontId="5" fillId="18" borderId="4" xfId="0" applyNumberFormat="1" applyFont="1" applyFill="1" applyBorder="1" applyAlignment="1">
      <alignment horizontal="center"/>
    </xf>
    <xf numFmtId="0" fontId="1" fillId="8" borderId="26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22" fontId="0" fillId="8" borderId="29" xfId="0" applyNumberFormat="1" applyFill="1" applyBorder="1" applyAlignment="1">
      <alignment horizontal="center" vertical="center"/>
    </xf>
    <xf numFmtId="22" fontId="0" fillId="8" borderId="30" xfId="0" applyNumberFormat="1" applyFill="1" applyBorder="1" applyAlignment="1">
      <alignment horizontal="center" vertical="center"/>
    </xf>
    <xf numFmtId="22" fontId="0" fillId="8" borderId="31" xfId="0" applyNumberFormat="1" applyFill="1" applyBorder="1" applyAlignment="1">
      <alignment horizontal="center" vertical="center"/>
    </xf>
    <xf numFmtId="22" fontId="0" fillId="8" borderId="32" xfId="0" applyNumberFormat="1" applyFill="1" applyBorder="1" applyAlignment="1">
      <alignment horizontal="center" vertical="center"/>
    </xf>
    <xf numFmtId="22" fontId="0" fillId="8" borderId="2" xfId="0" applyNumberFormat="1" applyFill="1" applyBorder="1" applyAlignment="1">
      <alignment horizontal="center" vertical="center"/>
    </xf>
    <xf numFmtId="0" fontId="0" fillId="8" borderId="31" xfId="0" applyFill="1" applyBorder="1"/>
    <xf numFmtId="0" fontId="6" fillId="8" borderId="4" xfId="0" applyFont="1" applyFill="1" applyBorder="1" applyAlignment="1">
      <alignment horizontal="center"/>
    </xf>
    <xf numFmtId="22" fontId="0" fillId="8" borderId="6" xfId="0" applyNumberFormat="1" applyFill="1" applyBorder="1" applyAlignment="1">
      <alignment horizontal="center" vertical="center"/>
    </xf>
    <xf numFmtId="22" fontId="0" fillId="8" borderId="7" xfId="0" applyNumberFormat="1" applyFill="1" applyBorder="1" applyAlignment="1">
      <alignment horizontal="center" vertical="center"/>
    </xf>
    <xf numFmtId="22" fontId="0" fillId="8" borderId="8" xfId="0" applyNumberFormat="1" applyFill="1" applyBorder="1" applyAlignment="1">
      <alignment horizontal="center" vertical="center"/>
    </xf>
    <xf numFmtId="22" fontId="0" fillId="8" borderId="1" xfId="0" applyNumberFormat="1" applyFill="1" applyBorder="1" applyAlignment="1">
      <alignment horizontal="center" vertical="center"/>
    </xf>
    <xf numFmtId="0" fontId="0" fillId="8" borderId="7" xfId="0" applyFill="1" applyBorder="1"/>
    <xf numFmtId="0" fontId="0" fillId="8" borderId="11" xfId="0" applyFill="1" applyBorder="1" applyAlignment="1">
      <alignment horizontal="center"/>
    </xf>
    <xf numFmtId="22" fontId="7" fillId="0" borderId="0" xfId="0" applyNumberFormat="1" applyFont="1"/>
    <xf numFmtId="0" fontId="0" fillId="8" borderId="4" xfId="0" applyFill="1" applyBorder="1"/>
    <xf numFmtId="20" fontId="0" fillId="8" borderId="1" xfId="0" applyNumberFormat="1" applyFill="1" applyBorder="1" applyAlignment="1">
      <alignment horizontal="right" vertical="center"/>
    </xf>
    <xf numFmtId="20" fontId="0" fillId="8" borderId="1" xfId="0" applyNumberFormat="1" applyFill="1" applyBorder="1" applyAlignment="1">
      <alignment horizontal="right"/>
    </xf>
    <xf numFmtId="164" fontId="0" fillId="8" borderId="1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Alignment="1">
      <alignment horizontal="center" vertical="center"/>
    </xf>
    <xf numFmtId="0" fontId="1" fillId="8" borderId="12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22" fontId="1" fillId="8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2" fontId="8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 textRotation="90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" fillId="6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8" borderId="1" xfId="0" applyFill="1" applyBorder="1" applyAlignment="1">
      <alignment vertical="top"/>
    </xf>
    <xf numFmtId="164" fontId="0" fillId="8" borderId="1" xfId="0" applyNumberFormat="1" applyFill="1" applyBorder="1" applyAlignment="1">
      <alignment vertical="top"/>
    </xf>
    <xf numFmtId="0" fontId="0" fillId="8" borderId="0" xfId="0" applyFill="1" applyAlignment="1">
      <alignment horizontal="left" vertical="center"/>
    </xf>
    <xf numFmtId="2" fontId="0" fillId="19" borderId="1" xfId="0" applyNumberFormat="1" applyFill="1" applyBorder="1" applyAlignment="1">
      <alignment horizontal="center" vertical="center" wrapText="1"/>
    </xf>
    <xf numFmtId="164" fontId="0" fillId="19" borderId="1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left" vertical="center" wrapText="1"/>
    </xf>
    <xf numFmtId="165" fontId="0" fillId="8" borderId="1" xfId="0" applyNumberFormat="1" applyFill="1" applyBorder="1" applyAlignment="1">
      <alignment horizontal="left" vertical="center" wrapText="1"/>
    </xf>
    <xf numFmtId="164" fontId="0" fillId="8" borderId="1" xfId="0" applyNumberFormat="1" applyFill="1" applyBorder="1" applyAlignment="1">
      <alignment horizontal="left" vertical="center"/>
    </xf>
    <xf numFmtId="22" fontId="0" fillId="8" borderId="0" xfId="0" applyNumberFormat="1" applyFill="1"/>
    <xf numFmtId="0" fontId="0" fillId="8" borderId="0" xfId="0" applyNumberForma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20" fontId="0" fillId="0" borderId="1" xfId="0" applyNumberFormat="1" applyBorder="1" applyAlignment="1">
      <alignment vertical="top"/>
    </xf>
    <xf numFmtId="164" fontId="0" fillId="0" borderId="1" xfId="0" applyNumberFormat="1" applyBorder="1"/>
    <xf numFmtId="0" fontId="1" fillId="8" borderId="1" xfId="0" applyFont="1" applyFill="1" applyBorder="1" applyAlignment="1">
      <alignment vertical="top" wrapText="1"/>
    </xf>
    <xf numFmtId="0" fontId="0" fillId="8" borderId="0" xfId="0" applyFill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9" borderId="1" xfId="0" applyFont="1" applyFill="1" applyBorder="1" applyAlignment="1">
      <alignment vertical="top" wrapText="1"/>
    </xf>
    <xf numFmtId="22" fontId="0" fillId="2" borderId="1" xfId="0" applyNumberFormat="1" applyFill="1" applyBorder="1"/>
    <xf numFmtId="22" fontId="0" fillId="3" borderId="1" xfId="0" applyNumberFormat="1" applyFill="1" applyBorder="1"/>
    <xf numFmtId="22" fontId="0" fillId="0" borderId="1" xfId="0" applyNumberFormat="1" applyBorder="1"/>
    <xf numFmtId="164" fontId="0" fillId="9" borderId="1" xfId="0" applyNumberFormat="1" applyFill="1" applyBorder="1"/>
    <xf numFmtId="0" fontId="0" fillId="0" borderId="1" xfId="0" applyNumberFormat="1" applyBorder="1" applyAlignment="1">
      <alignment vertical="top" wrapText="1"/>
    </xf>
    <xf numFmtId="20" fontId="0" fillId="8" borderId="0" xfId="0" applyNumberForma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0" fillId="8" borderId="0" xfId="0" applyNumberFormat="1" applyFill="1"/>
    <xf numFmtId="165" fontId="0" fillId="4" borderId="1" xfId="0" applyNumberForma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0" fontId="0" fillId="8" borderId="0" xfId="0" applyFill="1" applyBorder="1" applyAlignment="1">
      <alignment wrapText="1"/>
    </xf>
    <xf numFmtId="164" fontId="0" fillId="8" borderId="1" xfId="0" applyNumberFormat="1" applyFill="1" applyBorder="1" applyAlignment="1">
      <alignment horizontal="left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textRotation="90"/>
    </xf>
    <xf numFmtId="0" fontId="1" fillId="8" borderId="11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textRotation="90"/>
    </xf>
    <xf numFmtId="0" fontId="1" fillId="8" borderId="1" xfId="0" applyFont="1" applyFill="1" applyBorder="1" applyAlignment="1">
      <alignment horizontal="center" vertical="center" textRotation="90"/>
    </xf>
    <xf numFmtId="0" fontId="0" fillId="8" borderId="10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14" fontId="1" fillId="8" borderId="18" xfId="0" applyNumberFormat="1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22" fontId="1" fillId="8" borderId="1" xfId="0" applyNumberFormat="1" applyFont="1" applyFill="1" applyBorder="1" applyAlignment="1">
      <alignment horizontal="center" vertical="center" wrapText="1"/>
    </xf>
    <xf numFmtId="22" fontId="1" fillId="8" borderId="12" xfId="0" applyNumberFormat="1" applyFont="1" applyFill="1" applyBorder="1" applyAlignment="1">
      <alignment horizontal="center" vertical="center"/>
    </xf>
    <xf numFmtId="22" fontId="1" fillId="8" borderId="8" xfId="0" applyNumberFormat="1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6" borderId="18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/>
    </xf>
    <xf numFmtId="0" fontId="1" fillId="17" borderId="18" xfId="0" applyFont="1" applyFill="1" applyBorder="1" applyAlignment="1">
      <alignment horizontal="center"/>
    </xf>
    <xf numFmtId="0" fontId="1" fillId="17" borderId="3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0" fontId="1" fillId="18" borderId="18" xfId="0" applyFont="1" applyFill="1" applyBorder="1" applyAlignment="1">
      <alignment horizontal="center"/>
    </xf>
    <xf numFmtId="0" fontId="1" fillId="18" borderId="3" xfId="0" applyFont="1" applyFill="1" applyBorder="1" applyAlignment="1">
      <alignment horizontal="center"/>
    </xf>
  </cellXfs>
  <cellStyles count="1">
    <cellStyle name="Normal" xfId="0" builtinId="0"/>
  </cellStyles>
  <dxfs count="7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66FFFF"/>
        </patternFill>
      </fill>
    </dxf>
    <dxf>
      <fill>
        <patternFill>
          <bgColor rgb="FFFF0000"/>
        </patternFill>
      </fill>
    </dxf>
    <dxf>
      <numFmt numFmtId="164" formatCode="[hh]:mm"/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66FFFF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2" formatCode="0.00"/>
    </dxf>
    <dxf>
      <fill>
        <patternFill>
          <bgColor rgb="FF66FFFF"/>
        </patternFill>
      </fill>
    </dxf>
    <dxf>
      <fill>
        <patternFill>
          <bgColor rgb="FFFF0000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FF0000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FF0000"/>
        </patternFill>
      </fill>
    </dxf>
    <dxf>
      <fill>
        <patternFill>
          <bgColor rgb="FF66FFFF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66FFFF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66FFFF"/>
        </patternFill>
      </fill>
    </dxf>
    <dxf>
      <fill>
        <patternFill>
          <bgColor rgb="FFFF0000"/>
        </patternFill>
      </fill>
    </dxf>
    <dxf>
      <numFmt numFmtId="164" formatCode="[hh]:mm"/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66FFFF"/>
        </patternFill>
      </fill>
    </dxf>
  </dxfs>
  <tableStyles count="0" defaultTableStyle="TableStyleMedium9" defaultPivotStyle="PivotStyleLight16"/>
  <colors>
    <mruColors>
      <color rgb="FFFF5050"/>
      <color rgb="FF66FFFF"/>
      <color rgb="FFFF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H"/>
              <a:t>Lead time media</a:t>
            </a:r>
            <a:r>
              <a:rPr lang="fr-CH" baseline="0"/>
              <a:t> B</a:t>
            </a:r>
            <a:endParaRPr lang="fr-CH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'Lead time media'!$E$4</c:f>
              <c:strCache>
                <c:ptCount val="1"/>
              </c:strCache>
            </c:strRef>
          </c:tx>
          <c:invertIfNegative val="0"/>
          <c:cat>
            <c:numRef>
              <c:f>'Lead time media'!$A$5:$A$14</c:f>
              <c:numCache>
                <c:formatCode>General</c:formatCode>
                <c:ptCount val="10"/>
              </c:numCache>
            </c:numRef>
          </c:cat>
          <c:val>
            <c:numRef>
              <c:f>'Lead time media'!$E$5:$E$14</c:f>
              <c:numCache>
                <c:formatCode>[hh]:mm</c:formatCode>
                <c:ptCount val="10"/>
              </c:numCache>
            </c:numRef>
          </c:val>
        </c:ser>
        <c:ser>
          <c:idx val="2"/>
          <c:order val="2"/>
          <c:tx>
            <c:strRef>
              <c:f>'Lead time media'!$G$4</c:f>
              <c:strCache>
                <c:ptCount val="1"/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'Lead time media'!$A$5:$A$14</c:f>
              <c:numCache>
                <c:formatCode>General</c:formatCode>
                <c:ptCount val="10"/>
              </c:numCache>
            </c:numRef>
          </c:cat>
          <c:val>
            <c:numRef>
              <c:f>'Lead time media'!$G$5:$G$14</c:f>
              <c:numCache>
                <c:formatCode>[hh]:mm</c:formatCode>
                <c:ptCount val="1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86127872"/>
        <c:axId val="186129408"/>
      </c:barChart>
      <c:lineChart>
        <c:grouping val="stacked"/>
        <c:varyColors val="0"/>
        <c:ser>
          <c:idx val="1"/>
          <c:order val="1"/>
          <c:tx>
            <c:strRef>
              <c:f>'Lead time media'!$F$4</c:f>
              <c:strCache>
                <c:ptCount val="1"/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val>
            <c:numRef>
              <c:f>'Lead time media'!$F$5:$F$14</c:f>
              <c:numCache>
                <c:formatCode>[hh]:mm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127872"/>
        <c:axId val="186129408"/>
      </c:lineChart>
      <c:catAx>
        <c:axId val="18612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6129408"/>
        <c:crosses val="autoZero"/>
        <c:auto val="1"/>
        <c:lblAlgn val="ctr"/>
        <c:lblOffset val="100"/>
        <c:noMultiLvlLbl val="0"/>
      </c:catAx>
      <c:valAx>
        <c:axId val="186129408"/>
        <c:scaling>
          <c:orientation val="minMax"/>
          <c:min val="0"/>
        </c:scaling>
        <c:delete val="0"/>
        <c:axPos val="l"/>
        <c:majorGridlines/>
        <c:numFmt formatCode="[hh]:mm" sourceLinked="1"/>
        <c:majorTickMark val="none"/>
        <c:minorTickMark val="none"/>
        <c:tickLblPos val="nextTo"/>
        <c:crossAx val="186127872"/>
        <c:crosses val="autoZero"/>
        <c:crossBetween val="between"/>
        <c:majorUnit val="5.2100000000000014E-2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3200" b="1"/>
            </a:pPr>
            <a:r>
              <a:rPr lang="en-US" sz="3200" b="1" i="0" baseline="0"/>
              <a:t>Indicateur de performance Cell Culture LNB</a:t>
            </a:r>
            <a:endParaRPr lang="fr-CH" sz="3200" b="1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2707590915823525E-2"/>
          <c:y val="0.14667500808974218"/>
          <c:w val="0.95685488264868002"/>
          <c:h val="0.7091148571623415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'lead timeLNB'!$H$9</c:f>
              <c:strCache>
                <c:ptCount val="1"/>
                <c:pt idx="0">
                  <c:v>retard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'lead timeLNB'!$C$62:$C$72</c:f>
              <c:strCache>
                <c:ptCount val="10"/>
                <c:pt idx="0">
                  <c:v>E54</c:v>
                </c:pt>
                <c:pt idx="1">
                  <c:v>E55</c:v>
                </c:pt>
                <c:pt idx="2">
                  <c:v>E56</c:v>
                </c:pt>
                <c:pt idx="3">
                  <c:v>E57</c:v>
                </c:pt>
                <c:pt idx="4">
                  <c:v>E58</c:v>
                </c:pt>
                <c:pt idx="5">
                  <c:v>E59</c:v>
                </c:pt>
                <c:pt idx="6">
                  <c:v>E60</c:v>
                </c:pt>
                <c:pt idx="7">
                  <c:v>E61</c:v>
                </c:pt>
                <c:pt idx="8">
                  <c:v>E62</c:v>
                </c:pt>
                <c:pt idx="9">
                  <c:v>E63</c:v>
                </c:pt>
              </c:strCache>
            </c:strRef>
          </c:cat>
          <c:val>
            <c:numRef>
              <c:f>'lead timeLNB'!$H$62:$H$72</c:f>
              <c:numCache>
                <c:formatCode>[hh]:mm</c:formatCode>
                <c:ptCount val="10"/>
                <c:pt idx="0">
                  <c:v>9.7916666672972497E-2</c:v>
                </c:pt>
                <c:pt idx="1">
                  <c:v>0</c:v>
                </c:pt>
                <c:pt idx="2">
                  <c:v>0.13541666666424135</c:v>
                </c:pt>
                <c:pt idx="3">
                  <c:v>0.33472222222189885</c:v>
                </c:pt>
                <c:pt idx="4">
                  <c:v>0.37291666666715173</c:v>
                </c:pt>
                <c:pt idx="5">
                  <c:v>0.75347222221898846</c:v>
                </c:pt>
                <c:pt idx="6">
                  <c:v>0.62430555555329192</c:v>
                </c:pt>
                <c:pt idx="7">
                  <c:v>0.25625000000582077</c:v>
                </c:pt>
                <c:pt idx="8">
                  <c:v>-2.1527777767914813E-2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'lead timeLNB'!$K$9</c:f>
              <c:strCache>
                <c:ptCount val="1"/>
                <c:pt idx="0">
                  <c:v>impact repreparation B17</c:v>
                </c:pt>
              </c:strCache>
            </c:strRef>
          </c:tx>
          <c:spPr>
            <a:solidFill>
              <a:srgbClr val="FF99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'lead timeLNB'!$C$62:$C$72</c:f>
              <c:strCache>
                <c:ptCount val="10"/>
                <c:pt idx="0">
                  <c:v>E54</c:v>
                </c:pt>
                <c:pt idx="1">
                  <c:v>E55</c:v>
                </c:pt>
                <c:pt idx="2">
                  <c:v>E56</c:v>
                </c:pt>
                <c:pt idx="3">
                  <c:v>E57</c:v>
                </c:pt>
                <c:pt idx="4">
                  <c:v>E58</c:v>
                </c:pt>
                <c:pt idx="5">
                  <c:v>E59</c:v>
                </c:pt>
                <c:pt idx="6">
                  <c:v>E60</c:v>
                </c:pt>
                <c:pt idx="7">
                  <c:v>E61</c:v>
                </c:pt>
                <c:pt idx="8">
                  <c:v>E62</c:v>
                </c:pt>
                <c:pt idx="9">
                  <c:v>E63</c:v>
                </c:pt>
              </c:strCache>
            </c:strRef>
          </c:cat>
          <c:val>
            <c:numRef>
              <c:f>'lead timeLNB'!$L$62:$L$72</c:f>
              <c:numCache>
                <c:formatCode>[hh]:mm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0.39027777777664596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0.3125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31"/>
        <c:axId val="198676864"/>
        <c:axId val="198678400"/>
      </c:barChart>
      <c:lineChart>
        <c:grouping val="standard"/>
        <c:varyColors val="0"/>
        <c:ser>
          <c:idx val="2"/>
          <c:order val="2"/>
          <c:tx>
            <c:strRef>
              <c:f>'lead timeLNB'!$N$9</c:f>
              <c:strCache>
                <c:ptCount val="1"/>
                <c:pt idx="0">
                  <c:v>limite média back up</c:v>
                </c:pt>
              </c:strCache>
            </c:strRef>
          </c:tx>
          <c:spPr>
            <a:ln w="50800"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'lead timeLNB'!$C$62:$C$72</c:f>
              <c:strCache>
                <c:ptCount val="10"/>
                <c:pt idx="0">
                  <c:v>E54</c:v>
                </c:pt>
                <c:pt idx="1">
                  <c:v>E55</c:v>
                </c:pt>
                <c:pt idx="2">
                  <c:v>E56</c:v>
                </c:pt>
                <c:pt idx="3">
                  <c:v>E57</c:v>
                </c:pt>
                <c:pt idx="4">
                  <c:v>E58</c:v>
                </c:pt>
                <c:pt idx="5">
                  <c:v>E59</c:v>
                </c:pt>
                <c:pt idx="6">
                  <c:v>E60</c:v>
                </c:pt>
                <c:pt idx="7">
                  <c:v>E61</c:v>
                </c:pt>
                <c:pt idx="8">
                  <c:v>E62</c:v>
                </c:pt>
                <c:pt idx="9">
                  <c:v>E63</c:v>
                </c:pt>
              </c:strCache>
            </c:strRef>
          </c:cat>
          <c:val>
            <c:numRef>
              <c:f>'lead timeLNB'!$N$62:$N$72</c:f>
              <c:numCache>
                <c:formatCode>[hh]:mm</c:formatCode>
                <c:ptCount val="10"/>
                <c:pt idx="0">
                  <c:v>0.25486111110512866</c:v>
                </c:pt>
                <c:pt idx="1">
                  <c:v>0.24305555556202307</c:v>
                </c:pt>
                <c:pt idx="2">
                  <c:v>0.23611111110949423</c:v>
                </c:pt>
                <c:pt idx="3">
                  <c:v>0.25</c:v>
                </c:pt>
                <c:pt idx="4">
                  <c:v>0.20555555555620231</c:v>
                </c:pt>
                <c:pt idx="5">
                  <c:v>0.51041666666666663</c:v>
                </c:pt>
                <c:pt idx="6">
                  <c:v>0.51041666666666663</c:v>
                </c:pt>
                <c:pt idx="7">
                  <c:v>0.51041666666666663</c:v>
                </c:pt>
                <c:pt idx="8">
                  <c:v>0.51041666666424135</c:v>
                </c:pt>
                <c:pt idx="9">
                  <c:v>0.51041666666424135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'lead timeLNB'!$J$9</c:f>
              <c:strCache>
                <c:ptCount val="1"/>
                <c:pt idx="0">
                  <c:v>Prévistion réduction du retard</c:v>
                </c:pt>
              </c:strCache>
            </c:strRef>
          </c:tx>
          <c:spPr>
            <a:ln w="508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'lead timeLNB'!$C$62:$C$72</c:f>
              <c:strCache>
                <c:ptCount val="10"/>
                <c:pt idx="0">
                  <c:v>E54</c:v>
                </c:pt>
                <c:pt idx="1">
                  <c:v>E55</c:v>
                </c:pt>
                <c:pt idx="2">
                  <c:v>E56</c:v>
                </c:pt>
                <c:pt idx="3">
                  <c:v>E57</c:v>
                </c:pt>
                <c:pt idx="4">
                  <c:v>E58</c:v>
                </c:pt>
                <c:pt idx="5">
                  <c:v>E59</c:v>
                </c:pt>
                <c:pt idx="6">
                  <c:v>E60</c:v>
                </c:pt>
                <c:pt idx="7">
                  <c:v>E61</c:v>
                </c:pt>
                <c:pt idx="8">
                  <c:v>E62</c:v>
                </c:pt>
                <c:pt idx="9">
                  <c:v>E63</c:v>
                </c:pt>
              </c:strCache>
            </c:strRef>
          </c:cat>
          <c:val>
            <c:numRef>
              <c:f>'lead timeLNB'!$J$62:$J$72</c:f>
              <c:numCache>
                <c:formatCode>[hh]:mm</c:formatCode>
                <c:ptCount val="10"/>
                <c:pt idx="0">
                  <c:v>1.0416666662624419E-2</c:v>
                </c:pt>
                <c:pt idx="1">
                  <c:v>2.0833333341417681E-2</c:v>
                </c:pt>
                <c:pt idx="2">
                  <c:v>-2.1527777784083657E-2</c:v>
                </c:pt>
                <c:pt idx="3">
                  <c:v>0.33611111111369807</c:v>
                </c:pt>
                <c:pt idx="4">
                  <c:v>0.29305555555604057</c:v>
                </c:pt>
                <c:pt idx="5">
                  <c:v>0.36180555555458538</c:v>
                </c:pt>
                <c:pt idx="6">
                  <c:v>0.46458333333026125</c:v>
                </c:pt>
                <c:pt idx="7">
                  <c:v>0.25972222222076702</c:v>
                </c:pt>
                <c:pt idx="8">
                  <c:v>-2.1527777771957024E-2</c:v>
                </c:pt>
                <c:pt idx="9">
                  <c:v>-0.11180555554326732</c:v>
                </c:pt>
              </c:numCache>
            </c:numRef>
          </c:val>
          <c:smooth val="0"/>
        </c:ser>
        <c:ser>
          <c:idx val="3"/>
          <c:order val="4"/>
          <c:tx>
            <c:strRef>
              <c:f>'lead timeLNB'!$O$9</c:f>
              <c:strCache>
                <c:ptCount val="1"/>
                <c:pt idx="0">
                  <c:v>Risque de drainage des  harvest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'lead timeLNB'!$C$62:$C$72</c:f>
              <c:strCache>
                <c:ptCount val="10"/>
                <c:pt idx="0">
                  <c:v>E54</c:v>
                </c:pt>
                <c:pt idx="1">
                  <c:v>E55</c:v>
                </c:pt>
                <c:pt idx="2">
                  <c:v>E56</c:v>
                </c:pt>
                <c:pt idx="3">
                  <c:v>E57</c:v>
                </c:pt>
                <c:pt idx="4">
                  <c:v>E58</c:v>
                </c:pt>
                <c:pt idx="5">
                  <c:v>E59</c:v>
                </c:pt>
                <c:pt idx="6">
                  <c:v>E60</c:v>
                </c:pt>
                <c:pt idx="7">
                  <c:v>E61</c:v>
                </c:pt>
                <c:pt idx="8">
                  <c:v>E62</c:v>
                </c:pt>
                <c:pt idx="9">
                  <c:v>E63</c:v>
                </c:pt>
              </c:strCache>
            </c:strRef>
          </c:cat>
          <c:val>
            <c:numRef>
              <c:f>'lead timeLNB'!$O$62:$O$72</c:f>
              <c:numCache>
                <c:formatCode>[hh]:mm</c:formatCode>
                <c:ptCount val="10"/>
                <c:pt idx="0">
                  <c:v>0.58819444443846192</c:v>
                </c:pt>
                <c:pt idx="1">
                  <c:v>0.57638888889535633</c:v>
                </c:pt>
                <c:pt idx="2">
                  <c:v>0.56944444444282749</c:v>
                </c:pt>
                <c:pt idx="3">
                  <c:v>0.58333333333333326</c:v>
                </c:pt>
                <c:pt idx="4">
                  <c:v>0.53888888888953557</c:v>
                </c:pt>
                <c:pt idx="5">
                  <c:v>0.84375</c:v>
                </c:pt>
                <c:pt idx="6">
                  <c:v>0.84375</c:v>
                </c:pt>
                <c:pt idx="7">
                  <c:v>0.84375</c:v>
                </c:pt>
                <c:pt idx="8">
                  <c:v>0.84374999999757461</c:v>
                </c:pt>
                <c:pt idx="9">
                  <c:v>0.84374999999757461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76864"/>
        <c:axId val="198678400"/>
      </c:lineChart>
      <c:catAx>
        <c:axId val="198676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040000"/>
          <a:lstStyle/>
          <a:p>
            <a:pPr>
              <a:defRPr sz="1400" b="1"/>
            </a:pPr>
            <a:endParaRPr lang="fr-FR"/>
          </a:p>
        </c:txPr>
        <c:crossAx val="198678400"/>
        <c:crossesAt val="0"/>
        <c:auto val="1"/>
        <c:lblAlgn val="ctr"/>
        <c:lblOffset val="100"/>
        <c:noMultiLvlLbl val="0"/>
      </c:catAx>
      <c:valAx>
        <c:axId val="198678400"/>
        <c:scaling>
          <c:orientation val="minMax"/>
          <c:max val="1"/>
          <c:min val="0"/>
        </c:scaling>
        <c:delete val="0"/>
        <c:axPos val="l"/>
        <c:majorGridlines/>
        <c:numFmt formatCode="[hh]:mm" sourceLinked="1"/>
        <c:majorTickMark val="none"/>
        <c:minorTickMark val="none"/>
        <c:tickLblPos val="nextTo"/>
        <c:crossAx val="198676864"/>
        <c:crosses val="autoZero"/>
        <c:crossBetween val="between"/>
        <c:majorUnit val="8.3330000000000015E-2"/>
        <c:minorUnit val="1.6660000000000005E-2"/>
      </c:valAx>
    </c:plotArea>
    <c:legend>
      <c:legendPos val="r"/>
      <c:layout>
        <c:manualLayout>
          <c:xMode val="edge"/>
          <c:yMode val="edge"/>
          <c:x val="0.78516927346397758"/>
          <c:y val="0"/>
          <c:w val="0.21386905208277537"/>
          <c:h val="0.48446363930536079"/>
        </c:manualLayout>
      </c:layout>
      <c:overlay val="0"/>
      <c:spPr>
        <a:solidFill>
          <a:sysClr val="window" lastClr="FFFFFF"/>
        </a:solidFill>
      </c:spPr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3200"/>
            </a:pPr>
            <a:r>
              <a:rPr lang="en-US" sz="3200"/>
              <a:t>Indicateur de performance Recovery LNB</a:t>
            </a:r>
          </a:p>
        </c:rich>
      </c:tx>
      <c:layout>
        <c:manualLayout>
          <c:xMode val="edge"/>
          <c:yMode val="edge"/>
          <c:x val="0.25796921896390856"/>
          <c:y val="1.370687906856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217521647003427E-2"/>
          <c:y val="7.3677580707877666E-2"/>
          <c:w val="0.84474973264195441"/>
          <c:h val="0.75779825441114324"/>
        </c:manualLayout>
      </c:layout>
      <c:barChart>
        <c:barDir val="col"/>
        <c:grouping val="stacked"/>
        <c:varyColors val="0"/>
        <c:ser>
          <c:idx val="0"/>
          <c:order val="1"/>
          <c:tx>
            <c:strRef>
              <c:f>'lead timeLNB'!$W$9</c:f>
              <c:strCache>
                <c:ptCount val="1"/>
                <c:pt idx="0">
                  <c:v>retard avant transfert B19</c:v>
                </c:pt>
              </c:strCache>
            </c:strRef>
          </c:tx>
          <c:spPr>
            <a:solidFill>
              <a:srgbClr val="FF0000">
                <a:alpha val="55000"/>
              </a:srgbClr>
            </a:solidFill>
          </c:spPr>
          <c:invertIfNegative val="0"/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'lead timeLNB'!$S$65:$S$76</c:f>
              <c:strCache>
                <c:ptCount val="12"/>
                <c:pt idx="0">
                  <c:v>J56</c:v>
                </c:pt>
                <c:pt idx="1">
                  <c:v>J57</c:v>
                </c:pt>
                <c:pt idx="2">
                  <c:v>J58</c:v>
                </c:pt>
                <c:pt idx="3">
                  <c:v>J59</c:v>
                </c:pt>
                <c:pt idx="4">
                  <c:v>J60</c:v>
                </c:pt>
                <c:pt idx="5">
                  <c:v>J61</c:v>
                </c:pt>
                <c:pt idx="6">
                  <c:v>J62</c:v>
                </c:pt>
                <c:pt idx="7">
                  <c:v>J63</c:v>
                </c:pt>
                <c:pt idx="8">
                  <c:v>J64</c:v>
                </c:pt>
                <c:pt idx="9">
                  <c:v>J65</c:v>
                </c:pt>
                <c:pt idx="10">
                  <c:v>J66</c:v>
                </c:pt>
                <c:pt idx="11">
                  <c:v>J67</c:v>
                </c:pt>
              </c:strCache>
            </c:strRef>
          </c:cat>
          <c:val>
            <c:numRef>
              <c:f>'lead timeLNB'!$W$65:$W$76</c:f>
              <c:numCache>
                <c:formatCode>[hh]:mm</c:formatCode>
                <c:ptCount val="12"/>
                <c:pt idx="0">
                  <c:v>1.6666666670062114E-2</c:v>
                </c:pt>
                <c:pt idx="1">
                  <c:v>0.10069444444525288</c:v>
                </c:pt>
                <c:pt idx="2">
                  <c:v>8.6805555554747116E-2</c:v>
                </c:pt>
                <c:pt idx="3">
                  <c:v>0.11388888888905058</c:v>
                </c:pt>
                <c:pt idx="4">
                  <c:v>3.8194444445252884E-2</c:v>
                </c:pt>
                <c:pt idx="5">
                  <c:v>0.125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0.125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'lead timeLNB'!$Y$9</c:f>
              <c:strCache>
                <c:ptCount val="1"/>
                <c:pt idx="0">
                  <c:v>lead time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'lead timeLNB'!$S$65:$S$76</c:f>
              <c:strCache>
                <c:ptCount val="12"/>
                <c:pt idx="0">
                  <c:v>J56</c:v>
                </c:pt>
                <c:pt idx="1">
                  <c:v>J57</c:v>
                </c:pt>
                <c:pt idx="2">
                  <c:v>J58</c:v>
                </c:pt>
                <c:pt idx="3">
                  <c:v>J59</c:v>
                </c:pt>
                <c:pt idx="4">
                  <c:v>J60</c:v>
                </c:pt>
                <c:pt idx="5">
                  <c:v>J61</c:v>
                </c:pt>
                <c:pt idx="6">
                  <c:v>J62</c:v>
                </c:pt>
                <c:pt idx="7">
                  <c:v>J63</c:v>
                </c:pt>
                <c:pt idx="8">
                  <c:v>J64</c:v>
                </c:pt>
                <c:pt idx="9">
                  <c:v>J65</c:v>
                </c:pt>
                <c:pt idx="10">
                  <c:v>J66</c:v>
                </c:pt>
                <c:pt idx="11">
                  <c:v>J67</c:v>
                </c:pt>
              </c:strCache>
            </c:strRef>
          </c:cat>
          <c:val>
            <c:numRef>
              <c:f>'lead timeLNB'!$Y$65:$Y$76</c:f>
              <c:numCache>
                <c:formatCode>[hh]:mm</c:formatCode>
                <c:ptCount val="12"/>
                <c:pt idx="0">
                  <c:v>0.59236111110658385</c:v>
                </c:pt>
                <c:pt idx="1">
                  <c:v>0.60208333333139308</c:v>
                </c:pt>
                <c:pt idx="2">
                  <c:v>0.57777777777664596</c:v>
                </c:pt>
                <c:pt idx="3">
                  <c:v>0.50347222222626442</c:v>
                </c:pt>
                <c:pt idx="4">
                  <c:v>0.60763888889050577</c:v>
                </c:pt>
                <c:pt idx="5">
                  <c:v>0.60763888889050577</c:v>
                </c:pt>
                <c:pt idx="6">
                  <c:v>0.60763888889050577</c:v>
                </c:pt>
                <c:pt idx="7">
                  <c:v>0.60763888889050577</c:v>
                </c:pt>
                <c:pt idx="8">
                  <c:v>0.60763888889050577</c:v>
                </c:pt>
                <c:pt idx="9">
                  <c:v>0.50347222222626442</c:v>
                </c:pt>
                <c:pt idx="10">
                  <c:v>0.30555555555474712</c:v>
                </c:pt>
                <c:pt idx="11">
                  <c:v>0.50347222222626442</c:v>
                </c:pt>
              </c:numCache>
            </c:numRef>
          </c:val>
        </c:ser>
        <c:ser>
          <c:idx val="3"/>
          <c:order val="3"/>
          <c:tx>
            <c:strRef>
              <c:f>'lead timeLNB'!$Z$9</c:f>
              <c:strCache>
                <c:ptCount val="1"/>
                <c:pt idx="0">
                  <c:v>dépassement du lead time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dLbl>
              <c:idx val="3"/>
              <c:layout>
                <c:manualLayout>
                  <c:x val="3.0659730405610732E-3"/>
                  <c:y val="4.935732487962836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'lead timeLNB'!$S$65:$S$76</c:f>
              <c:strCache>
                <c:ptCount val="12"/>
                <c:pt idx="0">
                  <c:v>J56</c:v>
                </c:pt>
                <c:pt idx="1">
                  <c:v>J57</c:v>
                </c:pt>
                <c:pt idx="2">
                  <c:v>J58</c:v>
                </c:pt>
                <c:pt idx="3">
                  <c:v>J59</c:v>
                </c:pt>
                <c:pt idx="4">
                  <c:v>J60</c:v>
                </c:pt>
                <c:pt idx="5">
                  <c:v>J61</c:v>
                </c:pt>
                <c:pt idx="6">
                  <c:v>J62</c:v>
                </c:pt>
                <c:pt idx="7">
                  <c:v>J63</c:v>
                </c:pt>
                <c:pt idx="8">
                  <c:v>J64</c:v>
                </c:pt>
                <c:pt idx="9">
                  <c:v>J65</c:v>
                </c:pt>
                <c:pt idx="10">
                  <c:v>J66</c:v>
                </c:pt>
                <c:pt idx="11">
                  <c:v>J67</c:v>
                </c:pt>
              </c:strCache>
            </c:strRef>
          </c:cat>
          <c:val>
            <c:numRef>
              <c:f>'lead timeLNB'!$Z$65:$Z$76</c:f>
              <c:numCache>
                <c:formatCode>[hh]:mm</c:formatCode>
                <c:ptCount val="12"/>
                <c:pt idx="0">
                  <c:v>-1.5277777782304991E-2</c:v>
                </c:pt>
                <c:pt idx="1">
                  <c:v>-5.5555555574957616E-3</c:v>
                </c:pt>
                <c:pt idx="2">
                  <c:v>-2.9861111112242877E-2</c:v>
                </c:pt>
                <c:pt idx="3">
                  <c:v>-0.10416666666262442</c:v>
                </c:pt>
                <c:pt idx="4">
                  <c:v>1.616928813064078E-12</c:v>
                </c:pt>
                <c:pt idx="5">
                  <c:v>1.616928813064078E-12</c:v>
                </c:pt>
                <c:pt idx="6">
                  <c:v>1.616928813064078E-12</c:v>
                </c:pt>
                <c:pt idx="7">
                  <c:v>1.616928813064078E-12</c:v>
                </c:pt>
                <c:pt idx="8">
                  <c:v>1.616928813064078E-12</c:v>
                </c:pt>
                <c:pt idx="9">
                  <c:v>-0.10416666666262442</c:v>
                </c:pt>
                <c:pt idx="10">
                  <c:v>-0.30208333333414172</c:v>
                </c:pt>
                <c:pt idx="11">
                  <c:v>-0.10416666666262442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5"/>
        <c:overlap val="100"/>
        <c:axId val="187826176"/>
        <c:axId val="187827712"/>
      </c:barChart>
      <c:lineChart>
        <c:grouping val="standard"/>
        <c:varyColors val="0"/>
        <c:ser>
          <c:idx val="1"/>
          <c:order val="0"/>
          <c:tx>
            <c:strRef>
              <c:f>'lead timeLNB'!$X$9</c:f>
              <c:strCache>
                <c:ptCount val="1"/>
                <c:pt idx="0">
                  <c:v>warning</c:v>
                </c:pt>
              </c:strCache>
            </c:strRef>
          </c:tx>
          <c:spPr>
            <a:ln w="50800"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'lead timeLNB'!$S$65:$S$76</c:f>
              <c:strCache>
                <c:ptCount val="12"/>
                <c:pt idx="0">
                  <c:v>J56</c:v>
                </c:pt>
                <c:pt idx="1">
                  <c:v>J57</c:v>
                </c:pt>
                <c:pt idx="2">
                  <c:v>J58</c:v>
                </c:pt>
                <c:pt idx="3">
                  <c:v>J59</c:v>
                </c:pt>
                <c:pt idx="4">
                  <c:v>J60</c:v>
                </c:pt>
                <c:pt idx="5">
                  <c:v>J61</c:v>
                </c:pt>
                <c:pt idx="6">
                  <c:v>J62</c:v>
                </c:pt>
                <c:pt idx="7">
                  <c:v>J63</c:v>
                </c:pt>
                <c:pt idx="8">
                  <c:v>J64</c:v>
                </c:pt>
                <c:pt idx="9">
                  <c:v>J65</c:v>
                </c:pt>
                <c:pt idx="10">
                  <c:v>J66</c:v>
                </c:pt>
                <c:pt idx="11">
                  <c:v>J67</c:v>
                </c:pt>
              </c:strCache>
            </c:strRef>
          </c:cat>
          <c:val>
            <c:numRef>
              <c:f>'lead timeLNB'!$X$65:$X$76</c:f>
              <c:numCache>
                <c:formatCode>[hh]:mm</c:formatCode>
                <c:ptCount val="12"/>
                <c:pt idx="0">
                  <c:v>0.125</c:v>
                </c:pt>
                <c:pt idx="1">
                  <c:v>0.125</c:v>
                </c:pt>
                <c:pt idx="2">
                  <c:v>0.125</c:v>
                </c:pt>
                <c:pt idx="3">
                  <c:v>0.125</c:v>
                </c:pt>
                <c:pt idx="4">
                  <c:v>0.125</c:v>
                </c:pt>
                <c:pt idx="5">
                  <c:v>0.125</c:v>
                </c:pt>
                <c:pt idx="6">
                  <c:v>0.125</c:v>
                </c:pt>
                <c:pt idx="7">
                  <c:v>0.125</c:v>
                </c:pt>
                <c:pt idx="8">
                  <c:v>0.125</c:v>
                </c:pt>
                <c:pt idx="9">
                  <c:v>0.125</c:v>
                </c:pt>
                <c:pt idx="10">
                  <c:v>0.125</c:v>
                </c:pt>
                <c:pt idx="11">
                  <c:v>0.125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'lead timeLNB'!$AB$9</c:f>
              <c:strCache>
                <c:ptCount val="1"/>
                <c:pt idx="0">
                  <c:v>objectif</c:v>
                </c:pt>
              </c:strCache>
            </c:strRef>
          </c:tx>
          <c:spPr>
            <a:ln w="60325">
              <a:solidFill>
                <a:srgbClr val="00B050"/>
              </a:solidFill>
            </a:ln>
          </c:spPr>
          <c:cat>
            <c:strRef>
              <c:f>'lead timeLNB'!$S$65:$S$76</c:f>
              <c:strCache>
                <c:ptCount val="12"/>
                <c:pt idx="0">
                  <c:v>J56</c:v>
                </c:pt>
                <c:pt idx="1">
                  <c:v>J57</c:v>
                </c:pt>
                <c:pt idx="2">
                  <c:v>J58</c:v>
                </c:pt>
                <c:pt idx="3">
                  <c:v>J59</c:v>
                </c:pt>
                <c:pt idx="4">
                  <c:v>J60</c:v>
                </c:pt>
                <c:pt idx="5">
                  <c:v>J61</c:v>
                </c:pt>
                <c:pt idx="6">
                  <c:v>J62</c:v>
                </c:pt>
                <c:pt idx="7">
                  <c:v>J63</c:v>
                </c:pt>
                <c:pt idx="8">
                  <c:v>J64</c:v>
                </c:pt>
                <c:pt idx="9">
                  <c:v>J65</c:v>
                </c:pt>
                <c:pt idx="10">
                  <c:v>J66</c:v>
                </c:pt>
                <c:pt idx="11">
                  <c:v>J67</c:v>
                </c:pt>
              </c:strCache>
            </c:strRef>
          </c:cat>
          <c:val>
            <c:numRef>
              <c:f>'lead timeLNB'!$AB$65:$AB$76</c:f>
              <c:numCache>
                <c:formatCode>[hh]:mm</c:formatCode>
                <c:ptCount val="12"/>
                <c:pt idx="0">
                  <c:v>0.62430555555895095</c:v>
                </c:pt>
                <c:pt idx="1">
                  <c:v>0.70833333333414172</c:v>
                </c:pt>
                <c:pt idx="2">
                  <c:v>0.69444444444363596</c:v>
                </c:pt>
                <c:pt idx="3">
                  <c:v>0.72152777777793942</c:v>
                </c:pt>
                <c:pt idx="4">
                  <c:v>0.64583333333414172</c:v>
                </c:pt>
                <c:pt idx="5">
                  <c:v>0.73263888888888884</c:v>
                </c:pt>
                <c:pt idx="6">
                  <c:v>0.60763888888888884</c:v>
                </c:pt>
                <c:pt idx="7">
                  <c:v>0.60763888888888884</c:v>
                </c:pt>
                <c:pt idx="8">
                  <c:v>0.60763888888888884</c:v>
                </c:pt>
                <c:pt idx="9">
                  <c:v>0.73263888888888884</c:v>
                </c:pt>
                <c:pt idx="10">
                  <c:v>0.60763888888888884</c:v>
                </c:pt>
                <c:pt idx="11">
                  <c:v>0.60763888888888884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826176"/>
        <c:axId val="187827712"/>
      </c:lineChart>
      <c:catAx>
        <c:axId val="187826176"/>
        <c:scaling>
          <c:orientation val="minMax"/>
        </c:scaling>
        <c:delete val="0"/>
        <c:axPos val="b"/>
        <c:numFmt formatCode="dd/mm/yyyy\ hh:mm" sourceLinked="1"/>
        <c:majorTickMark val="none"/>
        <c:minorTickMark val="none"/>
        <c:tickLblPos val="nextTo"/>
        <c:txPr>
          <a:bodyPr rot="-1860000" vert="horz"/>
          <a:lstStyle/>
          <a:p>
            <a:pPr>
              <a:defRPr sz="1800" b="1"/>
            </a:pPr>
            <a:endParaRPr lang="fr-FR"/>
          </a:p>
        </c:txPr>
        <c:crossAx val="187827712"/>
        <c:crosses val="autoZero"/>
        <c:auto val="1"/>
        <c:lblAlgn val="ctr"/>
        <c:lblOffset val="100"/>
        <c:tickLblSkip val="1"/>
        <c:noMultiLvlLbl val="0"/>
      </c:catAx>
      <c:valAx>
        <c:axId val="187827712"/>
        <c:scaling>
          <c:orientation val="minMax"/>
          <c:max val="1"/>
          <c:min val="0"/>
        </c:scaling>
        <c:delete val="0"/>
        <c:axPos val="l"/>
        <c:majorGridlines/>
        <c:numFmt formatCode="[hh]:mm" sourceLinked="1"/>
        <c:majorTickMark val="none"/>
        <c:minorTickMark val="none"/>
        <c:tickLblPos val="nextTo"/>
        <c:crossAx val="187826176"/>
        <c:crosses val="autoZero"/>
        <c:crossBetween val="between"/>
        <c:majorUnit val="8.3333000000000018E-2"/>
      </c:valAx>
    </c:plotArea>
    <c:legend>
      <c:legendPos val="r"/>
      <c:layout>
        <c:manualLayout>
          <c:xMode val="edge"/>
          <c:yMode val="edge"/>
          <c:x val="0.89430139337685788"/>
          <c:y val="0.47755666637176186"/>
          <c:w val="0.10569861429859971"/>
          <c:h val="0.17495401815231126"/>
        </c:manualLayout>
      </c:layout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37000000000000038" l="7.0000000000000021E-2" r="0.14000000000000001" t="0.33000000000000146" header="0.31496062992126223" footer="0.31496062992126223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/>
            </a:pPr>
            <a:r>
              <a:rPr lang="en-US" sz="2400"/>
              <a:t>Indicateur de performance purif LNB</a:t>
            </a:r>
          </a:p>
        </c:rich>
      </c:tx>
      <c:layout>
        <c:manualLayout>
          <c:xMode val="edge"/>
          <c:yMode val="edge"/>
          <c:x val="0.33465822135009149"/>
          <c:y val="3.358275564391660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4408982096885409E-2"/>
          <c:y val="0.16680771563726776"/>
          <c:w val="0.89808310431784266"/>
          <c:h val="0.705226779711715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'lead timeLNB'!$AP$9</c:f>
              <c:strCache>
                <c:ptCount val="1"/>
                <c:pt idx="0">
                  <c:v>Attente MAB</c:v>
                </c:pt>
              </c:strCache>
            </c:strRef>
          </c:tx>
          <c:spPr>
            <a:solidFill>
              <a:schemeClr val="tx2">
                <a:lumMod val="60000"/>
                <a:lumOff val="40000"/>
                <a:alpha val="55000"/>
              </a:schemeClr>
            </a:solidFill>
          </c:spPr>
          <c:invertIfNegative val="0"/>
          <c:dLbls>
            <c:numFmt formatCode="[hh]:mm" sourceLinked="0"/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('lead timeLNB'!$AF$62,'lead timeLNB'!$AF$64,'lead timeLNB'!$AF$66,'lead timeLNB'!$AF$68,'lead timeLNB'!$AF$70,'lead timeLNB'!$AF$72,'lead timeLNB'!$AF$74,'lead timeLNB'!$AF$76)</c:f>
              <c:strCache>
                <c:ptCount val="7"/>
                <c:pt idx="0">
                  <c:v>Lot 27</c:v>
                </c:pt>
                <c:pt idx="1">
                  <c:v>Lot 28</c:v>
                </c:pt>
                <c:pt idx="2">
                  <c:v>Lot 29</c:v>
                </c:pt>
                <c:pt idx="3">
                  <c:v>Lot 30</c:v>
                </c:pt>
                <c:pt idx="4">
                  <c:v>Lot 31</c:v>
                </c:pt>
                <c:pt idx="5">
                  <c:v>Lot 32</c:v>
                </c:pt>
                <c:pt idx="6">
                  <c:v>Lot 33</c:v>
                </c:pt>
              </c:strCache>
            </c:strRef>
          </c:cat>
          <c:val>
            <c:numRef>
              <c:f>('lead timeLNB'!$AP$62,'lead timeLNB'!$AP$64,'lead timeLNB'!$AP$66,'lead timeLNB'!$AP$68,'lead timeLNB'!$AP$70,'lead timeLNB'!$AP$72,'lead timeLNB'!$AP$74,'lead timeLNB'!$AP$76)</c:f>
              <c:numCache>
                <c:formatCode>[hh]:mm</c:formatCode>
                <c:ptCount val="7"/>
                <c:pt idx="0">
                  <c:v>0.16527777777777777</c:v>
                </c:pt>
                <c:pt idx="1">
                  <c:v>-9.0277777756758298E-3</c:v>
                </c:pt>
                <c:pt idx="2">
                  <c:v>2.4253238306570779E-12</c:v>
                </c:pt>
                <c:pt idx="3">
                  <c:v>2.4253238306570779E-12</c:v>
                </c:pt>
                <c:pt idx="4">
                  <c:v>2.4253238306570779E-12</c:v>
                </c:pt>
                <c:pt idx="5">
                  <c:v>2.4253238306570779E-12</c:v>
                </c:pt>
                <c:pt idx="6">
                  <c:v>2.4253238306570779E-12</c:v>
                </c:pt>
              </c:numCache>
            </c:numRef>
          </c:val>
        </c:ser>
        <c:ser>
          <c:idx val="1"/>
          <c:order val="1"/>
          <c:tx>
            <c:strRef>
              <c:f>'lead timeLNB'!$AQ$9</c:f>
              <c:strCache>
                <c:ptCount val="1"/>
                <c:pt idx="0">
                  <c:v>Attente MOQ 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sz="1600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('lead timeLNB'!$AF$62,'lead timeLNB'!$AF$64,'lead timeLNB'!$AF$66,'lead timeLNB'!$AF$68,'lead timeLNB'!$AF$70,'lead timeLNB'!$AF$72,'lead timeLNB'!$AF$74,'lead timeLNB'!$AF$76)</c:f>
              <c:strCache>
                <c:ptCount val="7"/>
                <c:pt idx="0">
                  <c:v>Lot 27</c:v>
                </c:pt>
                <c:pt idx="1">
                  <c:v>Lot 28</c:v>
                </c:pt>
                <c:pt idx="2">
                  <c:v>Lot 29</c:v>
                </c:pt>
                <c:pt idx="3">
                  <c:v>Lot 30</c:v>
                </c:pt>
                <c:pt idx="4">
                  <c:v>Lot 31</c:v>
                </c:pt>
                <c:pt idx="5">
                  <c:v>Lot 32</c:v>
                </c:pt>
                <c:pt idx="6">
                  <c:v>Lot 33</c:v>
                </c:pt>
              </c:strCache>
            </c:strRef>
          </c:cat>
          <c:val>
            <c:numRef>
              <c:f>('lead timeLNB'!$AQ$62,'lead timeLNB'!$AQ$64,'lead timeLNB'!$AQ$66,'lead timeLNB'!$AQ$68,'lead timeLNB'!$AQ$70,'lead timeLNB'!$AQ$72,'lead timeLNB'!$AQ$74,'lead timeLNB'!$AQ$76)</c:f>
              <c:numCache>
                <c:formatCode>[hh]:mm</c:formatCode>
                <c:ptCount val="7"/>
                <c:pt idx="0">
                  <c:v>1.3194444443797693E-2</c:v>
                </c:pt>
                <c:pt idx="1">
                  <c:v>-0.11388888888177462</c:v>
                </c:pt>
                <c:pt idx="2">
                  <c:v>0.17361111110949423</c:v>
                </c:pt>
                <c:pt idx="3">
                  <c:v>0.16666666666424135</c:v>
                </c:pt>
                <c:pt idx="4">
                  <c:v>-8.7499999986903276E-2</c:v>
                </c:pt>
                <c:pt idx="5">
                  <c:v>-0.18055555555474712</c:v>
                </c:pt>
                <c:pt idx="6">
                  <c:v>0.14583333332848269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95"/>
        <c:overlap val="100"/>
        <c:axId val="187883904"/>
        <c:axId val="187885440"/>
      </c:barChart>
      <c:lineChart>
        <c:grouping val="standard"/>
        <c:varyColors val="0"/>
        <c:ser>
          <c:idx val="2"/>
          <c:order val="2"/>
          <c:tx>
            <c:strRef>
              <c:f>'lead timeLNB'!$BA$9</c:f>
              <c:strCache>
                <c:ptCount val="1"/>
                <c:pt idx="0">
                  <c:v>limite alarme: evaluation si 3 eme chgt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('lead timeLNB'!$AF$62,'lead timeLNB'!$AF$64,'lead timeLNB'!$AF$66,'lead timeLNB'!$AF$68,'lead timeLNB'!$AF$70,'lead timeLNB'!$AF$72,'lead timeLNB'!$AF$74,'lead timeLNB'!$AF$76)</c:f>
              <c:strCache>
                <c:ptCount val="7"/>
                <c:pt idx="0">
                  <c:v>Lot 27</c:v>
                </c:pt>
                <c:pt idx="1">
                  <c:v>Lot 28</c:v>
                </c:pt>
                <c:pt idx="2">
                  <c:v>Lot 29</c:v>
                </c:pt>
                <c:pt idx="3">
                  <c:v>Lot 30</c:v>
                </c:pt>
                <c:pt idx="4">
                  <c:v>Lot 31</c:v>
                </c:pt>
                <c:pt idx="5">
                  <c:v>Lot 32</c:v>
                </c:pt>
                <c:pt idx="6">
                  <c:v>Lot 33</c:v>
                </c:pt>
              </c:strCache>
            </c:strRef>
          </c:cat>
          <c:val>
            <c:numRef>
              <c:f>('lead timeLNB'!$BA$62,'lead timeLNB'!$BA$64,'lead timeLNB'!$BA$66,'lead timeLNB'!$BA$68,'lead timeLNB'!$BA$70,'lead timeLNB'!$BA$72,'lead timeLNB'!$BA$74,'lead timeLNB'!$BA$76)</c:f>
              <c:numCache>
                <c:formatCode>[hh]:mm</c:formatCode>
                <c:ptCount val="7"/>
                <c:pt idx="0">
                  <c:v>1.2479166666671517</c:v>
                </c:pt>
                <c:pt idx="1">
                  <c:v>1.2361111111094942</c:v>
                </c:pt>
                <c:pt idx="2">
                  <c:v>1.4659722222228688</c:v>
                </c:pt>
                <c:pt idx="3">
                  <c:v>1.7708333333333333</c:v>
                </c:pt>
                <c:pt idx="4">
                  <c:v>1.7708333333284827</c:v>
                </c:pt>
                <c:pt idx="5">
                  <c:v>1.2708333333430346</c:v>
                </c:pt>
                <c:pt idx="6">
                  <c:v>0.91666666666424135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'lead timeLNB'!$AZ$9</c:f>
              <c:strCache>
                <c:ptCount val="1"/>
                <c:pt idx="0">
                  <c:v>limite alerte: croisement AA  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('lead timeLNB'!$AF$62,'lead timeLNB'!$AF$64,'lead timeLNB'!$AF$66,'lead timeLNB'!$AF$68,'lead timeLNB'!$AF$70,'lead timeLNB'!$AF$72,'lead timeLNB'!$AF$74,'lead timeLNB'!$AF$76)</c:f>
              <c:strCache>
                <c:ptCount val="7"/>
                <c:pt idx="0">
                  <c:v>Lot 27</c:v>
                </c:pt>
                <c:pt idx="1">
                  <c:v>Lot 28</c:v>
                </c:pt>
                <c:pt idx="2">
                  <c:v>Lot 29</c:v>
                </c:pt>
                <c:pt idx="3">
                  <c:v>Lot 30</c:v>
                </c:pt>
                <c:pt idx="4">
                  <c:v>Lot 31</c:v>
                </c:pt>
                <c:pt idx="5">
                  <c:v>Lot 32</c:v>
                </c:pt>
                <c:pt idx="6">
                  <c:v>Lot 33</c:v>
                </c:pt>
              </c:strCache>
            </c:strRef>
          </c:cat>
          <c:val>
            <c:numRef>
              <c:f>('lead timeLNB'!$AZ$62,'lead timeLNB'!$AZ$64,'lead timeLNB'!$AZ$66,'lead timeLNB'!$AZ$68,'lead timeLNB'!$AZ$70,'lead timeLNB'!$AZ$72,'lead timeLNB'!$AZ$74,'lead timeLNB'!$AZ$76)</c:f>
              <c:numCache>
                <c:formatCode>h:mm</c:formatCode>
                <c:ptCount val="7"/>
                <c:pt idx="0">
                  <c:v>0.79166666666666663</c:v>
                </c:pt>
                <c:pt idx="1">
                  <c:v>0.79166666666666663</c:v>
                </c:pt>
                <c:pt idx="2">
                  <c:v>0.79166666666666663</c:v>
                </c:pt>
                <c:pt idx="3">
                  <c:v>0.79166666666666663</c:v>
                </c:pt>
                <c:pt idx="4">
                  <c:v>0.79166666666666663</c:v>
                </c:pt>
                <c:pt idx="5">
                  <c:v>0.875</c:v>
                </c:pt>
                <c:pt idx="6">
                  <c:v>0.875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'lead timeLNB'!$AY$9</c:f>
              <c:strCache>
                <c:ptCount val="1"/>
                <c:pt idx="0">
                  <c:v>Temps sur la MOQ VS CC</c:v>
                </c:pt>
              </c:strCache>
            </c:strRef>
          </c:tx>
          <c:spPr>
            <a:ln w="22225"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strRef>
              <c:f>('lead timeLNB'!$AF$62,'lead timeLNB'!$AF$64,'lead timeLNB'!$AF$66,'lead timeLNB'!$AF$68,'lead timeLNB'!$AF$70,'lead timeLNB'!$AF$72,'lead timeLNB'!$AF$74,'lead timeLNB'!$AF$76)</c:f>
              <c:strCache>
                <c:ptCount val="7"/>
                <c:pt idx="0">
                  <c:v>Lot 27</c:v>
                </c:pt>
                <c:pt idx="1">
                  <c:v>Lot 28</c:v>
                </c:pt>
                <c:pt idx="2">
                  <c:v>Lot 29</c:v>
                </c:pt>
                <c:pt idx="3">
                  <c:v>Lot 30</c:v>
                </c:pt>
                <c:pt idx="4">
                  <c:v>Lot 31</c:v>
                </c:pt>
                <c:pt idx="5">
                  <c:v>Lot 32</c:v>
                </c:pt>
                <c:pt idx="6">
                  <c:v>Lot 33</c:v>
                </c:pt>
              </c:strCache>
            </c:strRef>
          </c:cat>
          <c:val>
            <c:numRef>
              <c:f>('lead timeLNB'!$AY$62,'lead timeLNB'!$AY$64,'lead timeLNB'!$AY$66,'lead timeLNB'!$AY$68,'lead timeLNB'!$AY$70,'lead timeLNB'!$AY$72,'lead timeLNB'!$AY$74,'lead timeLNB'!$AY$76)</c:f>
              <c:numCache>
                <c:formatCode>[hh]:mm</c:formatCode>
                <c:ptCount val="7"/>
                <c:pt idx="0">
                  <c:v>0.12708333333284827</c:v>
                </c:pt>
                <c:pt idx="1">
                  <c:v>8.611111110803904E-2</c:v>
                </c:pt>
                <c:pt idx="2">
                  <c:v>0.25763888888711017</c:v>
                </c:pt>
                <c:pt idx="3">
                  <c:v>0.56249999999757461</c:v>
                </c:pt>
                <c:pt idx="4">
                  <c:v>0.47500000000582077</c:v>
                </c:pt>
                <c:pt idx="5">
                  <c:v>0.11805555554747116</c:v>
                </c:pt>
                <c:pt idx="6">
                  <c:v>0.29166666667151731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883904"/>
        <c:axId val="187885440"/>
      </c:lineChart>
      <c:catAx>
        <c:axId val="187883904"/>
        <c:scaling>
          <c:orientation val="minMax"/>
        </c:scaling>
        <c:delete val="0"/>
        <c:axPos val="b"/>
        <c:numFmt formatCode="dd/mm/yyyy\ hh:mm" sourceLinked="1"/>
        <c:majorTickMark val="none"/>
        <c:minorTickMark val="none"/>
        <c:tickLblPos val="nextTo"/>
        <c:txPr>
          <a:bodyPr rot="-1860000" vert="horz"/>
          <a:lstStyle/>
          <a:p>
            <a:pPr>
              <a:defRPr sz="1400" b="1"/>
            </a:pPr>
            <a:endParaRPr lang="fr-FR"/>
          </a:p>
        </c:txPr>
        <c:crossAx val="187885440"/>
        <c:crosses val="autoZero"/>
        <c:auto val="1"/>
        <c:lblAlgn val="ctr"/>
        <c:lblOffset val="100"/>
        <c:tickLblSkip val="1"/>
        <c:noMultiLvlLbl val="0"/>
      </c:catAx>
      <c:valAx>
        <c:axId val="187885440"/>
        <c:scaling>
          <c:orientation val="minMax"/>
          <c:min val="0"/>
        </c:scaling>
        <c:delete val="0"/>
        <c:axPos val="l"/>
        <c:majorGridlines/>
        <c:numFmt formatCode="[hh]:mm" sourceLinked="0"/>
        <c:majorTickMark val="none"/>
        <c:minorTickMark val="none"/>
        <c:tickLblPos val="nextTo"/>
        <c:crossAx val="187883904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200" b="1"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37000000000000038" l="7.0000000000000021E-2" r="0.14000000000000001" t="0.33000000000000157" header="0.31496062992126428" footer="0.31496062992126428"/>
    <c:pageSetup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89555384619397"/>
          <c:y val="5.5555529785580926E-2"/>
          <c:w val="0.50920866141732279"/>
          <c:h val="0.83309419655876349"/>
        </c:manualLayout>
      </c:layout>
      <c:barChart>
        <c:barDir val="bar"/>
        <c:grouping val="clustered"/>
        <c:varyColors val="0"/>
        <c:ser>
          <c:idx val="1"/>
          <c:order val="0"/>
          <c:tx>
            <c:v>Charge 9</c:v>
          </c:tx>
          <c:invertIfNegative val="0"/>
          <c:val>
            <c:numRef>
              <c:f>'Charges chromato'!$F$7:$F$83</c:f>
              <c:numCache>
                <c:formatCode>m/d/yyyy\ h:mm</c:formatCode>
                <c:ptCount val="77"/>
                <c:pt idx="0">
                  <c:v>42212.355555555558</c:v>
                </c:pt>
                <c:pt idx="1">
                  <c:v>42213.022222222222</c:v>
                </c:pt>
                <c:pt idx="2">
                  <c:v>42213.657638888893</c:v>
                </c:pt>
                <c:pt idx="3">
                  <c:v>42214.316666666666</c:v>
                </c:pt>
                <c:pt idx="4">
                  <c:v>42214.979166666672</c:v>
                </c:pt>
                <c:pt idx="5">
                  <c:v>42215.65625</c:v>
                </c:pt>
                <c:pt idx="6">
                  <c:v>42216.381944444445</c:v>
                </c:pt>
                <c:pt idx="7">
                  <c:v>42217.000694444447</c:v>
                </c:pt>
                <c:pt idx="8">
                  <c:v>42217.878472222226</c:v>
                </c:pt>
                <c:pt idx="9">
                  <c:v>42218.478472222225</c:v>
                </c:pt>
                <c:pt idx="10">
                  <c:v>42219.070833333339</c:v>
                </c:pt>
                <c:pt idx="11">
                  <c:v>42219.786805555559</c:v>
                </c:pt>
                <c:pt idx="12">
                  <c:v>42220.45416666667</c:v>
                </c:pt>
                <c:pt idx="13">
                  <c:v>42221.130555555559</c:v>
                </c:pt>
                <c:pt idx="14">
                  <c:v>42221.761805555558</c:v>
                </c:pt>
                <c:pt idx="15">
                  <c:v>42222.419444444444</c:v>
                </c:pt>
                <c:pt idx="16">
                  <c:v>42223.080555555556</c:v>
                </c:pt>
                <c:pt idx="17">
                  <c:v>42223.720138888893</c:v>
                </c:pt>
                <c:pt idx="18">
                  <c:v>42224.585416666669</c:v>
                </c:pt>
                <c:pt idx="19">
                  <c:v>42225.181944444448</c:v>
                </c:pt>
                <c:pt idx="20">
                  <c:v>42225.780555555561</c:v>
                </c:pt>
                <c:pt idx="21">
                  <c:v>42226.381250000006</c:v>
                </c:pt>
                <c:pt idx="22">
                  <c:v>42226.98541666667</c:v>
                </c:pt>
                <c:pt idx="23">
                  <c:v>42227.631250000006</c:v>
                </c:pt>
                <c:pt idx="24">
                  <c:v>42228.309722222228</c:v>
                </c:pt>
                <c:pt idx="25">
                  <c:v>42228.940972222226</c:v>
                </c:pt>
                <c:pt idx="26">
                  <c:v>42229.609722222223</c:v>
                </c:pt>
                <c:pt idx="27">
                  <c:v>42230.279861111114</c:v>
                </c:pt>
                <c:pt idx="28">
                  <c:v>42231.112500000003</c:v>
                </c:pt>
                <c:pt idx="29">
                  <c:v>42231.716666666667</c:v>
                </c:pt>
                <c:pt idx="30">
                  <c:v>42232.303472222222</c:v>
                </c:pt>
                <c:pt idx="31">
                  <c:v>42232.901388888895</c:v>
                </c:pt>
                <c:pt idx="32">
                  <c:v>42233.566666666666</c:v>
                </c:pt>
                <c:pt idx="33">
                  <c:v>42234.213888888895</c:v>
                </c:pt>
                <c:pt idx="34">
                  <c:v>42235.495833333334</c:v>
                </c:pt>
                <c:pt idx="35">
                  <c:v>42235.953472222223</c:v>
                </c:pt>
                <c:pt idx="36">
                  <c:v>42236.395138888889</c:v>
                </c:pt>
                <c:pt idx="37">
                  <c:v>42237.176388888889</c:v>
                </c:pt>
                <c:pt idx="38">
                  <c:v>42238.104861111111</c:v>
                </c:pt>
                <c:pt idx="39">
                  <c:v>42239.259722222225</c:v>
                </c:pt>
                <c:pt idx="40">
                  <c:v>42240.154861111114</c:v>
                </c:pt>
                <c:pt idx="41">
                  <c:v>42241.039583333339</c:v>
                </c:pt>
                <c:pt idx="42">
                  <c:v>42241.970833333333</c:v>
                </c:pt>
                <c:pt idx="43">
                  <c:v>42242.965277777781</c:v>
                </c:pt>
                <c:pt idx="44">
                  <c:v>42243.819444444445</c:v>
                </c:pt>
                <c:pt idx="45">
                  <c:v>42244.423611111117</c:v>
                </c:pt>
                <c:pt idx="46">
                  <c:v>42245.000694444447</c:v>
                </c:pt>
                <c:pt idx="47">
                  <c:v>42245.611111111117</c:v>
                </c:pt>
                <c:pt idx="48">
                  <c:v>42246.246527777781</c:v>
                </c:pt>
                <c:pt idx="49">
                  <c:v>42246.849305555559</c:v>
                </c:pt>
                <c:pt idx="50">
                  <c:v>42247.509027777778</c:v>
                </c:pt>
                <c:pt idx="51">
                  <c:v>42248.118055555555</c:v>
                </c:pt>
                <c:pt idx="52">
                  <c:v>42248.712500000001</c:v>
                </c:pt>
                <c:pt idx="53">
                  <c:v>42249.348611111112</c:v>
                </c:pt>
                <c:pt idx="54">
                  <c:v>42250.23819444445</c:v>
                </c:pt>
                <c:pt idx="55">
                  <c:v>42250.834027777782</c:v>
                </c:pt>
                <c:pt idx="56">
                  <c:v>42251.438888888893</c:v>
                </c:pt>
                <c:pt idx="57">
                  <c:v>42252.020138888889</c:v>
                </c:pt>
                <c:pt idx="58">
                  <c:v>42252.523611111115</c:v>
                </c:pt>
                <c:pt idx="59">
                  <c:v>42253.131250000006</c:v>
                </c:pt>
                <c:pt idx="60">
                  <c:v>42253.926388888896</c:v>
                </c:pt>
                <c:pt idx="61">
                  <c:v>42254.593749999993</c:v>
                </c:pt>
                <c:pt idx="62">
                  <c:v>42255.479166666657</c:v>
                </c:pt>
                <c:pt idx="63">
                  <c:v>42256.086805555547</c:v>
                </c:pt>
                <c:pt idx="64">
                  <c:v>42256.677083333336</c:v>
                </c:pt>
                <c:pt idx="65">
                  <c:v>42257.149305555555</c:v>
                </c:pt>
                <c:pt idx="66">
                  <c:v>-4.1666666666666664E-2</c:v>
                </c:pt>
                <c:pt idx="67">
                  <c:v>-4.1666666666666664E-2</c:v>
                </c:pt>
                <c:pt idx="68">
                  <c:v>-4.1666666666666664E-2</c:v>
                </c:pt>
                <c:pt idx="69">
                  <c:v>-4.1666666666666664E-2</c:v>
                </c:pt>
                <c:pt idx="70">
                  <c:v>-4.1666666666666664E-2</c:v>
                </c:pt>
                <c:pt idx="71">
                  <c:v>-4.1666666666666664E-2</c:v>
                </c:pt>
                <c:pt idx="72">
                  <c:v>-4.1666666666666664E-2</c:v>
                </c:pt>
                <c:pt idx="73">
                  <c:v>-4.1666666666666664E-2</c:v>
                </c:pt>
                <c:pt idx="74">
                  <c:v>-4.1666666666666664E-2</c:v>
                </c:pt>
                <c:pt idx="75">
                  <c:v>-4.1666666666666664E-2</c:v>
                </c:pt>
                <c:pt idx="76">
                  <c:v>-4.1666666666666664E-2</c:v>
                </c:pt>
              </c:numCache>
            </c:numRef>
          </c:val>
        </c:ser>
        <c:ser>
          <c:idx val="0"/>
          <c:order val="1"/>
          <c:tx>
            <c:strRef>
              <c:f>'Charges chromato'!$E$3</c:f>
              <c:strCache>
                <c:ptCount val="1"/>
                <c:pt idx="0">
                  <c:v>Sortie 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val>
            <c:numRef>
              <c:f>'Charges chromato'!$E$7:$E$84</c:f>
              <c:numCache>
                <c:formatCode>m/d/yyyy\ h:mm</c:formatCode>
                <c:ptCount val="78"/>
                <c:pt idx="0">
                  <c:v>42211.534027777772</c:v>
                </c:pt>
                <c:pt idx="1">
                  <c:v>42212.563888888886</c:v>
                </c:pt>
                <c:pt idx="2">
                  <c:v>42213.23055555555</c:v>
                </c:pt>
                <c:pt idx="3">
                  <c:v>42213.865972222222</c:v>
                </c:pt>
                <c:pt idx="4">
                  <c:v>42214.524999999994</c:v>
                </c:pt>
                <c:pt idx="5">
                  <c:v>42215.1875</c:v>
                </c:pt>
                <c:pt idx="6">
                  <c:v>42215.864583333328</c:v>
                </c:pt>
                <c:pt idx="7">
                  <c:v>42216.590277777774</c:v>
                </c:pt>
                <c:pt idx="8">
                  <c:v>42217.209027777775</c:v>
                </c:pt>
                <c:pt idx="9">
                  <c:v>42218.086805555555</c:v>
                </c:pt>
                <c:pt idx="10">
                  <c:v>42218.686805555553</c:v>
                </c:pt>
                <c:pt idx="11">
                  <c:v>42219.279166666667</c:v>
                </c:pt>
                <c:pt idx="12">
                  <c:v>42219.995138888888</c:v>
                </c:pt>
                <c:pt idx="13">
                  <c:v>42220.662499999999</c:v>
                </c:pt>
                <c:pt idx="14">
                  <c:v>42221.338888888888</c:v>
                </c:pt>
                <c:pt idx="15">
                  <c:v>42221.970138888886</c:v>
                </c:pt>
                <c:pt idx="16">
                  <c:v>42222.627777777772</c:v>
                </c:pt>
                <c:pt idx="17">
                  <c:v>42223.288888888885</c:v>
                </c:pt>
                <c:pt idx="18">
                  <c:v>42223.928472222222</c:v>
                </c:pt>
                <c:pt idx="19">
                  <c:v>42224.793749999997</c:v>
                </c:pt>
                <c:pt idx="20">
                  <c:v>42225.390277777777</c:v>
                </c:pt>
                <c:pt idx="21">
                  <c:v>42225.988888888889</c:v>
                </c:pt>
                <c:pt idx="22">
                  <c:v>42226.589583333334</c:v>
                </c:pt>
                <c:pt idx="23">
                  <c:v>42227.193749999999</c:v>
                </c:pt>
                <c:pt idx="24">
                  <c:v>42227.839583333334</c:v>
                </c:pt>
                <c:pt idx="25">
                  <c:v>42228.518055555556</c:v>
                </c:pt>
                <c:pt idx="26">
                  <c:v>42229.149305555555</c:v>
                </c:pt>
                <c:pt idx="27">
                  <c:v>42229.818055555552</c:v>
                </c:pt>
                <c:pt idx="28">
                  <c:v>42230.488194444442</c:v>
                </c:pt>
                <c:pt idx="29">
                  <c:v>42231.320833333331</c:v>
                </c:pt>
                <c:pt idx="30">
                  <c:v>42231.924999999996</c:v>
                </c:pt>
                <c:pt idx="31">
                  <c:v>42232.51180555555</c:v>
                </c:pt>
                <c:pt idx="32">
                  <c:v>42233.109722222223</c:v>
                </c:pt>
                <c:pt idx="33">
                  <c:v>42233.774999999994</c:v>
                </c:pt>
                <c:pt idx="34">
                  <c:v>42234.422222222223</c:v>
                </c:pt>
                <c:pt idx="35">
                  <c:v>42235.704166666663</c:v>
                </c:pt>
                <c:pt idx="36">
                  <c:v>42236.161805555552</c:v>
                </c:pt>
                <c:pt idx="37">
                  <c:v>42236.603472222218</c:v>
                </c:pt>
                <c:pt idx="38">
                  <c:v>42237.384722222218</c:v>
                </c:pt>
                <c:pt idx="39">
                  <c:v>42238.313194444439</c:v>
                </c:pt>
                <c:pt idx="40">
                  <c:v>42239.468055555553</c:v>
                </c:pt>
                <c:pt idx="41">
                  <c:v>42240.363194444442</c:v>
                </c:pt>
                <c:pt idx="42">
                  <c:v>42241.247916666667</c:v>
                </c:pt>
                <c:pt idx="43">
                  <c:v>42242.179166666661</c:v>
                </c:pt>
                <c:pt idx="44">
                  <c:v>42243.173611111109</c:v>
                </c:pt>
                <c:pt idx="45">
                  <c:v>42244.027777777774</c:v>
                </c:pt>
                <c:pt idx="46">
                  <c:v>42244.631944444445</c:v>
                </c:pt>
                <c:pt idx="47">
                  <c:v>42245.209027777775</c:v>
                </c:pt>
                <c:pt idx="48">
                  <c:v>42245.819444444445</c:v>
                </c:pt>
                <c:pt idx="49">
                  <c:v>42246.454861111109</c:v>
                </c:pt>
                <c:pt idx="50">
                  <c:v>42247.057638888888</c:v>
                </c:pt>
                <c:pt idx="51">
                  <c:v>42247.717361111107</c:v>
                </c:pt>
                <c:pt idx="52">
                  <c:v>42248.326388888883</c:v>
                </c:pt>
                <c:pt idx="53">
                  <c:v>42248.92083333333</c:v>
                </c:pt>
                <c:pt idx="54">
                  <c:v>42249.556944444441</c:v>
                </c:pt>
                <c:pt idx="55">
                  <c:v>42250.446527777778</c:v>
                </c:pt>
                <c:pt idx="56">
                  <c:v>42251.042361111111</c:v>
                </c:pt>
                <c:pt idx="57">
                  <c:v>42251.647222222222</c:v>
                </c:pt>
                <c:pt idx="58">
                  <c:v>42252.228472222218</c:v>
                </c:pt>
                <c:pt idx="59">
                  <c:v>42252.731944444444</c:v>
                </c:pt>
                <c:pt idx="60">
                  <c:v>42253.339583333334</c:v>
                </c:pt>
                <c:pt idx="61">
                  <c:v>42254.134722222225</c:v>
                </c:pt>
                <c:pt idx="62">
                  <c:v>42254.802083333321</c:v>
                </c:pt>
                <c:pt idx="63">
                  <c:v>42255.687499999985</c:v>
                </c:pt>
                <c:pt idx="64">
                  <c:v>42256.295138888876</c:v>
                </c:pt>
                <c:pt idx="65">
                  <c:v>42256.885416666664</c:v>
                </c:pt>
                <c:pt idx="66">
                  <c:v>42257.357638888883</c:v>
                </c:pt>
                <c:pt idx="67">
                  <c:v>0.16666666666666666</c:v>
                </c:pt>
                <c:pt idx="68">
                  <c:v>0.16666666666666666</c:v>
                </c:pt>
                <c:pt idx="69">
                  <c:v>0.16666666666666666</c:v>
                </c:pt>
                <c:pt idx="70">
                  <c:v>0.16666666666666666</c:v>
                </c:pt>
                <c:pt idx="71">
                  <c:v>0.16666666666666666</c:v>
                </c:pt>
                <c:pt idx="72">
                  <c:v>0.16666666666666666</c:v>
                </c:pt>
                <c:pt idx="73">
                  <c:v>0.16666666666666666</c:v>
                </c:pt>
                <c:pt idx="74">
                  <c:v>0.16666666666666666</c:v>
                </c:pt>
                <c:pt idx="75">
                  <c:v>0.16666666666666666</c:v>
                </c:pt>
                <c:pt idx="76">
                  <c:v>0.16666666666666666</c:v>
                </c:pt>
                <c:pt idx="77">
                  <c:v>0.16666666666666666</c:v>
                </c:pt>
              </c:numCache>
            </c:numRef>
          </c:val>
        </c:ser>
        <c:ser>
          <c:idx val="2"/>
          <c:order val="2"/>
          <c:tx>
            <c:strRef>
              <c:f>'Charges chromato'!$G$2:$H$2</c:f>
              <c:strCache>
                <c:ptCount val="1"/>
                <c:pt idx="0">
                  <c:v>CHARGE 8</c:v>
                </c:pt>
              </c:strCache>
            </c:strRef>
          </c:tx>
          <c:invertIfNegative val="0"/>
          <c:val>
            <c:numRef>
              <c:f>('Charges chromato'!$H$10,'Charges chromato'!$H$12,'Charges chromato'!$H$14,'Charges chromato'!$H$16,'Charges chromato'!$H$18,'Charges chromato'!$H$20,'Charges chromato'!$H$22,'Charges chromato'!$H$24,'Charges chromato'!$H$26,'Charges chromato'!$H$28,'Charges chromato'!$H$30,'Charges chromato'!$H$32,'Charges chromato'!$H$34,'Charges chromato'!$H$36,'Charges chromato'!$H$38,'Charges chromato'!$H$40)</c:f>
              <c:numCache>
                <c:formatCode>m/d/yyyy\ h:mm</c:formatCode>
                <c:ptCount val="16"/>
                <c:pt idx="0">
                  <c:v>42214.784722222226</c:v>
                </c:pt>
                <c:pt idx="1">
                  <c:v>42216.049305555556</c:v>
                </c:pt>
                <c:pt idx="2">
                  <c:v>42217.415277777778</c:v>
                </c:pt>
                <c:pt idx="3">
                  <c:v>42218.768750000003</c:v>
                </c:pt>
                <c:pt idx="4">
                  <c:v>42220.23541666667</c:v>
                </c:pt>
                <c:pt idx="5">
                  <c:v>42221.53402777778</c:v>
                </c:pt>
                <c:pt idx="6">
                  <c:v>42222.90902777778</c:v>
                </c:pt>
                <c:pt idx="7">
                  <c:v>42224.206250000003</c:v>
                </c:pt>
                <c:pt idx="8">
                  <c:v>42225.532638888893</c:v>
                </c:pt>
                <c:pt idx="9">
                  <c:v>42226.962500000001</c:v>
                </c:pt>
                <c:pt idx="10">
                  <c:v>42228.145138888889</c:v>
                </c:pt>
                <c:pt idx="11">
                  <c:v>42229.373611111114</c:v>
                </c:pt>
                <c:pt idx="12">
                  <c:v>42230.692361111112</c:v>
                </c:pt>
                <c:pt idx="13">
                  <c:v>42232.173611111117</c:v>
                </c:pt>
                <c:pt idx="14">
                  <c:v>42233.465277777781</c:v>
                </c:pt>
                <c:pt idx="15">
                  <c:v>42234.628472222226</c:v>
                </c:pt>
              </c:numCache>
            </c:numRef>
          </c:val>
        </c:ser>
        <c:ser>
          <c:idx val="3"/>
          <c:order val="3"/>
          <c:tx>
            <c:strRef>
              <c:f>'Charges chromato'!$G$3</c:f>
              <c:strCache>
                <c:ptCount val="1"/>
                <c:pt idx="0">
                  <c:v>Sortie 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val>
            <c:numRef>
              <c:f>('Charges chromato'!$G$10,'Charges chromato'!$G$12,'Charges chromato'!$G$14,'Charges chromato'!$G$16,'Charges chromato'!$G$18,'Charges chromato'!$G$20,'Charges chromato'!$G$22,'Charges chromato'!$G$24,'Charges chromato'!$G$26,'Charges chromato'!$G$28,'Charges chromato'!$G$30,'Charges chromato'!$G$32,'Charges chromato'!$G$34,'Charges chromato'!$G$36,'Charges chromato'!$G$38,'Charges chromato'!$G$40)</c:f>
              <c:numCache>
                <c:formatCode>m/d/yyyy\ h:mm</c:formatCode>
                <c:ptCount val="16"/>
                <c:pt idx="0">
                  <c:v>42214.034722222226</c:v>
                </c:pt>
                <c:pt idx="1">
                  <c:v>42215.299305555556</c:v>
                </c:pt>
                <c:pt idx="2">
                  <c:v>42216.665277777778</c:v>
                </c:pt>
                <c:pt idx="3">
                  <c:v>42218.018750000003</c:v>
                </c:pt>
                <c:pt idx="4">
                  <c:v>42219.48541666667</c:v>
                </c:pt>
                <c:pt idx="5">
                  <c:v>42220.78402777778</c:v>
                </c:pt>
                <c:pt idx="6">
                  <c:v>42222.15902777778</c:v>
                </c:pt>
                <c:pt idx="7">
                  <c:v>42223.456250000003</c:v>
                </c:pt>
                <c:pt idx="8">
                  <c:v>42224.782638888893</c:v>
                </c:pt>
                <c:pt idx="9">
                  <c:v>42226.212500000001</c:v>
                </c:pt>
                <c:pt idx="10">
                  <c:v>42227.395138888889</c:v>
                </c:pt>
                <c:pt idx="11">
                  <c:v>42228.623611111114</c:v>
                </c:pt>
                <c:pt idx="12">
                  <c:v>42229.942361111112</c:v>
                </c:pt>
                <c:pt idx="13">
                  <c:v>42231.423611111117</c:v>
                </c:pt>
                <c:pt idx="14">
                  <c:v>42232.715277777781</c:v>
                </c:pt>
                <c:pt idx="15">
                  <c:v>42233.878472222226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943936"/>
        <c:axId val="183945472"/>
      </c:barChart>
      <c:catAx>
        <c:axId val="183943936"/>
        <c:scaling>
          <c:orientation val="minMax"/>
        </c:scaling>
        <c:delete val="0"/>
        <c:axPos val="l"/>
        <c:majorTickMark val="out"/>
        <c:minorTickMark val="none"/>
        <c:tickLblPos val="nextTo"/>
        <c:crossAx val="183945472"/>
        <c:crosses val="autoZero"/>
        <c:auto val="1"/>
        <c:lblAlgn val="ctr"/>
        <c:lblOffset val="100"/>
        <c:noMultiLvlLbl val="0"/>
      </c:catAx>
      <c:valAx>
        <c:axId val="183945472"/>
        <c:scaling>
          <c:orientation val="minMax"/>
          <c:max val="42255"/>
          <c:min val="42252"/>
        </c:scaling>
        <c:delete val="0"/>
        <c:axPos val="b"/>
        <c:majorGridlines/>
        <c:numFmt formatCode="m/d/yyyy\ h:mm" sourceLinked="0"/>
        <c:majorTickMark val="out"/>
        <c:minorTickMark val="none"/>
        <c:tickLblPos val="nextTo"/>
        <c:crossAx val="183943936"/>
        <c:crosses val="autoZero"/>
        <c:crossBetween val="between"/>
        <c:majorUnit val="0.5"/>
      </c:valAx>
      <c:spPr>
        <a:noFill/>
      </c:spPr>
    </c:plotArea>
    <c:legend>
      <c:legendPos val="r"/>
      <c:legendEntry>
        <c:idx val="0"/>
        <c:delete val="1"/>
      </c:legendEntry>
      <c:legendEntry>
        <c:idx val="2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7</xdr:row>
      <xdr:rowOff>180975</xdr:rowOff>
    </xdr:from>
    <xdr:to>
      <xdr:col>13</xdr:col>
      <xdr:colOff>409575</xdr:colOff>
      <xdr:row>23</xdr:row>
      <xdr:rowOff>104775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224518</xdr:colOff>
      <xdr:row>74</xdr:row>
      <xdr:rowOff>31750</xdr:rowOff>
    </xdr:from>
    <xdr:to>
      <xdr:col>14</xdr:col>
      <xdr:colOff>523875</xdr:colOff>
      <xdr:row>102</xdr:row>
      <xdr:rowOff>174625</xdr:rowOff>
    </xdr:to>
    <xdr:graphicFrame macro="Macro3">
      <xdr:nvGraphicFramePr>
        <xdr:cNvPr id="2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4889500</xdr:colOff>
      <xdr:row>81</xdr:row>
      <xdr:rowOff>138552</xdr:rowOff>
    </xdr:from>
    <xdr:to>
      <xdr:col>28</xdr:col>
      <xdr:colOff>2286000</xdr:colOff>
      <xdr:row>110</xdr:row>
      <xdr:rowOff>63500</xdr:rowOff>
    </xdr:to>
    <xdr:graphicFrame macro="Macro2">
      <xdr:nvGraphicFramePr>
        <xdr:cNvPr id="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63500</xdr:colOff>
      <xdr:row>79</xdr:row>
      <xdr:rowOff>15874</xdr:rowOff>
    </xdr:from>
    <xdr:to>
      <xdr:col>41</xdr:col>
      <xdr:colOff>825500</xdr:colOff>
      <xdr:row>115</xdr:row>
      <xdr:rowOff>63500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0.61643</cdr:x>
      <cdr:y>0.14071</cdr:y>
    </cdr:from>
    <cdr:to>
      <cdr:x>0.67992</cdr:x>
      <cdr:y>0.78165</cdr:y>
    </cdr:to>
    <cdr:grpSp>
      <cdr:nvGrpSpPr>
        <cdr:cNvPr id="2" name="Groupe 1"/>
        <cdr:cNvGrpSpPr/>
      </cdr:nvGrpSpPr>
      <cdr:grpSpPr>
        <a:xfrm xmlns:a="http://schemas.openxmlformats.org/drawingml/2006/main">
          <a:off x="8140409" y="877872"/>
          <a:ext cx="838432" cy="3998745"/>
          <a:chOff x="-15442312" y="1017088"/>
          <a:chExt cx="1201502" cy="2813907"/>
        </a:xfrm>
      </cdr:grpSpPr>
      <cdr:cxnSp macro="">
        <cdr:nvCxnSpPr>
          <cdr:cNvPr id="3" name="Connecteur droit 2"/>
          <cdr:cNvCxnSpPr/>
        </cdr:nvCxnSpPr>
        <cdr:spPr>
          <a:xfrm xmlns:a="http://schemas.openxmlformats.org/drawingml/2006/main" flipH="1">
            <a:off x="-14799385" y="1669300"/>
            <a:ext cx="7023" cy="2161695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38100" cap="flat" cmpd="sng" algn="ctr">
            <a:solidFill>
              <a:srgbClr val="C0504D"/>
            </a:solidFill>
            <a:prstDash val="solid"/>
          </a:ln>
          <a:effectLst xmlns:a="http://schemas.openxmlformats.org/drawingml/2006/main">
            <a:outerShdw blurRad="40000" dist="23000" dir="5400000" rotWithShape="0">
              <a:srgbClr val="000000">
                <a:alpha val="35000"/>
              </a:srgbClr>
            </a:outerShdw>
          </a:effectLst>
        </cdr:spPr>
        <cdr:style>
          <a:lnRef xmlns:a="http://schemas.openxmlformats.org/drawingml/2006/main" idx="3">
            <a:schemeClr val="accent2"/>
          </a:lnRef>
          <a:fillRef xmlns:a="http://schemas.openxmlformats.org/drawingml/2006/main" idx="0">
            <a:schemeClr val="accent2"/>
          </a:fillRef>
          <a:effectRef xmlns:a="http://schemas.openxmlformats.org/drawingml/2006/main" idx="2">
            <a:schemeClr val="accent2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4" name="ZoneTexte 7"/>
          <cdr:cNvSpPr txBox="1"/>
        </cdr:nvSpPr>
        <cdr:spPr>
          <a:xfrm xmlns:a="http://schemas.openxmlformats.org/drawingml/2006/main" flipH="1">
            <a:off x="-15442312" y="1017088"/>
            <a:ext cx="1201502" cy="519902"/>
          </a:xfrm>
          <a:prstGeom xmlns:a="http://schemas.openxmlformats.org/drawingml/2006/main" prst="rect">
            <a:avLst/>
          </a:prstGeom>
          <a:solidFill xmlns:a="http://schemas.openxmlformats.org/drawingml/2006/main">
            <a:sysClr val="window" lastClr="FFFFFF"/>
          </a:solidFill>
          <a:ln xmlns:a="http://schemas.openxmlformats.org/drawingml/2006/main" w="9525" cmpd="sng">
            <a:solidFill>
              <a:sysClr val="window" lastClr="FFFFFF">
                <a:shade val="50000"/>
              </a:sysClr>
            </a:solidFill>
          </a:ln>
          <a:effectLst xmlns:a="http://schemas.openxmlformats.org/drawingml/2006/main"/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ctr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fr-CH" sz="1800" b="1"/>
              <a:t>Today</a:t>
            </a:r>
          </a:p>
        </cdr:txBody>
      </cdr:sp>
    </cdr:grp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0.24063</cdr:x>
      <cdr:y>0.1056</cdr:y>
    </cdr:from>
    <cdr:to>
      <cdr:x>0.34156</cdr:x>
      <cdr:y>0.83565</cdr:y>
    </cdr:to>
    <cdr:grpSp>
      <cdr:nvGrpSpPr>
        <cdr:cNvPr id="5" name="Groupe 1"/>
        <cdr:cNvGrpSpPr/>
      </cdr:nvGrpSpPr>
      <cdr:grpSpPr>
        <a:xfrm xmlns:a="http://schemas.openxmlformats.org/drawingml/2006/main">
          <a:off x="3319581" y="575462"/>
          <a:ext cx="1392367" cy="3978369"/>
          <a:chOff x="3088686" y="393184"/>
          <a:chExt cx="1873251" cy="5973177"/>
        </a:xfrm>
      </cdr:grpSpPr>
      <cdr:cxnSp macro="">
        <cdr:nvCxnSpPr>
          <cdr:cNvPr id="6" name="Connecteur droit 2"/>
          <cdr:cNvCxnSpPr/>
        </cdr:nvCxnSpPr>
        <cdr:spPr>
          <a:xfrm xmlns:a="http://schemas.openxmlformats.org/drawingml/2006/main" flipH="1">
            <a:off x="3936484" y="863883"/>
            <a:ext cx="7101" cy="5502478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38100" cap="flat" cmpd="sng" algn="ctr">
            <a:solidFill>
              <a:srgbClr val="C0504D"/>
            </a:solidFill>
            <a:prstDash val="solid"/>
          </a:ln>
          <a:effectLst xmlns:a="http://schemas.openxmlformats.org/drawingml/2006/main">
            <a:outerShdw blurRad="40000" dist="23000" dir="5400000" rotWithShape="0">
              <a:srgbClr val="000000">
                <a:alpha val="35000"/>
              </a:srgbClr>
            </a:outerShdw>
          </a:effectLst>
        </cdr:spPr>
        <cdr:style>
          <a:lnRef xmlns:a="http://schemas.openxmlformats.org/drawingml/2006/main" idx="3">
            <a:schemeClr val="accent2"/>
          </a:lnRef>
          <a:fillRef xmlns:a="http://schemas.openxmlformats.org/drawingml/2006/main" idx="0">
            <a:schemeClr val="accent2"/>
          </a:fillRef>
          <a:effectRef xmlns:a="http://schemas.openxmlformats.org/drawingml/2006/main" idx="2">
            <a:schemeClr val="accent2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7" name="ZoneTexte 7"/>
          <cdr:cNvSpPr txBox="1"/>
        </cdr:nvSpPr>
        <cdr:spPr>
          <a:xfrm xmlns:a="http://schemas.openxmlformats.org/drawingml/2006/main">
            <a:off x="3088686" y="393184"/>
            <a:ext cx="1873251" cy="460375"/>
          </a:xfrm>
          <a:prstGeom xmlns:a="http://schemas.openxmlformats.org/drawingml/2006/main" prst="rect">
            <a:avLst/>
          </a:prstGeom>
          <a:solidFill xmlns:a="http://schemas.openxmlformats.org/drawingml/2006/main">
            <a:sysClr val="window" lastClr="FFFFFF"/>
          </a:solidFill>
          <a:ln xmlns:a="http://schemas.openxmlformats.org/drawingml/2006/main" w="9525" cmpd="sng">
            <a:solidFill>
              <a:sysClr val="window" lastClr="FFFFFF">
                <a:shade val="50000"/>
              </a:sysClr>
            </a:solidFill>
          </a:ln>
          <a:effectLst xmlns:a="http://schemas.openxmlformats.org/drawingml/2006/main"/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ctr"/>
          <a:lstStyle xmlns:a="http://schemas.openxmlformats.org/drawingml/2006/main">
            <a:lvl1pPr marL="0" indent="0">
              <a:defRPr sz="1100">
                <a:solidFill>
                  <a:sysClr val="windowText" lastClr="000000"/>
                </a:solidFill>
                <a:latin typeface="Calibri"/>
              </a:defRPr>
            </a:lvl1pPr>
            <a:lvl2pPr marL="457200" indent="0">
              <a:defRPr sz="1100">
                <a:solidFill>
                  <a:sysClr val="windowText" lastClr="000000"/>
                </a:solidFill>
                <a:latin typeface="Calibri"/>
              </a:defRPr>
            </a:lvl2pPr>
            <a:lvl3pPr marL="914400" indent="0">
              <a:defRPr sz="1100">
                <a:solidFill>
                  <a:sysClr val="windowText" lastClr="000000"/>
                </a:solidFill>
                <a:latin typeface="Calibri"/>
              </a:defRPr>
            </a:lvl3pPr>
            <a:lvl4pPr marL="1371600" indent="0">
              <a:defRPr sz="1100">
                <a:solidFill>
                  <a:sysClr val="windowText" lastClr="000000"/>
                </a:solidFill>
                <a:latin typeface="Calibri"/>
              </a:defRPr>
            </a:lvl4pPr>
            <a:lvl5pPr marL="1828800" indent="0">
              <a:defRPr sz="1100">
                <a:solidFill>
                  <a:sysClr val="windowText" lastClr="000000"/>
                </a:solidFill>
                <a:latin typeface="Calibri"/>
              </a:defRPr>
            </a:lvl5pPr>
            <a:lvl6pPr marL="2286000" indent="0">
              <a:defRPr sz="1100">
                <a:solidFill>
                  <a:sysClr val="windowText" lastClr="000000"/>
                </a:solidFill>
                <a:latin typeface="Calibri"/>
              </a:defRPr>
            </a:lvl6pPr>
            <a:lvl7pPr marL="2743200" indent="0">
              <a:defRPr sz="1100">
                <a:solidFill>
                  <a:sysClr val="windowText" lastClr="000000"/>
                </a:solidFill>
                <a:latin typeface="Calibri"/>
              </a:defRPr>
            </a:lvl7pPr>
            <a:lvl8pPr marL="3200400" indent="0">
              <a:defRPr sz="1100">
                <a:solidFill>
                  <a:sysClr val="windowText" lastClr="000000"/>
                </a:solidFill>
                <a:latin typeface="Calibri"/>
              </a:defRPr>
            </a:lvl8pPr>
            <a:lvl9pPr marL="3657600" indent="0">
              <a:defRPr sz="1100">
                <a:solidFill>
                  <a:sysClr val="windowText" lastClr="000000"/>
                </a:solidFill>
                <a:latin typeface="Calibri"/>
              </a:defRPr>
            </a:lvl9pPr>
          </a:lstStyle>
          <a:p xmlns:a="http://schemas.openxmlformats.org/drawingml/2006/main">
            <a:pPr algn="ctr"/>
            <a:r>
              <a:rPr lang="fr-CH" sz="1800" b="1"/>
              <a:t>Today</a:t>
            </a:r>
          </a:p>
        </cdr:txBody>
      </cdr:sp>
    </cdr:grp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0.16902</cdr:x>
      <cdr:y>0.197</cdr:y>
    </cdr:from>
    <cdr:to>
      <cdr:x>0.26157</cdr:x>
      <cdr:y>0.88112</cdr:y>
    </cdr:to>
    <cdr:grpSp>
      <cdr:nvGrpSpPr>
        <cdr:cNvPr id="2" name="Groupe 1"/>
        <cdr:cNvGrpSpPr/>
      </cdr:nvGrpSpPr>
      <cdr:grpSpPr>
        <a:xfrm xmlns:a="http://schemas.openxmlformats.org/drawingml/2006/main">
          <a:off x="2634895" y="1360408"/>
          <a:ext cx="1442785" cy="4724277"/>
          <a:chOff x="5052068" y="264691"/>
          <a:chExt cx="1873250" cy="6557470"/>
        </a:xfrm>
      </cdr:grpSpPr>
      <cdr:cxnSp macro="">
        <cdr:nvCxnSpPr>
          <cdr:cNvPr id="3" name="Connecteur droit 2"/>
          <cdr:cNvCxnSpPr/>
        </cdr:nvCxnSpPr>
        <cdr:spPr>
          <a:xfrm xmlns:a="http://schemas.openxmlformats.org/drawingml/2006/main" rot="5400000">
            <a:off x="2946872" y="3782099"/>
            <a:ext cx="6080125" cy="0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38100" cap="flat" cmpd="sng" algn="ctr">
            <a:solidFill>
              <a:srgbClr val="C0504D"/>
            </a:solidFill>
            <a:prstDash val="solid"/>
          </a:ln>
          <a:effectLst xmlns:a="http://schemas.openxmlformats.org/drawingml/2006/main">
            <a:outerShdw blurRad="40000" dist="23000" dir="5400000" rotWithShape="0">
              <a:srgbClr val="000000">
                <a:alpha val="35000"/>
              </a:srgbClr>
            </a:outerShdw>
          </a:effectLst>
        </cdr:spPr>
        <cdr:style>
          <a:lnRef xmlns:a="http://schemas.openxmlformats.org/drawingml/2006/main" idx="3">
            <a:schemeClr val="accent2"/>
          </a:lnRef>
          <a:fillRef xmlns:a="http://schemas.openxmlformats.org/drawingml/2006/main" idx="0">
            <a:schemeClr val="accent2"/>
          </a:fillRef>
          <a:effectRef xmlns:a="http://schemas.openxmlformats.org/drawingml/2006/main" idx="2">
            <a:schemeClr val="accent2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4" name="ZoneTexte 7"/>
          <cdr:cNvSpPr txBox="1"/>
        </cdr:nvSpPr>
        <cdr:spPr>
          <a:xfrm xmlns:a="http://schemas.openxmlformats.org/drawingml/2006/main">
            <a:off x="5052068" y="264691"/>
            <a:ext cx="1873250" cy="460375"/>
          </a:xfrm>
          <a:prstGeom xmlns:a="http://schemas.openxmlformats.org/drawingml/2006/main" prst="rect">
            <a:avLst/>
          </a:prstGeom>
          <a:solidFill xmlns:a="http://schemas.openxmlformats.org/drawingml/2006/main">
            <a:sysClr val="window" lastClr="FFFFFF"/>
          </a:solidFill>
          <a:ln xmlns:a="http://schemas.openxmlformats.org/drawingml/2006/main" w="9525" cmpd="sng">
            <a:solidFill>
              <a:sysClr val="window" lastClr="FFFFFF">
                <a:shade val="50000"/>
              </a:sysClr>
            </a:solidFill>
          </a:ln>
          <a:effectLst xmlns:a="http://schemas.openxmlformats.org/drawingml/2006/main"/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ctr"/>
          <a:lstStyle xmlns:a="http://schemas.openxmlformats.org/drawingml/2006/main">
            <a:lvl1pPr marL="0" indent="0">
              <a:defRPr sz="1100">
                <a:solidFill>
                  <a:sysClr val="windowText" lastClr="000000"/>
                </a:solidFill>
                <a:latin typeface="Calibri"/>
              </a:defRPr>
            </a:lvl1pPr>
            <a:lvl2pPr marL="457200" indent="0">
              <a:defRPr sz="1100">
                <a:solidFill>
                  <a:sysClr val="windowText" lastClr="000000"/>
                </a:solidFill>
                <a:latin typeface="Calibri"/>
              </a:defRPr>
            </a:lvl2pPr>
            <a:lvl3pPr marL="914400" indent="0">
              <a:defRPr sz="1100">
                <a:solidFill>
                  <a:sysClr val="windowText" lastClr="000000"/>
                </a:solidFill>
                <a:latin typeface="Calibri"/>
              </a:defRPr>
            </a:lvl3pPr>
            <a:lvl4pPr marL="1371600" indent="0">
              <a:defRPr sz="1100">
                <a:solidFill>
                  <a:sysClr val="windowText" lastClr="000000"/>
                </a:solidFill>
                <a:latin typeface="Calibri"/>
              </a:defRPr>
            </a:lvl4pPr>
            <a:lvl5pPr marL="1828800" indent="0">
              <a:defRPr sz="1100">
                <a:solidFill>
                  <a:sysClr val="windowText" lastClr="000000"/>
                </a:solidFill>
                <a:latin typeface="Calibri"/>
              </a:defRPr>
            </a:lvl5pPr>
            <a:lvl6pPr marL="2286000" indent="0">
              <a:defRPr sz="1100">
                <a:solidFill>
                  <a:sysClr val="windowText" lastClr="000000"/>
                </a:solidFill>
                <a:latin typeface="Calibri"/>
              </a:defRPr>
            </a:lvl6pPr>
            <a:lvl7pPr marL="2743200" indent="0">
              <a:defRPr sz="1100">
                <a:solidFill>
                  <a:sysClr val="windowText" lastClr="000000"/>
                </a:solidFill>
                <a:latin typeface="Calibri"/>
              </a:defRPr>
            </a:lvl7pPr>
            <a:lvl8pPr marL="3200400" indent="0">
              <a:defRPr sz="1100">
                <a:solidFill>
                  <a:sysClr val="windowText" lastClr="000000"/>
                </a:solidFill>
                <a:latin typeface="Calibri"/>
              </a:defRPr>
            </a:lvl8pPr>
            <a:lvl9pPr marL="3657600" indent="0">
              <a:defRPr sz="1100">
                <a:solidFill>
                  <a:sysClr val="windowText" lastClr="000000"/>
                </a:solidFill>
                <a:latin typeface="Calibri"/>
              </a:defRPr>
            </a:lvl9pPr>
          </a:lstStyle>
          <a:p xmlns:a="http://schemas.openxmlformats.org/drawingml/2006/main">
            <a:pPr algn="ctr"/>
            <a:r>
              <a:rPr lang="fr-CH" sz="1800" b="1"/>
              <a:t>Today</a:t>
            </a:r>
          </a:p>
        </cdr:txBody>
      </cdr:sp>
    </cdr:grp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248479</xdr:colOff>
      <xdr:row>86</xdr:row>
      <xdr:rowOff>108502</xdr:rowOff>
    </xdr:from>
    <xdr:to>
      <xdr:col>12</xdr:col>
      <xdr:colOff>54252</xdr:colOff>
      <xdr:row>127</xdr:row>
      <xdr:rowOff>13252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5050"/>
  </sheetPr>
  <dimension ref="A1:O69"/>
  <sheetViews>
    <sheetView topLeftCell="C1" workbookViewId="0">
      <selection activeCell="C1" sqref="A1:XFD1048576"/>
    </sheetView>
  </sheetViews>
  <sheetFormatPr baseColWidth="10" defaultColWidth="11.42578125" defaultRowHeight="15" x14ac:dyDescent="0.25"/>
  <cols>
    <col min="2" max="3" width="15.140625" bestFit="1" customWidth="1"/>
    <col min="4" max="4" width="15.42578125" bestFit="1" customWidth="1"/>
    <col min="7" max="7" width="14.5703125" customWidth="1"/>
    <col min="8" max="8" width="16.42578125" customWidth="1"/>
    <col min="9" max="9" width="56.42578125" customWidth="1"/>
  </cols>
  <sheetData>
    <row r="1" spans="1:15" ht="33" customHeight="1" x14ac:dyDescent="0.25">
      <c r="A1" s="18"/>
      <c r="B1" s="18"/>
      <c r="C1" s="18"/>
      <c r="D1" s="18"/>
      <c r="E1" s="18"/>
      <c r="F1" s="64"/>
      <c r="G1" s="18"/>
      <c r="H1" s="133"/>
      <c r="I1" s="18"/>
      <c r="J1" s="18"/>
      <c r="K1" s="18"/>
      <c r="L1" s="134"/>
      <c r="M1" s="135"/>
    </row>
    <row r="2" spans="1:15" hidden="1" x14ac:dyDescent="0.25">
      <c r="A2" s="18"/>
      <c r="B2" s="18"/>
      <c r="C2" s="18"/>
      <c r="D2" s="18"/>
      <c r="E2" s="18"/>
      <c r="F2" s="64"/>
      <c r="G2" s="18"/>
      <c r="H2" s="133"/>
      <c r="I2" s="18"/>
      <c r="J2" s="18"/>
      <c r="K2" s="18"/>
      <c r="L2" s="5"/>
      <c r="M2" s="4"/>
      <c r="N2" s="3"/>
      <c r="O2" s="136"/>
    </row>
    <row r="3" spans="1:15" x14ac:dyDescent="0.25">
      <c r="A3" s="18"/>
      <c r="B3" s="159"/>
      <c r="C3" s="160"/>
      <c r="D3" s="137"/>
      <c r="E3" s="18"/>
      <c r="F3" s="18"/>
      <c r="G3" s="18"/>
      <c r="H3" s="138"/>
      <c r="I3" s="18"/>
      <c r="J3" s="18"/>
      <c r="K3" s="18"/>
      <c r="L3" s="18"/>
      <c r="M3" s="18"/>
      <c r="N3" s="18"/>
      <c r="O3" s="18"/>
    </row>
    <row r="4" spans="1:15" x14ac:dyDescent="0.25">
      <c r="A4" s="5"/>
      <c r="B4" s="139"/>
      <c r="C4" s="140"/>
      <c r="D4" s="141"/>
      <c r="E4" s="142"/>
      <c r="F4" s="143"/>
      <c r="G4" s="142"/>
      <c r="H4" s="142"/>
      <c r="I4" s="142"/>
      <c r="J4" s="18"/>
      <c r="K4" s="18"/>
      <c r="L4" s="18"/>
      <c r="M4" s="18"/>
      <c r="N4" s="18"/>
      <c r="O4" s="18"/>
    </row>
    <row r="5" spans="1:15" x14ac:dyDescent="0.25">
      <c r="A5" s="3"/>
      <c r="B5" s="144"/>
      <c r="C5" s="145"/>
      <c r="D5" s="146"/>
      <c r="E5" s="136"/>
      <c r="F5" s="147"/>
      <c r="G5" s="136"/>
      <c r="H5" s="148"/>
      <c r="I5" s="3"/>
      <c r="J5" s="18"/>
      <c r="K5" s="18"/>
      <c r="L5" s="18"/>
      <c r="M5" s="18"/>
      <c r="N5" s="18"/>
      <c r="O5" s="18"/>
    </row>
    <row r="6" spans="1:15" x14ac:dyDescent="0.25">
      <c r="A6" s="3"/>
      <c r="B6" s="144"/>
      <c r="C6" s="145"/>
      <c r="D6" s="146"/>
      <c r="E6" s="136"/>
      <c r="F6" s="147"/>
      <c r="G6" s="136"/>
      <c r="H6" s="148"/>
      <c r="I6" s="3"/>
    </row>
    <row r="7" spans="1:15" x14ac:dyDescent="0.25">
      <c r="A7" s="3"/>
      <c r="B7" s="144"/>
      <c r="C7" s="145"/>
      <c r="D7" s="146"/>
      <c r="E7" s="136"/>
      <c r="F7" s="147"/>
      <c r="G7" s="136"/>
      <c r="H7" s="148"/>
      <c r="I7" s="3"/>
    </row>
    <row r="8" spans="1:15" x14ac:dyDescent="0.25">
      <c r="A8" s="3"/>
      <c r="B8" s="144"/>
      <c r="C8" s="145"/>
      <c r="D8" s="146"/>
      <c r="E8" s="136"/>
      <c r="F8" s="147"/>
      <c r="G8" s="136"/>
      <c r="H8" s="148"/>
      <c r="I8" s="3"/>
    </row>
    <row r="9" spans="1:15" x14ac:dyDescent="0.25">
      <c r="A9" s="3"/>
      <c r="B9" s="144"/>
      <c r="C9" s="145"/>
      <c r="D9" s="146"/>
      <c r="E9" s="136"/>
      <c r="F9" s="147"/>
      <c r="G9" s="136"/>
      <c r="H9" s="148"/>
      <c r="I9" s="3"/>
    </row>
    <row r="10" spans="1:15" x14ac:dyDescent="0.25">
      <c r="A10" s="3"/>
      <c r="B10" s="144"/>
      <c r="C10" s="145"/>
      <c r="D10" s="146"/>
      <c r="E10" s="136"/>
      <c r="F10" s="147"/>
      <c r="G10" s="136"/>
      <c r="H10" s="148"/>
      <c r="I10" s="3"/>
    </row>
    <row r="11" spans="1:15" x14ac:dyDescent="0.25">
      <c r="A11" s="3"/>
      <c r="B11" s="144"/>
      <c r="C11" s="145"/>
      <c r="D11" s="146"/>
      <c r="E11" s="136"/>
      <c r="F11" s="147"/>
      <c r="G11" s="136"/>
      <c r="H11" s="148"/>
      <c r="I11" s="3"/>
    </row>
    <row r="12" spans="1:15" x14ac:dyDescent="0.25">
      <c r="A12" s="3"/>
      <c r="B12" s="144"/>
      <c r="C12" s="145"/>
      <c r="D12" s="146"/>
      <c r="E12" s="136"/>
      <c r="F12" s="147"/>
      <c r="G12" s="136"/>
      <c r="H12" s="148"/>
      <c r="I12" s="3"/>
    </row>
    <row r="13" spans="1:15" x14ac:dyDescent="0.25">
      <c r="A13" s="3"/>
      <c r="B13" s="144"/>
      <c r="C13" s="145"/>
      <c r="D13" s="146"/>
      <c r="E13" s="136"/>
      <c r="F13" s="147"/>
      <c r="G13" s="136"/>
      <c r="H13" s="148"/>
      <c r="I13" s="3"/>
    </row>
    <row r="14" spans="1:15" x14ac:dyDescent="0.25">
      <c r="A14" s="3"/>
      <c r="B14" s="144"/>
      <c r="C14" s="145"/>
      <c r="D14" s="146"/>
      <c r="E14" s="136"/>
      <c r="F14" s="147"/>
      <c r="G14" s="136"/>
      <c r="H14" s="148"/>
      <c r="I14" s="3"/>
    </row>
    <row r="15" spans="1:15" x14ac:dyDescent="0.25">
      <c r="A15" s="3"/>
      <c r="B15" s="144"/>
      <c r="C15" s="145"/>
      <c r="D15" s="146"/>
      <c r="E15" s="136"/>
      <c r="F15" s="147"/>
      <c r="G15" s="136"/>
      <c r="H15" s="148"/>
      <c r="I15" s="3"/>
    </row>
    <row r="16" spans="1:15" x14ac:dyDescent="0.25">
      <c r="A16" s="3"/>
      <c r="B16" s="144"/>
      <c r="C16" s="145"/>
      <c r="D16" s="146"/>
      <c r="E16" s="136"/>
      <c r="F16" s="147"/>
      <c r="G16" s="136"/>
      <c r="H16" s="148"/>
      <c r="I16" s="3"/>
    </row>
    <row r="17" spans="1:9" x14ac:dyDescent="0.25">
      <c r="A17" s="3"/>
      <c r="B17" s="144"/>
      <c r="C17" s="145"/>
      <c r="D17" s="146"/>
      <c r="E17" s="136"/>
      <c r="F17" s="147"/>
      <c r="G17" s="136"/>
      <c r="H17" s="148"/>
      <c r="I17" s="3"/>
    </row>
    <row r="18" spans="1:9" x14ac:dyDescent="0.25">
      <c r="A18" s="3"/>
      <c r="B18" s="144"/>
      <c r="C18" s="145"/>
      <c r="D18" s="146"/>
      <c r="E18" s="136"/>
      <c r="F18" s="147"/>
      <c r="G18" s="136"/>
      <c r="H18" s="148"/>
      <c r="I18" s="3"/>
    </row>
    <row r="19" spans="1:9" x14ac:dyDescent="0.25">
      <c r="A19" s="3"/>
      <c r="B19" s="144"/>
      <c r="C19" s="145"/>
      <c r="D19" s="146"/>
      <c r="E19" s="136"/>
      <c r="F19" s="147"/>
      <c r="G19" s="136"/>
      <c r="H19" s="148"/>
      <c r="I19" s="3"/>
    </row>
    <row r="20" spans="1:9" x14ac:dyDescent="0.25">
      <c r="A20" s="3"/>
      <c r="B20" s="144"/>
      <c r="C20" s="145"/>
      <c r="D20" s="146"/>
      <c r="E20" s="136"/>
      <c r="F20" s="147"/>
      <c r="G20" s="136"/>
      <c r="H20" s="148"/>
      <c r="I20" s="3"/>
    </row>
    <row r="21" spans="1:9" x14ac:dyDescent="0.25">
      <c r="A21" s="3"/>
      <c r="B21" s="144"/>
      <c r="C21" s="145"/>
      <c r="D21" s="146"/>
      <c r="E21" s="136"/>
      <c r="F21" s="147"/>
      <c r="G21" s="136"/>
      <c r="H21" s="148"/>
      <c r="I21" s="3"/>
    </row>
    <row r="22" spans="1:9" x14ac:dyDescent="0.25">
      <c r="A22" s="3"/>
      <c r="B22" s="144"/>
      <c r="C22" s="145"/>
      <c r="D22" s="146"/>
      <c r="E22" s="136"/>
      <c r="F22" s="147"/>
      <c r="G22" s="136"/>
      <c r="H22" s="148"/>
      <c r="I22" s="3"/>
    </row>
    <row r="23" spans="1:9" x14ac:dyDescent="0.25">
      <c r="A23" s="3"/>
      <c r="B23" s="144"/>
      <c r="C23" s="145"/>
      <c r="D23" s="146"/>
      <c r="E23" s="136"/>
      <c r="F23" s="147"/>
      <c r="G23" s="136"/>
      <c r="H23" s="148"/>
      <c r="I23" s="3"/>
    </row>
    <row r="24" spans="1:9" x14ac:dyDescent="0.25">
      <c r="A24" s="3"/>
      <c r="B24" s="144"/>
      <c r="C24" s="145"/>
      <c r="D24" s="146"/>
      <c r="E24" s="136"/>
      <c r="F24" s="147"/>
      <c r="G24" s="136"/>
      <c r="H24" s="148"/>
      <c r="I24" s="3"/>
    </row>
    <row r="25" spans="1:9" x14ac:dyDescent="0.25">
      <c r="A25" s="3"/>
      <c r="B25" s="144"/>
      <c r="C25" s="145"/>
      <c r="D25" s="146"/>
      <c r="E25" s="136"/>
      <c r="F25" s="147"/>
      <c r="G25" s="136"/>
      <c r="H25" s="148"/>
      <c r="I25" s="3"/>
    </row>
    <row r="26" spans="1:9" x14ac:dyDescent="0.25">
      <c r="A26" s="3"/>
      <c r="B26" s="144"/>
      <c r="C26" s="145"/>
      <c r="D26" s="146"/>
      <c r="E26" s="136"/>
      <c r="F26" s="147"/>
      <c r="G26" s="136"/>
      <c r="H26" s="148"/>
      <c r="I26" s="3"/>
    </row>
    <row r="27" spans="1:9" x14ac:dyDescent="0.25">
      <c r="A27" s="3"/>
      <c r="B27" s="144"/>
      <c r="C27" s="145"/>
      <c r="D27" s="146"/>
      <c r="E27" s="136"/>
      <c r="F27" s="147"/>
      <c r="G27" s="136"/>
      <c r="H27" s="148"/>
      <c r="I27" s="3"/>
    </row>
    <row r="28" spans="1:9" x14ac:dyDescent="0.25">
      <c r="A28" s="3"/>
      <c r="B28" s="144"/>
      <c r="C28" s="145"/>
      <c r="D28" s="146"/>
      <c r="E28" s="136"/>
      <c r="F28" s="147"/>
      <c r="G28" s="136"/>
      <c r="H28" s="148"/>
    </row>
    <row r="29" spans="1:9" x14ac:dyDescent="0.25">
      <c r="A29" s="3"/>
      <c r="B29" s="144"/>
      <c r="C29" s="145"/>
      <c r="D29" s="146"/>
      <c r="E29" s="136"/>
      <c r="F29" s="147"/>
      <c r="G29" s="136"/>
      <c r="H29" s="148"/>
    </row>
    <row r="30" spans="1:9" x14ac:dyDescent="0.25">
      <c r="A30" s="3"/>
      <c r="B30" s="144"/>
      <c r="C30" s="145"/>
      <c r="D30" s="146"/>
      <c r="E30" s="136"/>
      <c r="F30" s="147"/>
      <c r="G30" s="136"/>
      <c r="H30" s="148"/>
    </row>
    <row r="31" spans="1:9" x14ac:dyDescent="0.25">
      <c r="A31" s="3"/>
      <c r="B31" s="144"/>
      <c r="C31" s="145"/>
      <c r="D31" s="146"/>
      <c r="E31" s="136"/>
      <c r="F31" s="147"/>
      <c r="G31" s="136"/>
      <c r="H31" s="148"/>
    </row>
    <row r="32" spans="1:9" x14ac:dyDescent="0.25">
      <c r="A32" s="3"/>
      <c r="B32" s="144"/>
      <c r="C32" s="145"/>
      <c r="D32" s="146"/>
      <c r="E32" s="136"/>
      <c r="F32" s="147"/>
      <c r="G32" s="136"/>
      <c r="H32" s="148"/>
    </row>
    <row r="33" spans="1:8" x14ac:dyDescent="0.25">
      <c r="A33" s="3"/>
      <c r="B33" s="144"/>
      <c r="C33" s="145"/>
      <c r="D33" s="146"/>
      <c r="E33" s="136"/>
      <c r="F33" s="147"/>
      <c r="G33" s="136"/>
      <c r="H33" s="148"/>
    </row>
    <row r="34" spans="1:8" x14ac:dyDescent="0.25">
      <c r="A34" s="3"/>
      <c r="B34" s="144"/>
      <c r="C34" s="145"/>
      <c r="D34" s="146"/>
      <c r="E34" s="136"/>
      <c r="F34" s="147"/>
      <c r="G34" s="136"/>
      <c r="H34" s="148"/>
    </row>
    <row r="35" spans="1:8" x14ac:dyDescent="0.25">
      <c r="A35" s="3"/>
      <c r="B35" s="144"/>
      <c r="C35" s="145"/>
      <c r="D35" s="146"/>
      <c r="E35" s="136"/>
      <c r="F35" s="147"/>
      <c r="G35" s="136"/>
      <c r="H35" s="148"/>
    </row>
    <row r="36" spans="1:8" x14ac:dyDescent="0.25">
      <c r="A36" s="3"/>
      <c r="B36" s="144"/>
      <c r="C36" s="145"/>
      <c r="D36" s="146"/>
      <c r="E36" s="136"/>
      <c r="F36" s="147"/>
      <c r="G36" s="136"/>
      <c r="H36" s="148"/>
    </row>
    <row r="37" spans="1:8" x14ac:dyDescent="0.25">
      <c r="A37" s="3"/>
      <c r="B37" s="144"/>
      <c r="C37" s="145"/>
      <c r="D37" s="146"/>
      <c r="E37" s="136"/>
      <c r="F37" s="147"/>
      <c r="G37" s="136"/>
      <c r="H37" s="148"/>
    </row>
    <row r="38" spans="1:8" x14ac:dyDescent="0.25">
      <c r="A38" s="3"/>
      <c r="B38" s="144"/>
      <c r="C38" s="145"/>
      <c r="D38" s="146"/>
      <c r="E38" s="136"/>
      <c r="F38" s="147"/>
      <c r="G38" s="136"/>
      <c r="H38" s="148"/>
    </row>
    <row r="39" spans="1:8" x14ac:dyDescent="0.25">
      <c r="A39" s="3"/>
      <c r="B39" s="144"/>
      <c r="C39" s="145"/>
      <c r="D39" s="146"/>
      <c r="E39" s="136"/>
      <c r="F39" s="147"/>
      <c r="G39" s="136"/>
      <c r="H39" s="148"/>
    </row>
    <row r="40" spans="1:8" x14ac:dyDescent="0.25">
      <c r="A40" s="3"/>
      <c r="B40" s="144"/>
      <c r="C40" s="145"/>
      <c r="D40" s="146"/>
      <c r="E40" s="136"/>
      <c r="F40" s="147"/>
      <c r="G40" s="136"/>
      <c r="H40" s="148"/>
    </row>
    <row r="41" spans="1:8" x14ac:dyDescent="0.25">
      <c r="A41" s="3"/>
      <c r="B41" s="144"/>
      <c r="C41" s="145"/>
      <c r="D41" s="146"/>
      <c r="E41" s="136"/>
      <c r="F41" s="147"/>
      <c r="G41" s="136"/>
      <c r="H41" s="148"/>
    </row>
    <row r="42" spans="1:8" x14ac:dyDescent="0.25">
      <c r="A42" s="3"/>
      <c r="B42" s="144"/>
      <c r="C42" s="145"/>
      <c r="D42" s="146"/>
      <c r="E42" s="136"/>
      <c r="F42" s="147"/>
      <c r="G42" s="136"/>
    </row>
    <row r="43" spans="1:8" x14ac:dyDescent="0.25">
      <c r="A43" s="3"/>
      <c r="B43" s="144"/>
      <c r="C43" s="145"/>
      <c r="D43" s="146"/>
      <c r="E43" s="136"/>
      <c r="F43" s="147"/>
      <c r="G43" s="136"/>
    </row>
    <row r="44" spans="1:8" x14ac:dyDescent="0.25">
      <c r="A44" s="3"/>
      <c r="B44" s="144"/>
      <c r="C44" s="145"/>
      <c r="D44" s="146"/>
      <c r="E44" s="136"/>
      <c r="F44" s="147"/>
      <c r="G44" s="136"/>
    </row>
    <row r="45" spans="1:8" x14ac:dyDescent="0.25">
      <c r="A45" s="3"/>
      <c r="B45" s="144"/>
      <c r="C45" s="145"/>
      <c r="D45" s="146"/>
      <c r="E45" s="136"/>
      <c r="F45" s="147"/>
      <c r="G45" s="136"/>
    </row>
    <row r="46" spans="1:8" x14ac:dyDescent="0.25">
      <c r="A46" s="3"/>
      <c r="B46" s="144"/>
      <c r="C46" s="145"/>
      <c r="D46" s="146"/>
      <c r="E46" s="136"/>
      <c r="F46" s="147"/>
      <c r="G46" s="136"/>
    </row>
    <row r="47" spans="1:8" x14ac:dyDescent="0.25">
      <c r="A47" s="3"/>
      <c r="B47" s="144"/>
      <c r="C47" s="145"/>
      <c r="D47" s="146"/>
      <c r="E47" s="136"/>
      <c r="F47" s="147"/>
      <c r="G47" s="136"/>
    </row>
    <row r="48" spans="1:8" x14ac:dyDescent="0.25">
      <c r="A48" s="3"/>
      <c r="B48" s="144"/>
      <c r="C48" s="145"/>
      <c r="D48" s="146"/>
      <c r="E48" s="136"/>
      <c r="F48" s="147"/>
      <c r="G48" s="136"/>
    </row>
    <row r="49" spans="1:7" x14ac:dyDescent="0.25">
      <c r="A49" s="3"/>
      <c r="B49" s="144"/>
      <c r="C49" s="145"/>
      <c r="D49" s="146"/>
      <c r="E49" s="136"/>
      <c r="F49" s="147"/>
      <c r="G49" s="136"/>
    </row>
    <row r="50" spans="1:7" x14ac:dyDescent="0.25">
      <c r="A50" s="3"/>
      <c r="B50" s="144"/>
      <c r="C50" s="145"/>
      <c r="D50" s="146"/>
      <c r="E50" s="136"/>
      <c r="F50" s="147"/>
      <c r="G50" s="136"/>
    </row>
    <row r="51" spans="1:7" x14ac:dyDescent="0.25">
      <c r="A51" s="3"/>
      <c r="B51" s="144"/>
      <c r="C51" s="145"/>
      <c r="D51" s="146"/>
      <c r="E51" s="136"/>
      <c r="F51" s="147"/>
      <c r="G51" s="136"/>
    </row>
    <row r="52" spans="1:7" x14ac:dyDescent="0.25">
      <c r="A52" s="3"/>
      <c r="B52" s="144"/>
      <c r="C52" s="145"/>
      <c r="D52" s="146"/>
      <c r="E52" s="136"/>
      <c r="F52" s="147"/>
      <c r="G52" s="136"/>
    </row>
    <row r="53" spans="1:7" x14ac:dyDescent="0.25">
      <c r="A53" s="3"/>
      <c r="B53" s="144"/>
      <c r="C53" s="145"/>
      <c r="D53" s="146"/>
      <c r="E53" s="136"/>
      <c r="F53" s="147"/>
      <c r="G53" s="136"/>
    </row>
    <row r="54" spans="1:7" x14ac:dyDescent="0.25">
      <c r="A54" s="3"/>
      <c r="B54" s="144"/>
      <c r="C54" s="145"/>
      <c r="D54" s="146"/>
      <c r="E54" s="136"/>
      <c r="F54" s="147"/>
      <c r="G54" s="136"/>
    </row>
    <row r="55" spans="1:7" x14ac:dyDescent="0.25">
      <c r="A55" s="3"/>
      <c r="B55" s="144"/>
      <c r="C55" s="145"/>
      <c r="D55" s="146"/>
      <c r="E55" s="136"/>
      <c r="F55" s="147"/>
      <c r="G55" s="136"/>
    </row>
    <row r="56" spans="1:7" x14ac:dyDescent="0.25">
      <c r="A56" s="3"/>
      <c r="B56" s="144"/>
      <c r="C56" s="145"/>
      <c r="D56" s="146"/>
      <c r="E56" s="136"/>
      <c r="F56" s="147"/>
      <c r="G56" s="136"/>
    </row>
    <row r="57" spans="1:7" x14ac:dyDescent="0.25">
      <c r="A57" s="3"/>
      <c r="B57" s="144"/>
      <c r="C57" s="145"/>
      <c r="D57" s="146"/>
      <c r="E57" s="136"/>
      <c r="F57" s="147"/>
      <c r="G57" s="136"/>
    </row>
    <row r="58" spans="1:7" x14ac:dyDescent="0.25">
      <c r="A58" s="3"/>
      <c r="B58" s="144"/>
      <c r="C58" s="145"/>
      <c r="D58" s="146"/>
      <c r="E58" s="136"/>
      <c r="F58" s="147"/>
      <c r="G58" s="136"/>
    </row>
    <row r="59" spans="1:7" x14ac:dyDescent="0.25">
      <c r="A59" s="3"/>
      <c r="B59" s="144"/>
      <c r="C59" s="145"/>
      <c r="D59" s="146"/>
      <c r="E59" s="136"/>
      <c r="F59" s="147"/>
      <c r="G59" s="136"/>
    </row>
    <row r="60" spans="1:7" x14ac:dyDescent="0.25">
      <c r="A60" s="3"/>
      <c r="B60" s="144"/>
      <c r="C60" s="145"/>
      <c r="D60" s="146"/>
      <c r="E60" s="136"/>
      <c r="F60" s="147"/>
      <c r="G60" s="136"/>
    </row>
    <row r="61" spans="1:7" x14ac:dyDescent="0.25">
      <c r="A61" s="3"/>
      <c r="B61" s="144"/>
      <c r="C61" s="145"/>
      <c r="D61" s="146"/>
      <c r="E61" s="136"/>
      <c r="F61" s="147"/>
      <c r="G61" s="136"/>
    </row>
    <row r="62" spans="1:7" x14ac:dyDescent="0.25">
      <c r="A62" s="3"/>
      <c r="B62" s="144"/>
      <c r="C62" s="145"/>
      <c r="D62" s="146"/>
      <c r="E62" s="136"/>
      <c r="F62" s="147"/>
      <c r="G62" s="136"/>
    </row>
    <row r="63" spans="1:7" x14ac:dyDescent="0.25">
      <c r="A63" s="3"/>
      <c r="B63" s="144"/>
      <c r="C63" s="145"/>
      <c r="D63" s="146"/>
      <c r="E63" s="136"/>
      <c r="F63" s="147"/>
      <c r="G63" s="136"/>
    </row>
    <row r="64" spans="1:7" x14ac:dyDescent="0.25">
      <c r="A64" s="3"/>
      <c r="B64" s="144"/>
      <c r="C64" s="145"/>
      <c r="D64" s="146"/>
      <c r="E64" s="136"/>
      <c r="F64" s="147"/>
      <c r="G64" s="136"/>
    </row>
    <row r="65" spans="1:7" x14ac:dyDescent="0.25">
      <c r="A65" s="3"/>
      <c r="B65" s="144"/>
      <c r="C65" s="145"/>
      <c r="D65" s="146"/>
      <c r="E65" s="136"/>
      <c r="F65" s="147"/>
      <c r="G65" s="136"/>
    </row>
    <row r="66" spans="1:7" x14ac:dyDescent="0.25">
      <c r="A66" s="3"/>
      <c r="B66" s="144"/>
      <c r="C66" s="145"/>
      <c r="D66" s="146"/>
      <c r="E66" s="136"/>
      <c r="F66" s="147"/>
      <c r="G66" s="136"/>
    </row>
    <row r="67" spans="1:7" x14ac:dyDescent="0.25">
      <c r="A67" s="3"/>
      <c r="B67" s="144"/>
      <c r="C67" s="145"/>
      <c r="D67" s="146"/>
      <c r="E67" s="136"/>
      <c r="F67" s="147"/>
      <c r="G67" s="136"/>
    </row>
    <row r="68" spans="1:7" x14ac:dyDescent="0.25">
      <c r="A68" s="3"/>
      <c r="B68" s="144"/>
      <c r="C68" s="145"/>
      <c r="D68" s="146"/>
      <c r="E68" s="136"/>
      <c r="F68" s="147"/>
      <c r="G68" s="136"/>
    </row>
    <row r="69" spans="1:7" x14ac:dyDescent="0.25">
      <c r="A69" s="3"/>
      <c r="B69" s="144"/>
      <c r="C69" s="145"/>
      <c r="D69" s="146"/>
      <c r="E69" s="136"/>
      <c r="F69" s="147"/>
      <c r="G69" s="136"/>
    </row>
  </sheetData>
  <mergeCells count="1">
    <mergeCell ref="B3:C3"/>
  </mergeCells>
  <conditionalFormatting sqref="B5:D69">
    <cfRule type="timePeriod" dxfId="75" priority="1" timePeriod="today">
      <formula>FLOOR(B5,1)=TODAY()</formula>
    </cfRule>
  </conditionalFormatting>
  <conditionalFormatting sqref="E5:E69">
    <cfRule type="cellIs" dxfId="74" priority="2" operator="greaterThan">
      <formula>0.219</formula>
    </cfRule>
  </conditionalFormatting>
  <conditionalFormatting sqref="G5:G69">
    <cfRule type="cellIs" dxfId="73" priority="3" operator="greaterThan">
      <formula>0.011</formula>
    </cfRule>
  </conditionalFormatting>
  <conditionalFormatting sqref="H5:H41">
    <cfRule type="cellIs" dxfId="72" priority="4" operator="equal">
      <formula>"priorité routine"</formula>
    </cfRule>
  </conditionalFormatting>
  <conditionalFormatting sqref="G2">
    <cfRule type="cellIs" dxfId="71" priority="5" operator="equal">
      <formula>"priorité élevée risque absence media backup"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BD116"/>
  <sheetViews>
    <sheetView zoomScale="60" zoomScaleNormal="60" workbookViewId="0">
      <pane ySplit="1350" topLeftCell="A63" activePane="bottomLeft"/>
      <selection activeCell="AJ1" sqref="AJ1:AJ1048576"/>
      <selection pane="bottomLeft" activeCell="P71" sqref="P71"/>
    </sheetView>
  </sheetViews>
  <sheetFormatPr baseColWidth="10" defaultColWidth="11.42578125" defaultRowHeight="15" x14ac:dyDescent="0.25"/>
  <cols>
    <col min="1" max="1" width="11.5703125" style="18" bestFit="1" customWidth="1"/>
    <col min="2" max="2" width="3.42578125" style="18" customWidth="1"/>
    <col min="3" max="3" width="4.5703125" customWidth="1"/>
    <col min="4" max="4" width="18.42578125" style="110" customWidth="1"/>
    <col min="5" max="5" width="26" style="110" customWidth="1"/>
    <col min="6" max="6" width="18.42578125" style="110" customWidth="1"/>
    <col min="7" max="7" width="18.85546875" style="110" customWidth="1"/>
    <col min="8" max="8" width="19.85546875" style="110" customWidth="1"/>
    <col min="9" max="9" width="14.7109375" style="110" customWidth="1"/>
    <col min="10" max="10" width="26.85546875" style="110" customWidth="1"/>
    <col min="11" max="12" width="11.85546875" style="110" customWidth="1"/>
    <col min="13" max="13" width="10.7109375" style="110" customWidth="1"/>
    <col min="14" max="14" width="11.5703125" style="110" customWidth="1"/>
    <col min="15" max="15" width="11.28515625" style="110" customWidth="1"/>
    <col min="16" max="16" width="14.140625" style="110" customWidth="1"/>
    <col min="17" max="17" width="75.7109375" customWidth="1"/>
    <col min="18" max="19" width="11.42578125" style="18"/>
    <col min="20" max="20" width="19.28515625" style="18" customWidth="1"/>
    <col min="21" max="21" width="18.7109375" style="18" customWidth="1"/>
    <col min="22" max="22" width="20.42578125" style="18" customWidth="1"/>
    <col min="23" max="23" width="15.28515625" style="18" customWidth="1"/>
    <col min="24" max="24" width="12.5703125" style="18" customWidth="1"/>
    <col min="25" max="25" width="10.85546875" style="18" customWidth="1"/>
    <col min="26" max="26" width="20.5703125" style="18" customWidth="1"/>
    <col min="27" max="28" width="14.7109375" style="18" customWidth="1"/>
    <col min="29" max="29" width="79.7109375" style="121" customWidth="1"/>
    <col min="30" max="30" width="75.7109375" style="18" customWidth="1"/>
    <col min="31" max="31" width="15.7109375" style="18" customWidth="1"/>
    <col min="32" max="32" width="9.85546875" bestFit="1" customWidth="1"/>
    <col min="33" max="33" width="30" bestFit="1" customWidth="1"/>
    <col min="34" max="34" width="23.5703125" bestFit="1" customWidth="1"/>
    <col min="35" max="35" width="23.42578125" bestFit="1" customWidth="1"/>
    <col min="36" max="36" width="22" bestFit="1" customWidth="1"/>
    <col min="37" max="37" width="18.7109375" bestFit="1" customWidth="1"/>
    <col min="38" max="38" width="22.5703125" bestFit="1" customWidth="1"/>
    <col min="39" max="40" width="22.5703125" customWidth="1"/>
    <col min="42" max="42" width="21.42578125" customWidth="1"/>
    <col min="43" max="43" width="17.28515625" customWidth="1"/>
    <col min="44" max="44" width="62.5703125" customWidth="1"/>
    <col min="45" max="45" width="7.5703125" customWidth="1"/>
    <col min="46" max="46" width="12.85546875" customWidth="1"/>
    <col min="47" max="47" width="27.5703125" customWidth="1"/>
  </cols>
  <sheetData>
    <row r="1" spans="1:56" ht="9" customHeight="1" x14ac:dyDescent="0.25">
      <c r="C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8"/>
      <c r="T1" s="26">
        <f>P11-(T4+V3)</f>
        <v>0.25555555555345366</v>
      </c>
      <c r="AD1"/>
      <c r="AE1"/>
    </row>
    <row r="2" spans="1:56" ht="9" customHeight="1" x14ac:dyDescent="0.25">
      <c r="C2" s="18"/>
      <c r="D2" s="20"/>
      <c r="E2" s="21"/>
      <c r="F2" s="22"/>
      <c r="G2" s="19"/>
      <c r="H2" s="19"/>
      <c r="I2" s="19"/>
      <c r="J2" s="23"/>
      <c r="K2" s="19"/>
      <c r="L2" s="19"/>
      <c r="M2" s="24"/>
      <c r="N2" s="23"/>
      <c r="O2" s="19"/>
      <c r="P2" s="23"/>
      <c r="Q2" s="18"/>
      <c r="R2" s="164" t="s">
        <v>225</v>
      </c>
      <c r="S2" s="27" t="s">
        <v>235</v>
      </c>
      <c r="T2" s="21">
        <v>0.16666666666666666</v>
      </c>
      <c r="U2" s="27" t="s">
        <v>227</v>
      </c>
      <c r="V2" s="21">
        <v>0.3125</v>
      </c>
      <c r="W2" s="27" t="s">
        <v>236</v>
      </c>
      <c r="X2" s="21">
        <f>E2-(V3+V4)</f>
        <v>-0.60763888888888884</v>
      </c>
      <c r="Y2" s="21">
        <f>E2-(T4+V3)</f>
        <v>-0.48263888888888884</v>
      </c>
      <c r="Z2" s="122" t="s">
        <v>237</v>
      </c>
      <c r="AA2" s="123">
        <v>0.3125</v>
      </c>
      <c r="AB2" s="124"/>
      <c r="AD2"/>
      <c r="AE2"/>
      <c r="AG2" s="45"/>
      <c r="AH2" s="45"/>
      <c r="AI2" s="45"/>
      <c r="AJ2" s="45"/>
      <c r="AK2" s="45"/>
      <c r="AL2" s="45"/>
      <c r="AM2" s="45"/>
      <c r="AN2" s="149"/>
    </row>
    <row r="3" spans="1:56" ht="13.5" customHeight="1" x14ac:dyDescent="0.25">
      <c r="C3" s="18"/>
      <c r="D3" s="19"/>
      <c r="E3" s="19"/>
      <c r="F3" s="19"/>
      <c r="G3" s="19"/>
      <c r="H3" s="19"/>
      <c r="I3" s="19"/>
      <c r="J3" s="23"/>
      <c r="K3" s="19"/>
      <c r="L3" s="19"/>
      <c r="M3" s="19"/>
      <c r="N3" s="23"/>
      <c r="O3" s="19"/>
      <c r="P3" s="19"/>
      <c r="Q3" s="18"/>
      <c r="R3" s="165"/>
      <c r="S3" s="27" t="s">
        <v>238</v>
      </c>
      <c r="T3" s="21">
        <v>7.2916666666666671E-2</v>
      </c>
      <c r="U3" s="27" t="s">
        <v>239</v>
      </c>
      <c r="V3" s="21">
        <v>0.17013888888888887</v>
      </c>
      <c r="W3" s="27" t="s">
        <v>240</v>
      </c>
      <c r="X3" s="21">
        <v>0.20833333333333334</v>
      </c>
      <c r="Z3" s="39" t="s">
        <v>70</v>
      </c>
      <c r="AA3" s="40">
        <f>AA4-(V3+AA5)</f>
        <v>0.53819444444444442</v>
      </c>
      <c r="AB3" s="42"/>
      <c r="AD3"/>
      <c r="AE3"/>
    </row>
    <row r="4" spans="1:56" ht="36" customHeight="1" thickBot="1" x14ac:dyDescent="0.3"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8"/>
      <c r="R4" s="166"/>
      <c r="S4" s="27" t="s">
        <v>5</v>
      </c>
      <c r="T4" s="21">
        <v>0.3125</v>
      </c>
      <c r="U4" s="27" t="s">
        <v>7</v>
      </c>
      <c r="V4" s="21">
        <v>0.4375</v>
      </c>
      <c r="W4" s="27" t="s">
        <v>241</v>
      </c>
      <c r="X4" s="21">
        <v>0.33333333333333331</v>
      </c>
      <c r="Z4" s="41" t="s">
        <v>71</v>
      </c>
      <c r="AA4" s="40">
        <v>0.75</v>
      </c>
      <c r="AB4" s="42"/>
      <c r="AD4"/>
      <c r="AE4"/>
      <c r="AG4" s="20" t="s">
        <v>153</v>
      </c>
      <c r="AH4" s="43" t="s">
        <v>154</v>
      </c>
      <c r="AI4" s="20" t="s">
        <v>155</v>
      </c>
      <c r="AJ4" s="20" t="s">
        <v>156</v>
      </c>
      <c r="AK4" s="20" t="s">
        <v>157</v>
      </c>
      <c r="AL4" s="20" t="s">
        <v>158</v>
      </c>
      <c r="AM4" s="20" t="s">
        <v>207</v>
      </c>
      <c r="AN4" s="20" t="s">
        <v>258</v>
      </c>
      <c r="AO4" s="20" t="s">
        <v>256</v>
      </c>
      <c r="AP4" s="20" t="s">
        <v>159</v>
      </c>
      <c r="AQ4" s="20" t="s">
        <v>160</v>
      </c>
      <c r="AR4" s="20" t="s">
        <v>161</v>
      </c>
    </row>
    <row r="5" spans="1:56" ht="18.75" customHeight="1" x14ac:dyDescent="0.25">
      <c r="A5" s="36"/>
      <c r="C5" s="18"/>
      <c r="D5" s="167" t="s">
        <v>285</v>
      </c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9"/>
      <c r="Q5" s="18"/>
      <c r="R5" s="25"/>
      <c r="S5" s="28">
        <v>0</v>
      </c>
      <c r="T5" s="29"/>
      <c r="U5" s="28"/>
      <c r="V5" s="29"/>
      <c r="W5" s="28"/>
      <c r="X5" s="29"/>
      <c r="Z5" s="41" t="s">
        <v>72</v>
      </c>
      <c r="AA5" s="40">
        <v>4.1666666666666664E-2</v>
      </c>
      <c r="AB5" s="42"/>
      <c r="AD5"/>
      <c r="AE5"/>
      <c r="AG5" s="45">
        <v>0.16666666666666666</v>
      </c>
      <c r="AH5" s="45">
        <v>0.66666666666666663</v>
      </c>
      <c r="AI5" s="45">
        <v>0.20833333333333334</v>
      </c>
      <c r="AJ5" s="45">
        <v>0.5</v>
      </c>
      <c r="AK5" s="45">
        <v>0.79166666666666663</v>
      </c>
      <c r="AL5" s="45">
        <v>0.125</v>
      </c>
      <c r="AM5" s="21">
        <v>1.6666666666666667</v>
      </c>
      <c r="AN5" s="45">
        <v>0.70833333333333337</v>
      </c>
      <c r="AO5" s="45">
        <v>0.70833333333333337</v>
      </c>
      <c r="AP5" s="46">
        <v>9.5277777777777768</v>
      </c>
      <c r="AQ5" s="34">
        <v>42025.261805555558</v>
      </c>
      <c r="AR5" s="47">
        <f>AL13-AQ5</f>
        <v>-42025.261805555558</v>
      </c>
    </row>
    <row r="6" spans="1:56" ht="16.5" customHeight="1" thickBot="1" x14ac:dyDescent="0.3">
      <c r="C6" s="18"/>
      <c r="D6" s="170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2"/>
      <c r="Q6" s="18"/>
      <c r="R6" s="25"/>
      <c r="S6" s="28"/>
      <c r="T6" s="29"/>
      <c r="U6" s="28"/>
      <c r="V6" s="29"/>
      <c r="W6" s="28"/>
      <c r="X6" s="29"/>
      <c r="AD6"/>
      <c r="AE6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</row>
    <row r="7" spans="1:56" ht="36.75" customHeight="1" thickBot="1" x14ac:dyDescent="0.3"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8"/>
      <c r="R7" s="25"/>
      <c r="S7" s="28"/>
      <c r="T7" s="29"/>
      <c r="U7" s="28"/>
      <c r="V7" s="29"/>
      <c r="W7" s="28"/>
      <c r="X7" s="29"/>
      <c r="AD7"/>
      <c r="AE7"/>
      <c r="AG7" s="48"/>
      <c r="AH7" s="44"/>
      <c r="AI7" s="44"/>
      <c r="AJ7" s="44"/>
      <c r="AK7" s="44"/>
      <c r="AL7" s="49"/>
      <c r="AM7" s="48"/>
      <c r="AN7" s="48"/>
      <c r="AO7" s="44"/>
      <c r="AP7" s="44"/>
      <c r="AQ7" s="44"/>
      <c r="AR7" s="44"/>
    </row>
    <row r="8" spans="1:56" ht="67.5" thickBot="1" x14ac:dyDescent="0.3">
      <c r="A8" s="173">
        <f ca="1">TODAY()</f>
        <v>42252</v>
      </c>
      <c r="B8" s="174"/>
      <c r="C8" s="175"/>
      <c r="D8" s="107" t="s">
        <v>226</v>
      </c>
      <c r="E8" s="159" t="s">
        <v>16</v>
      </c>
      <c r="F8" s="160"/>
      <c r="G8" s="108" t="s">
        <v>13</v>
      </c>
      <c r="H8" s="159" t="s">
        <v>12</v>
      </c>
      <c r="I8" s="176"/>
      <c r="J8" s="176"/>
      <c r="K8" s="176"/>
      <c r="L8" s="176"/>
      <c r="M8" s="176"/>
      <c r="N8" s="176"/>
      <c r="O8" s="176"/>
      <c r="P8" s="160"/>
      <c r="Q8" s="111" t="s">
        <v>247</v>
      </c>
      <c r="R8" s="112" t="s">
        <v>206</v>
      </c>
      <c r="T8" s="177" t="s">
        <v>14</v>
      </c>
      <c r="U8" s="177"/>
      <c r="V8" s="177"/>
      <c r="W8" s="178" t="s">
        <v>12</v>
      </c>
      <c r="X8" s="178"/>
      <c r="Y8" s="178"/>
      <c r="Z8" s="178"/>
      <c r="AA8" s="179"/>
      <c r="AB8" s="109"/>
      <c r="AC8" s="111" t="s">
        <v>247</v>
      </c>
      <c r="AD8"/>
      <c r="AE8"/>
      <c r="AF8" s="50"/>
      <c r="AG8" s="180">
        <f t="shared" ref="AG8" si="0">$AF$8</f>
        <v>0</v>
      </c>
      <c r="AH8" s="181"/>
      <c r="AI8" s="181"/>
      <c r="AJ8" s="181"/>
      <c r="AK8" s="181"/>
      <c r="AL8" s="181"/>
      <c r="AM8" s="182"/>
      <c r="AN8" s="150"/>
      <c r="AP8" s="51"/>
      <c r="AQ8" s="51"/>
      <c r="AR8" s="52"/>
      <c r="AW8" s="161" t="s">
        <v>197</v>
      </c>
      <c r="AX8" s="161"/>
      <c r="AY8" s="161"/>
    </row>
    <row r="9" spans="1:56" ht="75" x14ac:dyDescent="0.25">
      <c r="B9" s="162" t="s">
        <v>2</v>
      </c>
      <c r="C9" s="37"/>
      <c r="D9" s="6" t="s">
        <v>227</v>
      </c>
      <c r="E9" s="6" t="s">
        <v>228</v>
      </c>
      <c r="F9" s="6" t="s">
        <v>0</v>
      </c>
      <c r="G9" s="6" t="s">
        <v>10</v>
      </c>
      <c r="H9" s="6" t="s">
        <v>1</v>
      </c>
      <c r="I9" s="6" t="s">
        <v>9</v>
      </c>
      <c r="J9" s="113" t="s">
        <v>229</v>
      </c>
      <c r="K9" s="6" t="s">
        <v>230</v>
      </c>
      <c r="L9" s="6" t="s">
        <v>231</v>
      </c>
      <c r="M9" s="114" t="s">
        <v>8</v>
      </c>
      <c r="N9" s="115" t="s">
        <v>232</v>
      </c>
      <c r="O9" s="116" t="s">
        <v>233</v>
      </c>
      <c r="P9" s="117" t="s">
        <v>11</v>
      </c>
      <c r="Q9" s="16" t="s">
        <v>17</v>
      </c>
      <c r="S9" s="30"/>
      <c r="T9" s="31" t="s">
        <v>3</v>
      </c>
      <c r="U9" s="31" t="s">
        <v>242</v>
      </c>
      <c r="V9" s="31" t="s">
        <v>243</v>
      </c>
      <c r="W9" s="125" t="s">
        <v>244</v>
      </c>
      <c r="X9" s="126" t="s">
        <v>6</v>
      </c>
      <c r="Y9" s="127" t="s">
        <v>4</v>
      </c>
      <c r="Z9" s="128" t="s">
        <v>15</v>
      </c>
      <c r="AA9" s="31" t="s">
        <v>245</v>
      </c>
      <c r="AB9" s="31" t="s">
        <v>246</v>
      </c>
      <c r="AC9" s="129" t="s">
        <v>17</v>
      </c>
      <c r="AD9"/>
      <c r="AE9"/>
      <c r="AF9" s="32" t="s">
        <v>162</v>
      </c>
      <c r="AG9" s="59" t="s">
        <v>219</v>
      </c>
      <c r="AH9" s="59" t="s">
        <v>220</v>
      </c>
      <c r="AI9" s="59" t="s">
        <v>221</v>
      </c>
      <c r="AJ9" s="20" t="s">
        <v>222</v>
      </c>
      <c r="AK9" s="59" t="s">
        <v>163</v>
      </c>
      <c r="AL9" s="59" t="s">
        <v>205</v>
      </c>
      <c r="AM9" s="20" t="s">
        <v>257</v>
      </c>
      <c r="AN9" s="25"/>
      <c r="AO9" s="58"/>
      <c r="AP9" s="20" t="s">
        <v>203</v>
      </c>
      <c r="AQ9" s="20" t="s">
        <v>204</v>
      </c>
      <c r="AR9" s="53" t="s">
        <v>164</v>
      </c>
      <c r="AT9" s="60" t="s">
        <v>198</v>
      </c>
      <c r="AU9" s="60" t="s">
        <v>199</v>
      </c>
      <c r="AV9" s="18"/>
      <c r="AW9" s="61" t="s">
        <v>200</v>
      </c>
      <c r="AX9" s="61" t="s">
        <v>201</v>
      </c>
      <c r="AY9" s="62" t="s">
        <v>202</v>
      </c>
      <c r="AZ9" s="62" t="s">
        <v>223</v>
      </c>
      <c r="BA9" s="62" t="s">
        <v>224</v>
      </c>
    </row>
    <row r="10" spans="1:56" ht="21" hidden="1" x14ac:dyDescent="0.25">
      <c r="B10" s="163"/>
      <c r="C10" s="17" t="s">
        <v>18</v>
      </c>
      <c r="D10" s="1"/>
      <c r="E10" s="34">
        <v>42211.067361111112</v>
      </c>
      <c r="F10" s="34">
        <v>42211.12222222222</v>
      </c>
      <c r="G10" s="1"/>
      <c r="H10" s="13">
        <f t="shared" ref="H10:H13" si="1">IF(D10="x",((F10-E10)-$V$2),IF((F10-E10)&lt;=$T$3,0,(F10-E10)))</f>
        <v>0</v>
      </c>
      <c r="I10" s="13">
        <f t="shared" ref="I10:I73" si="2">IF(G10="x",$AA$2,0)</f>
        <v>0</v>
      </c>
      <c r="J10" s="9"/>
      <c r="K10" s="13">
        <f t="shared" ref="K10:K73" si="3">IF(H10&lt;0,M10,M10-H10)</f>
        <v>0</v>
      </c>
      <c r="L10" s="13">
        <f t="shared" ref="L10:L73" si="4">IF(D10="x",((F10-(U9+$V$3))),($S$5))</f>
        <v>0</v>
      </c>
      <c r="M10" s="13">
        <f>IF((F10-E10)&lt;=$T$3,0,(F10-E10))</f>
        <v>0</v>
      </c>
      <c r="N10" s="7">
        <f>P10-($T$2+$X$3)</f>
        <v>0.3125</v>
      </c>
      <c r="O10" s="8">
        <f>N10+$X$4</f>
        <v>0.64583333333333326</v>
      </c>
      <c r="P10" s="11">
        <v>0.6875</v>
      </c>
      <c r="Q10" s="118"/>
      <c r="R10" s="119" t="s">
        <v>234</v>
      </c>
      <c r="S10" s="30" t="s">
        <v>44</v>
      </c>
      <c r="T10" s="33">
        <v>42211.359027777777</v>
      </c>
      <c r="U10" s="34">
        <v>42211.367361111108</v>
      </c>
      <c r="V10" s="33">
        <v>42211.647916666669</v>
      </c>
      <c r="W10" s="38">
        <f>U10-T10</f>
        <v>8.333333331393078E-3</v>
      </c>
      <c r="X10" s="15">
        <f>$V$4-$T$4</f>
        <v>0.125</v>
      </c>
      <c r="Y10" s="35">
        <f>V10-U10</f>
        <v>0.28055555556056788</v>
      </c>
      <c r="Z10" s="9">
        <f>Y10-AA10</f>
        <v>-0.32708333332832096</v>
      </c>
      <c r="AA10" s="9">
        <f>$V$3+$V$4</f>
        <v>0.60763888888888884</v>
      </c>
      <c r="AB10" s="11">
        <f>W10+AA10</f>
        <v>0.61597222222028192</v>
      </c>
      <c r="AC10" s="130"/>
      <c r="AD10"/>
      <c r="AE10"/>
      <c r="AF10" s="54"/>
      <c r="AG10" s="25"/>
      <c r="AH10" s="25"/>
      <c r="AI10" s="25"/>
      <c r="AJ10" s="25"/>
      <c r="AK10" s="25"/>
      <c r="AL10" s="25"/>
      <c r="AM10" s="25"/>
      <c r="AN10" s="25"/>
      <c r="AO10" s="58"/>
      <c r="AP10" s="25"/>
      <c r="AQ10" s="25"/>
      <c r="AR10" s="56"/>
      <c r="AS10" s="18"/>
      <c r="AT10" s="25"/>
      <c r="AU10" s="25"/>
      <c r="AV10" s="18"/>
      <c r="AW10" s="56"/>
      <c r="AX10" s="56"/>
      <c r="AY10" s="25"/>
      <c r="AZ10" s="25"/>
      <c r="BA10" s="25"/>
      <c r="BB10" s="18"/>
      <c r="BC10" s="18"/>
      <c r="BD10" s="18"/>
    </row>
    <row r="11" spans="1:56" ht="21" hidden="1" x14ac:dyDescent="0.25">
      <c r="B11" s="163"/>
      <c r="C11" s="17" t="s">
        <v>19</v>
      </c>
      <c r="D11" s="1"/>
      <c r="E11" s="34">
        <v>42211.805555555555</v>
      </c>
      <c r="F11" s="34">
        <v>42212.086111111108</v>
      </c>
      <c r="G11" s="1"/>
      <c r="H11" s="13">
        <f t="shared" si="1"/>
        <v>0.28055555555329192</v>
      </c>
      <c r="I11" s="13">
        <f t="shared" si="2"/>
        <v>0</v>
      </c>
      <c r="J11" s="10">
        <f t="shared" ref="J11:J74" si="5">IF(W10&lt;=X10,(M10-((P10-($T$4+$V$3))-W10)),(M10-((P10-($T$4+$V$3)-X10))))</f>
        <v>-0.19652777777971808</v>
      </c>
      <c r="K11" s="13">
        <f t="shared" si="3"/>
        <v>0</v>
      </c>
      <c r="L11" s="13">
        <f t="shared" si="4"/>
        <v>0</v>
      </c>
      <c r="M11" s="13">
        <f t="shared" ref="M11:M74" si="6">IF((F11-E11)&lt;=$T$3,0,(F11-E11))</f>
        <v>0.28055555555329192</v>
      </c>
      <c r="N11" s="7">
        <f t="shared" ref="N11:N74" si="7">P11-($T$2+$X$3)</f>
        <v>0.3631944444423425</v>
      </c>
      <c r="O11" s="8">
        <f t="shared" ref="O11:O74" si="8">N11+$X$4</f>
        <v>0.69652777777567576</v>
      </c>
      <c r="P11" s="12">
        <f>E11-E10</f>
        <v>0.7381944444423425</v>
      </c>
      <c r="Q11" s="118" t="s">
        <v>248</v>
      </c>
      <c r="R11" s="119"/>
      <c r="S11" s="30" t="s">
        <v>45</v>
      </c>
      <c r="T11" s="34">
        <v>42212.394444444442</v>
      </c>
      <c r="U11" s="33">
        <v>42212.397222222222</v>
      </c>
      <c r="V11" s="33">
        <v>42212.95416666667</v>
      </c>
      <c r="W11" s="38">
        <f>U11-T11</f>
        <v>2.7777777795563452E-3</v>
      </c>
      <c r="X11" s="15">
        <f t="shared" ref="X11:X74" si="9">$V$4-$T$4</f>
        <v>0.125</v>
      </c>
      <c r="Y11" s="35">
        <f t="shared" ref="Y11:Y74" si="10">V11-U11</f>
        <v>0.55694444444816327</v>
      </c>
      <c r="Z11" s="9">
        <f t="shared" ref="Z11:Z74" si="11">Y11-AA11</f>
        <v>-5.0694444440725572E-2</v>
      </c>
      <c r="AA11" s="9">
        <f t="shared" ref="AA11:AA74" si="12">$V$3+$V$4</f>
        <v>0.60763888888888884</v>
      </c>
      <c r="AB11" s="11">
        <f t="shared" ref="AB11:AB74" si="13">W11+AA11</f>
        <v>0.61041666666844518</v>
      </c>
      <c r="AC11" s="130"/>
      <c r="AD11"/>
      <c r="AE11"/>
      <c r="AF11" s="54"/>
      <c r="AG11" s="25"/>
      <c r="AH11" s="25"/>
      <c r="AI11" s="25"/>
      <c r="AJ11" s="25"/>
      <c r="AK11" s="25"/>
      <c r="AL11" s="25"/>
      <c r="AM11" s="25"/>
      <c r="AN11" s="25"/>
      <c r="AO11" s="57"/>
      <c r="AP11" s="25"/>
      <c r="AQ11" s="25"/>
      <c r="AR11" s="56"/>
      <c r="AT11" s="42"/>
      <c r="AU11" s="57"/>
      <c r="AV11" s="18"/>
      <c r="AW11" s="65"/>
      <c r="AX11" s="65"/>
      <c r="AY11" s="65"/>
      <c r="AZ11" s="64"/>
    </row>
    <row r="12" spans="1:56" ht="21" hidden="1" x14ac:dyDescent="0.25">
      <c r="B12" s="163"/>
      <c r="C12" s="17" t="s">
        <v>20</v>
      </c>
      <c r="D12" s="1"/>
      <c r="E12" s="34">
        <v>42212.583333333336</v>
      </c>
      <c r="F12" s="34">
        <v>42212.736111111109</v>
      </c>
      <c r="G12" s="1"/>
      <c r="H12" s="13">
        <f t="shared" si="1"/>
        <v>0.15277777777373558</v>
      </c>
      <c r="I12" s="13">
        <f t="shared" si="2"/>
        <v>0</v>
      </c>
      <c r="J12" s="10">
        <f t="shared" si="5"/>
        <v>2.7777777779394608E-2</v>
      </c>
      <c r="K12" s="13">
        <f t="shared" si="3"/>
        <v>0</v>
      </c>
      <c r="L12" s="13">
        <f t="shared" si="4"/>
        <v>0</v>
      </c>
      <c r="M12" s="13">
        <f t="shared" si="6"/>
        <v>0.15277777777373558</v>
      </c>
      <c r="N12" s="7">
        <f t="shared" si="7"/>
        <v>0.40277777778101154</v>
      </c>
      <c r="O12" s="8">
        <f t="shared" si="8"/>
        <v>0.7361111111143448</v>
      </c>
      <c r="P12" s="12">
        <f t="shared" ref="P12:P75" si="14">E12-E11</f>
        <v>0.77777777778101154</v>
      </c>
      <c r="Q12" s="118" t="s">
        <v>249</v>
      </c>
      <c r="S12" s="30" t="s">
        <v>46</v>
      </c>
      <c r="T12" s="34">
        <v>42213.052777777775</v>
      </c>
      <c r="U12" s="33">
        <v>42213.063888888886</v>
      </c>
      <c r="V12" s="33">
        <v>42213.606249999997</v>
      </c>
      <c r="W12" s="38">
        <f>U12-T12</f>
        <v>1.1111111110949423E-2</v>
      </c>
      <c r="X12" s="15">
        <f t="shared" si="9"/>
        <v>0.125</v>
      </c>
      <c r="Y12" s="35">
        <f>V12-U12</f>
        <v>0.54236111111094942</v>
      </c>
      <c r="Z12" s="9">
        <f t="shared" si="11"/>
        <v>-6.5277777777939416E-2</v>
      </c>
      <c r="AA12" s="9">
        <f t="shared" si="12"/>
        <v>0.60763888888888884</v>
      </c>
      <c r="AB12" s="11">
        <f t="shared" si="13"/>
        <v>0.61874999999983826</v>
      </c>
      <c r="AC12" s="130"/>
      <c r="AD12"/>
      <c r="AE12"/>
      <c r="AF12" s="32" t="s">
        <v>165</v>
      </c>
      <c r="AG12" s="34">
        <v>42213.826388888891</v>
      </c>
      <c r="AH12" s="34">
        <v>42213.933333333334</v>
      </c>
      <c r="AI12" s="34">
        <v>42214.609027777777</v>
      </c>
      <c r="AJ12" s="34">
        <v>42214.770138888889</v>
      </c>
      <c r="AK12" s="34">
        <v>42214.852083333331</v>
      </c>
      <c r="AL12" s="34">
        <v>42215.70416666667</v>
      </c>
      <c r="AM12" s="34">
        <v>42215.868055555555</v>
      </c>
      <c r="AN12" s="55"/>
      <c r="AO12" s="71"/>
      <c r="AP12" s="21">
        <v>0</v>
      </c>
      <c r="AQ12" s="21">
        <f>AK12-AI12</f>
        <v>0.24305555555474712</v>
      </c>
      <c r="AR12" s="43" t="s">
        <v>251</v>
      </c>
      <c r="AT12" s="103">
        <v>0.11458333333333333</v>
      </c>
      <c r="AU12" s="41"/>
      <c r="AV12" s="18"/>
      <c r="AW12" s="63"/>
      <c r="AX12" s="63">
        <f>P10+P11</f>
        <v>1.4256944444423425</v>
      </c>
      <c r="AY12" s="105">
        <v>0</v>
      </c>
      <c r="AZ12" s="64">
        <v>0.79166666666666663</v>
      </c>
      <c r="BA12" s="63">
        <f t="shared" ref="BA12:BA74" si="15">AX12</f>
        <v>1.4256944444423425</v>
      </c>
    </row>
    <row r="13" spans="1:56" ht="21" hidden="1" x14ac:dyDescent="0.25">
      <c r="B13" s="163"/>
      <c r="C13" s="17" t="s">
        <v>21</v>
      </c>
      <c r="D13" s="1"/>
      <c r="E13" s="34">
        <v>42213.315972222219</v>
      </c>
      <c r="F13" s="34">
        <v>42213.381944444445</v>
      </c>
      <c r="G13" s="1"/>
      <c r="H13" s="13">
        <f t="shared" si="1"/>
        <v>0</v>
      </c>
      <c r="I13" s="13">
        <f t="shared" si="2"/>
        <v>0</v>
      </c>
      <c r="J13" s="10">
        <f t="shared" si="5"/>
        <v>-0.13125000000743769</v>
      </c>
      <c r="K13" s="13">
        <f t="shared" si="3"/>
        <v>0</v>
      </c>
      <c r="L13" s="13">
        <f t="shared" si="4"/>
        <v>0</v>
      </c>
      <c r="M13" s="13">
        <f t="shared" si="6"/>
        <v>0</v>
      </c>
      <c r="N13" s="7">
        <f t="shared" si="7"/>
        <v>0.35763888888322981</v>
      </c>
      <c r="O13" s="8">
        <f t="shared" si="8"/>
        <v>0.69097222221656307</v>
      </c>
      <c r="P13" s="12">
        <f>E13-E12</f>
        <v>0.73263888888322981</v>
      </c>
      <c r="Q13" s="118"/>
      <c r="R13" s="119" t="s">
        <v>234</v>
      </c>
      <c r="S13" s="30" t="s">
        <v>47</v>
      </c>
      <c r="T13" s="34">
        <v>42213.696527777778</v>
      </c>
      <c r="U13" s="33">
        <v>42213.699305555558</v>
      </c>
      <c r="V13" s="33">
        <v>42214.255555555559</v>
      </c>
      <c r="W13" s="38">
        <f t="shared" ref="W13:W75" si="16">U13-T13</f>
        <v>2.7777777795563452E-3</v>
      </c>
      <c r="X13" s="15">
        <f t="shared" si="9"/>
        <v>0.125</v>
      </c>
      <c r="Y13" s="35">
        <f t="shared" si="10"/>
        <v>0.55625000000145519</v>
      </c>
      <c r="Z13" s="9">
        <f t="shared" si="11"/>
        <v>-5.1388888887433648E-2</v>
      </c>
      <c r="AA13" s="9">
        <f t="shared" si="12"/>
        <v>0.60763888888888884</v>
      </c>
      <c r="AB13" s="11">
        <f t="shared" si="13"/>
        <v>0.61041666666844518</v>
      </c>
      <c r="AC13" s="130"/>
      <c r="AD13"/>
      <c r="AE13"/>
      <c r="AF13" s="54"/>
      <c r="AG13" s="55"/>
      <c r="AH13" s="132"/>
      <c r="AI13" s="132"/>
      <c r="AJ13" s="132"/>
      <c r="AK13" s="132"/>
      <c r="AL13" s="132"/>
      <c r="AM13" s="55"/>
      <c r="AN13" s="55"/>
      <c r="AO13" s="71"/>
      <c r="AP13" s="21"/>
      <c r="AQ13" s="29"/>
      <c r="AR13" s="56"/>
      <c r="AT13" s="18"/>
      <c r="AU13" s="18"/>
      <c r="AV13" s="18"/>
      <c r="AW13" s="26"/>
      <c r="AX13" s="63">
        <f>P11+P12</f>
        <v>1.515972222223354</v>
      </c>
      <c r="AY13" s="106"/>
      <c r="AZ13" s="64">
        <v>0.79166666666666663</v>
      </c>
      <c r="BA13" s="63">
        <f>AX13</f>
        <v>1.515972222223354</v>
      </c>
    </row>
    <row r="14" spans="1:56" ht="21" hidden="1" x14ac:dyDescent="0.25">
      <c r="B14" s="163"/>
      <c r="C14" s="17" t="s">
        <v>22</v>
      </c>
      <c r="D14" s="1"/>
      <c r="E14" s="2">
        <v>42213.965277777781</v>
      </c>
      <c r="F14" s="34">
        <v>42214.039583333331</v>
      </c>
      <c r="G14" s="1"/>
      <c r="H14" s="13">
        <f>IF(D14="x",((F14-E14)-$V$2),IF((F14-E14)&lt;=$T$3,0,(F14-E14)))</f>
        <v>7.4305555550381541E-2</v>
      </c>
      <c r="I14" s="13">
        <f t="shared" si="2"/>
        <v>0</v>
      </c>
      <c r="J14" s="10">
        <f t="shared" si="5"/>
        <v>-0.24722222221478463</v>
      </c>
      <c r="K14" s="13">
        <f t="shared" si="3"/>
        <v>0</v>
      </c>
      <c r="L14" s="13">
        <f t="shared" si="4"/>
        <v>0</v>
      </c>
      <c r="M14" s="13">
        <f t="shared" si="6"/>
        <v>7.4305555550381541E-2</v>
      </c>
      <c r="N14" s="7">
        <f t="shared" si="7"/>
        <v>0.27430555556202307</v>
      </c>
      <c r="O14" s="8">
        <f t="shared" si="8"/>
        <v>0.60763888889535633</v>
      </c>
      <c r="P14" s="12">
        <f t="shared" si="14"/>
        <v>0.64930555556202307</v>
      </c>
      <c r="Q14" s="118" t="s">
        <v>250</v>
      </c>
      <c r="S14" s="30" t="s">
        <v>48</v>
      </c>
      <c r="T14" s="34">
        <v>42214.356249999997</v>
      </c>
      <c r="U14" s="33">
        <v>42214.35833333333</v>
      </c>
      <c r="V14" s="33">
        <f t="shared" ref="V14" si="17">U14+$V$3+$V$4</f>
        <v>42214.96597222222</v>
      </c>
      <c r="W14" s="38">
        <f t="shared" si="16"/>
        <v>2.0833333328482695E-3</v>
      </c>
      <c r="X14" s="15">
        <f t="shared" si="9"/>
        <v>0.125</v>
      </c>
      <c r="Y14" s="35">
        <f t="shared" si="10"/>
        <v>0.60763888889050577</v>
      </c>
      <c r="Z14" s="9">
        <f t="shared" si="11"/>
        <v>1.616928813064078E-12</v>
      </c>
      <c r="AA14" s="9">
        <f t="shared" si="12"/>
        <v>0.60763888888888884</v>
      </c>
      <c r="AB14" s="11">
        <f t="shared" si="13"/>
        <v>0.60972222222173711</v>
      </c>
      <c r="AC14" s="130"/>
      <c r="AD14"/>
      <c r="AE14"/>
      <c r="AF14" s="32" t="s">
        <v>166</v>
      </c>
      <c r="AG14" s="34">
        <f t="shared" ref="AG14" si="18">(V14+$AG$5)-TIME(1,0,0)</f>
        <v>42215.09097222222</v>
      </c>
      <c r="AH14" s="34">
        <f t="shared" ref="AH14" si="19">IF(AJ12&gt;AG14,AJ12,AG14+TIME(2,0,0))</f>
        <v>42215.174305555556</v>
      </c>
      <c r="AI14" s="34">
        <v>42215.9</v>
      </c>
      <c r="AJ14" s="34">
        <v>42216.36041666667</v>
      </c>
      <c r="AK14" s="34">
        <v>42216.206944444442</v>
      </c>
      <c r="AL14" s="34">
        <v>42217.038194444445</v>
      </c>
      <c r="AM14" s="34">
        <f>AL14+$AL$5</f>
        <v>42217.163194444445</v>
      </c>
      <c r="AN14" s="55"/>
      <c r="AO14" s="48"/>
      <c r="AP14" s="21">
        <f t="shared" ref="AP14" si="20">AH14-AG14-TIME(2,0,0)</f>
        <v>2.4253238306570779E-12</v>
      </c>
      <c r="AQ14" s="21">
        <f>AM12-AI14</f>
        <v>-3.1944444446708076E-2</v>
      </c>
      <c r="AR14" s="43" t="s">
        <v>252</v>
      </c>
      <c r="AT14" s="40">
        <v>0.1111111111111111</v>
      </c>
      <c r="AU14" s="41"/>
      <c r="AV14" s="18"/>
      <c r="AW14" s="63">
        <f>AL14-AL12</f>
        <v>1.3340277777751908</v>
      </c>
      <c r="AX14" s="63">
        <f>P13+P14</f>
        <v>1.3819444444452529</v>
      </c>
      <c r="AY14" s="105">
        <f t="shared" ref="AY14:AY50" si="21">ABS(AX14-AW14)</f>
        <v>4.7916666670062114E-2</v>
      </c>
      <c r="AZ14" s="64">
        <v>0.79166666666666663</v>
      </c>
      <c r="BA14" s="63">
        <f t="shared" si="15"/>
        <v>1.3819444444452529</v>
      </c>
    </row>
    <row r="15" spans="1:56" ht="21" hidden="1" x14ac:dyDescent="0.25">
      <c r="B15" s="163"/>
      <c r="C15" s="17" t="s">
        <v>23</v>
      </c>
      <c r="D15" s="1"/>
      <c r="E15" s="2">
        <v>42214.638888888891</v>
      </c>
      <c r="F15" s="34">
        <v>42214.697222222225</v>
      </c>
      <c r="G15" s="14"/>
      <c r="H15" s="13">
        <f>IF(D15="x",((F15-E15)-$V$2),IF((F15-E15)&lt;=$T$3,0,(F15-E15)))</f>
        <v>0</v>
      </c>
      <c r="I15" s="13">
        <f t="shared" si="2"/>
        <v>0</v>
      </c>
      <c r="J15" s="10">
        <f t="shared" si="5"/>
        <v>-9.0277777789904423E-2</v>
      </c>
      <c r="K15" s="13">
        <f t="shared" si="3"/>
        <v>0</v>
      </c>
      <c r="L15" s="13">
        <f t="shared" si="4"/>
        <v>0</v>
      </c>
      <c r="M15" s="13">
        <f t="shared" si="6"/>
        <v>0</v>
      </c>
      <c r="N15" s="7">
        <f t="shared" si="7"/>
        <v>0.29861111110949423</v>
      </c>
      <c r="O15" s="8">
        <f t="shared" si="8"/>
        <v>0.63194444444282749</v>
      </c>
      <c r="P15" s="12">
        <f t="shared" si="14"/>
        <v>0.67361111110949423</v>
      </c>
      <c r="Q15" s="118"/>
      <c r="R15" s="119" t="s">
        <v>234</v>
      </c>
      <c r="S15" s="30" t="s">
        <v>49</v>
      </c>
      <c r="T15" s="34">
        <v>42215.013194444444</v>
      </c>
      <c r="U15" s="33">
        <v>42215.020833333336</v>
      </c>
      <c r="V15" s="33">
        <v>42215.638194444444</v>
      </c>
      <c r="W15" s="38">
        <f t="shared" si="16"/>
        <v>7.6388888919609599E-3</v>
      </c>
      <c r="X15" s="15">
        <f t="shared" si="9"/>
        <v>0.125</v>
      </c>
      <c r="Y15" s="35">
        <f t="shared" si="10"/>
        <v>0.61736111110803904</v>
      </c>
      <c r="Z15" s="9">
        <f t="shared" si="11"/>
        <v>9.7222222191502006E-3</v>
      </c>
      <c r="AA15" s="9">
        <f t="shared" si="12"/>
        <v>0.60763888888888884</v>
      </c>
      <c r="AB15" s="11">
        <f t="shared" si="13"/>
        <v>0.6152777777808498</v>
      </c>
      <c r="AC15" s="130"/>
      <c r="AD15"/>
      <c r="AE15"/>
      <c r="AF15" s="54"/>
      <c r="AG15" s="55"/>
      <c r="AH15" s="132"/>
      <c r="AI15" s="132"/>
      <c r="AJ15" s="132"/>
      <c r="AK15" s="132"/>
      <c r="AL15" s="132"/>
      <c r="AM15" s="132"/>
      <c r="AN15" s="132"/>
      <c r="AO15" s="71"/>
      <c r="AP15" s="21"/>
      <c r="AQ15" s="29"/>
      <c r="AR15" s="56"/>
      <c r="AT15" s="18"/>
      <c r="AU15" s="18"/>
      <c r="AV15" s="18"/>
      <c r="AW15" s="63"/>
      <c r="AX15" s="63">
        <f t="shared" ref="AX15:AX46" si="22">P14+P15</f>
        <v>1.3229166666715173</v>
      </c>
      <c r="AY15" s="106"/>
      <c r="AZ15" s="64">
        <v>0.79166666666666663</v>
      </c>
      <c r="BA15" s="63">
        <f t="shared" si="15"/>
        <v>1.3229166666715173</v>
      </c>
    </row>
    <row r="16" spans="1:56" ht="21" hidden="1" x14ac:dyDescent="0.25">
      <c r="B16" s="163"/>
      <c r="C16" s="17" t="s">
        <v>24</v>
      </c>
      <c r="D16" s="1"/>
      <c r="E16" s="2">
        <v>42215.300694444442</v>
      </c>
      <c r="F16" s="34">
        <v>42215.372916666667</v>
      </c>
      <c r="G16" s="1"/>
      <c r="H16" s="13">
        <f t="shared" ref="H16:H75" si="23">IF(D16="x",((F16-E16)-$V$2),IF((F16-E16)&lt;=$T$3,0,(F16-E16)))</f>
        <v>0</v>
      </c>
      <c r="I16" s="13">
        <f t="shared" si="2"/>
        <v>0</v>
      </c>
      <c r="J16" s="10">
        <f t="shared" si="5"/>
        <v>-0.18333333332864443</v>
      </c>
      <c r="K16" s="13">
        <f t="shared" si="3"/>
        <v>0</v>
      </c>
      <c r="L16" s="13">
        <f t="shared" si="4"/>
        <v>0</v>
      </c>
      <c r="M16" s="13">
        <f t="shared" si="6"/>
        <v>0</v>
      </c>
      <c r="N16" s="7">
        <f t="shared" si="7"/>
        <v>0.28680555555183673</v>
      </c>
      <c r="O16" s="8">
        <f t="shared" si="8"/>
        <v>0.62013888888516999</v>
      </c>
      <c r="P16" s="12">
        <f t="shared" si="14"/>
        <v>0.66180555555183673</v>
      </c>
      <c r="Q16" s="118"/>
      <c r="S16" s="30" t="s">
        <v>50</v>
      </c>
      <c r="T16" s="34">
        <v>42215.697222222225</v>
      </c>
      <c r="U16" s="33">
        <v>42215.697916666664</v>
      </c>
      <c r="V16" s="33">
        <v>42216.319444444445</v>
      </c>
      <c r="W16" s="38">
        <f>U16-T16</f>
        <v>6.9444443943211809E-4</v>
      </c>
      <c r="X16" s="15">
        <f t="shared" si="9"/>
        <v>0.125</v>
      </c>
      <c r="Y16" s="35">
        <f t="shared" si="10"/>
        <v>0.62152777778101154</v>
      </c>
      <c r="Z16" s="9">
        <f>Y16-AA16</f>
        <v>1.3888888892122697E-2</v>
      </c>
      <c r="AA16" s="9">
        <f t="shared" si="12"/>
        <v>0.60763888888888884</v>
      </c>
      <c r="AB16" s="11">
        <f t="shared" si="13"/>
        <v>0.60833333332832096</v>
      </c>
      <c r="AC16" s="130"/>
      <c r="AD16"/>
      <c r="AE16"/>
      <c r="AF16" s="32" t="s">
        <v>167</v>
      </c>
      <c r="AG16" s="34">
        <v>42216.456944444442</v>
      </c>
      <c r="AH16" s="34">
        <v>42216.548611111109</v>
      </c>
      <c r="AI16" s="34">
        <v>42217.220138888886</v>
      </c>
      <c r="AJ16" s="34">
        <f t="shared" ref="AJ16" si="24">AI16+$AI$5</f>
        <v>42217.428472222222</v>
      </c>
      <c r="AK16" s="34">
        <v>42217.43472222222</v>
      </c>
      <c r="AL16" s="34">
        <v>42218.271527777775</v>
      </c>
      <c r="AM16" s="34">
        <v>42218.440972222219</v>
      </c>
      <c r="AN16" s="55"/>
      <c r="AO16" s="48"/>
      <c r="AP16" s="21">
        <f t="shared" ref="AP16" si="25">AH16-AG16-TIME(2,0,0)</f>
        <v>8.3333333338184018E-3</v>
      </c>
      <c r="AQ16" s="21">
        <f>AM14-AI16</f>
        <v>-5.694444444088731E-2</v>
      </c>
      <c r="AR16" s="43"/>
      <c r="AT16" s="40">
        <v>0.18541666666666667</v>
      </c>
      <c r="AU16" s="41"/>
      <c r="AV16" s="18"/>
      <c r="AW16" s="63">
        <f t="shared" ref="AW16:AW44" si="26">AL16-AL14</f>
        <v>1.2333333333299379</v>
      </c>
      <c r="AX16" s="63">
        <f t="shared" si="22"/>
        <v>1.335416666661331</v>
      </c>
      <c r="AY16" s="105">
        <f t="shared" si="21"/>
        <v>0.10208333333139308</v>
      </c>
      <c r="AZ16" s="64">
        <v>0.79166666666666663</v>
      </c>
      <c r="BA16" s="63">
        <f t="shared" si="15"/>
        <v>1.335416666661331</v>
      </c>
    </row>
    <row r="17" spans="2:53" customFormat="1" ht="21" hidden="1" x14ac:dyDescent="0.25">
      <c r="B17" s="163"/>
      <c r="C17" s="17" t="s">
        <v>25</v>
      </c>
      <c r="D17" s="1"/>
      <c r="E17" s="2">
        <v>42215.986111111109</v>
      </c>
      <c r="F17" s="34">
        <v>42216.052083333336</v>
      </c>
      <c r="G17" s="1"/>
      <c r="H17" s="13">
        <f t="shared" si="23"/>
        <v>0</v>
      </c>
      <c r="I17" s="13">
        <f t="shared" si="2"/>
        <v>0</v>
      </c>
      <c r="J17" s="10">
        <f t="shared" si="5"/>
        <v>-0.17847222222351578</v>
      </c>
      <c r="K17" s="13">
        <f t="shared" si="3"/>
        <v>0</v>
      </c>
      <c r="L17" s="13">
        <f t="shared" si="4"/>
        <v>0</v>
      </c>
      <c r="M17" s="13">
        <f t="shared" si="6"/>
        <v>0</v>
      </c>
      <c r="N17" s="7">
        <f t="shared" si="7"/>
        <v>0.31041666666715173</v>
      </c>
      <c r="O17" s="8">
        <f t="shared" si="8"/>
        <v>0.64375000000048499</v>
      </c>
      <c r="P17" s="12">
        <f t="shared" si="14"/>
        <v>0.68541666666715173</v>
      </c>
      <c r="Q17" s="118"/>
      <c r="R17" s="119" t="s">
        <v>234</v>
      </c>
      <c r="S17" s="30" t="s">
        <v>51</v>
      </c>
      <c r="T17" s="34">
        <v>42216.42083333333</v>
      </c>
      <c r="U17" s="33">
        <v>42216.423611111109</v>
      </c>
      <c r="V17" s="33">
        <v>42217.019444444442</v>
      </c>
      <c r="W17" s="38">
        <f t="shared" si="16"/>
        <v>2.7777777795563452E-3</v>
      </c>
      <c r="X17" s="15">
        <f t="shared" si="9"/>
        <v>0.125</v>
      </c>
      <c r="Y17" s="35">
        <f t="shared" si="10"/>
        <v>0.59583333333284827</v>
      </c>
      <c r="Z17" s="9">
        <f t="shared" si="11"/>
        <v>-1.180555555604057E-2</v>
      </c>
      <c r="AA17" s="9">
        <f t="shared" si="12"/>
        <v>0.60763888888888884</v>
      </c>
      <c r="AB17" s="11">
        <f t="shared" si="13"/>
        <v>0.61041666666844518</v>
      </c>
      <c r="AC17" s="130"/>
      <c r="AF17" s="54"/>
      <c r="AG17" s="55"/>
      <c r="AH17" s="132"/>
      <c r="AI17" s="132"/>
      <c r="AJ17" s="132"/>
      <c r="AK17" s="132"/>
      <c r="AL17" s="132"/>
      <c r="AM17" s="55"/>
      <c r="AN17" s="55"/>
      <c r="AO17" s="71"/>
      <c r="AP17" s="21"/>
      <c r="AQ17" s="29"/>
      <c r="AR17" s="56"/>
      <c r="AT17" s="18"/>
      <c r="AU17" s="18"/>
      <c r="AV17" s="18"/>
      <c r="AW17" s="63"/>
      <c r="AX17" s="63">
        <f t="shared" si="22"/>
        <v>1.3472222222189885</v>
      </c>
      <c r="AY17" s="106"/>
      <c r="AZ17" s="64">
        <v>0.79166666666666663</v>
      </c>
      <c r="BA17" s="63">
        <f t="shared" si="15"/>
        <v>1.3472222222189885</v>
      </c>
    </row>
    <row r="18" spans="2:53" customFormat="1" ht="21" hidden="1" x14ac:dyDescent="0.25">
      <c r="B18" s="163"/>
      <c r="C18" s="17" t="s">
        <v>26</v>
      </c>
      <c r="D18" s="1"/>
      <c r="E18" s="2">
        <v>42216.673611111109</v>
      </c>
      <c r="F18" s="34">
        <v>42216.730555555558</v>
      </c>
      <c r="G18" s="1"/>
      <c r="H18" s="13">
        <f t="shared" si="23"/>
        <v>0</v>
      </c>
      <c r="I18" s="13">
        <f t="shared" si="2"/>
        <v>0</v>
      </c>
      <c r="J18" s="10">
        <f t="shared" si="5"/>
        <v>-0.19999999999870655</v>
      </c>
      <c r="K18" s="13">
        <f t="shared" si="3"/>
        <v>0</v>
      </c>
      <c r="L18" s="13">
        <f t="shared" si="4"/>
        <v>0</v>
      </c>
      <c r="M18" s="13">
        <f t="shared" si="6"/>
        <v>0</v>
      </c>
      <c r="N18" s="7">
        <f t="shared" si="7"/>
        <v>0.3125</v>
      </c>
      <c r="O18" s="8">
        <f t="shared" si="8"/>
        <v>0.64583333333333326</v>
      </c>
      <c r="P18" s="12">
        <f t="shared" si="14"/>
        <v>0.6875</v>
      </c>
      <c r="Q18" s="118"/>
      <c r="R18" s="18"/>
      <c r="S18" s="30" t="s">
        <v>52</v>
      </c>
      <c r="T18" s="34">
        <v>42217.038888888892</v>
      </c>
      <c r="U18" s="33">
        <v>42217.042361111111</v>
      </c>
      <c r="V18" s="33">
        <v>42217.748611111114</v>
      </c>
      <c r="W18" s="38">
        <f t="shared" si="16"/>
        <v>3.4722222189884633E-3</v>
      </c>
      <c r="X18" s="15">
        <f t="shared" si="9"/>
        <v>0.125</v>
      </c>
      <c r="Y18" s="35">
        <f t="shared" si="10"/>
        <v>0.70625000000291038</v>
      </c>
      <c r="Z18" s="9">
        <f t="shared" si="11"/>
        <v>9.8611111114021544E-2</v>
      </c>
      <c r="AA18" s="9">
        <f t="shared" si="12"/>
        <v>0.60763888888888884</v>
      </c>
      <c r="AB18" s="11">
        <f t="shared" si="13"/>
        <v>0.6111111111078773</v>
      </c>
      <c r="AC18" s="130" t="s">
        <v>254</v>
      </c>
      <c r="AF18" s="32" t="s">
        <v>168</v>
      </c>
      <c r="AG18" s="34">
        <v>42217.810416666667</v>
      </c>
      <c r="AH18" s="34">
        <v>42217.829861111109</v>
      </c>
      <c r="AI18" s="34">
        <v>42218.506944444445</v>
      </c>
      <c r="AJ18" s="34">
        <f t="shared" ref="AJ18" si="27">AI18+$AI$5</f>
        <v>42218.715277777781</v>
      </c>
      <c r="AK18" s="34">
        <v>42218.727083333331</v>
      </c>
      <c r="AL18" s="34">
        <v>42219.553472222222</v>
      </c>
      <c r="AM18" s="34">
        <v>42219.763888888891</v>
      </c>
      <c r="AN18" s="55"/>
      <c r="AO18" s="48"/>
      <c r="AP18" s="21">
        <f>AH18-AG18-TIME(2,0,0)</f>
        <v>-6.3888888890990828E-2</v>
      </c>
      <c r="AQ18" s="21">
        <f>AM16-AI18</f>
        <v>-6.5972222226264421E-2</v>
      </c>
      <c r="AR18" s="43"/>
      <c r="AT18" s="40">
        <v>9.7222222222222224E-2</v>
      </c>
      <c r="AU18" s="41"/>
      <c r="AV18" s="18"/>
      <c r="AW18" s="63">
        <f>AL18-AL16</f>
        <v>1.2819444444467081</v>
      </c>
      <c r="AX18" s="63">
        <f t="shared" si="22"/>
        <v>1.3729166666671517</v>
      </c>
      <c r="AY18" s="105">
        <f t="shared" si="21"/>
        <v>9.0972222220443655E-2</v>
      </c>
      <c r="AZ18" s="64">
        <v>0.79166666666666663</v>
      </c>
      <c r="BA18" s="63">
        <f t="shared" si="15"/>
        <v>1.3729166666671517</v>
      </c>
    </row>
    <row r="19" spans="2:53" customFormat="1" ht="30" hidden="1" x14ac:dyDescent="0.25">
      <c r="B19" s="163"/>
      <c r="C19" s="17" t="s">
        <v>27</v>
      </c>
      <c r="D19" s="1" t="s">
        <v>234</v>
      </c>
      <c r="E19" s="2">
        <v>42217.364583333336</v>
      </c>
      <c r="F19" s="34">
        <v>42217.612500000003</v>
      </c>
      <c r="G19" s="1"/>
      <c r="H19" s="13">
        <f t="shared" si="23"/>
        <v>-6.4583333332848269E-2</v>
      </c>
      <c r="I19" s="13">
        <f t="shared" si="2"/>
        <v>0</v>
      </c>
      <c r="J19" s="10">
        <f t="shared" si="5"/>
        <v>-0.2013888888921227</v>
      </c>
      <c r="K19" s="13">
        <f t="shared" si="3"/>
        <v>0.24791666666715173</v>
      </c>
      <c r="L19" s="13">
        <f t="shared" si="4"/>
        <v>0.40000000000145519</v>
      </c>
      <c r="M19" s="13">
        <f t="shared" si="6"/>
        <v>0.24791666666715173</v>
      </c>
      <c r="N19" s="7">
        <f t="shared" si="7"/>
        <v>0.31597222222626442</v>
      </c>
      <c r="O19" s="8">
        <f t="shared" si="8"/>
        <v>0.64930555555959768</v>
      </c>
      <c r="P19" s="12">
        <f t="shared" si="14"/>
        <v>0.69097222222626442</v>
      </c>
      <c r="Q19" s="118" t="s">
        <v>253</v>
      </c>
      <c r="R19" s="119" t="s">
        <v>234</v>
      </c>
      <c r="S19" s="30" t="s">
        <v>53</v>
      </c>
      <c r="T19" s="34">
        <v>42217.918055555558</v>
      </c>
      <c r="U19" s="33">
        <v>42217.920138888891</v>
      </c>
      <c r="V19" s="33">
        <v>42218.490972222222</v>
      </c>
      <c r="W19" s="38">
        <f t="shared" si="16"/>
        <v>2.0833333328482695E-3</v>
      </c>
      <c r="X19" s="15">
        <f t="shared" si="9"/>
        <v>0.125</v>
      </c>
      <c r="Y19" s="35">
        <f t="shared" si="10"/>
        <v>0.57083333333139308</v>
      </c>
      <c r="Z19" s="9">
        <f t="shared" si="11"/>
        <v>-3.6805555557495762E-2</v>
      </c>
      <c r="AA19" s="9">
        <f t="shared" si="12"/>
        <v>0.60763888888888884</v>
      </c>
      <c r="AB19" s="11">
        <f t="shared" si="13"/>
        <v>0.60972222222173711</v>
      </c>
      <c r="AC19" s="131"/>
      <c r="AF19" s="54"/>
      <c r="AG19" s="55"/>
      <c r="AH19" s="132"/>
      <c r="AI19" s="132"/>
      <c r="AJ19" s="132"/>
      <c r="AK19" s="132"/>
      <c r="AL19" s="132"/>
      <c r="AM19" s="55"/>
      <c r="AN19" s="55"/>
      <c r="AO19" s="71"/>
      <c r="AP19" s="21"/>
      <c r="AQ19" s="29"/>
      <c r="AR19" s="56"/>
      <c r="AT19" s="18"/>
      <c r="AU19" s="18"/>
      <c r="AV19" s="18"/>
      <c r="AW19" s="63"/>
      <c r="AX19" s="63">
        <f t="shared" si="22"/>
        <v>1.3784722222262644</v>
      </c>
      <c r="AY19" s="106"/>
      <c r="AZ19" s="64">
        <v>0.79166666666666663</v>
      </c>
      <c r="BA19" s="63">
        <f t="shared" si="15"/>
        <v>1.3784722222262644</v>
      </c>
    </row>
    <row r="20" spans="2:53" customFormat="1" ht="21" hidden="1" x14ac:dyDescent="0.25">
      <c r="B20" s="18"/>
      <c r="C20" s="17" t="s">
        <v>28</v>
      </c>
      <c r="D20" s="1"/>
      <c r="E20" s="2">
        <v>42218.0625</v>
      </c>
      <c r="F20" s="34">
        <v>42218.127083333333</v>
      </c>
      <c r="G20" s="1"/>
      <c r="H20" s="13">
        <f t="shared" si="23"/>
        <v>0</v>
      </c>
      <c r="I20" s="13">
        <f t="shared" si="2"/>
        <v>0</v>
      </c>
      <c r="J20" s="10">
        <f t="shared" si="5"/>
        <v>4.1666666662624419E-2</v>
      </c>
      <c r="K20" s="13">
        <f t="shared" si="3"/>
        <v>0</v>
      </c>
      <c r="L20" s="13">
        <f t="shared" si="4"/>
        <v>0</v>
      </c>
      <c r="M20" s="13">
        <f t="shared" si="6"/>
        <v>0</v>
      </c>
      <c r="N20" s="7">
        <f t="shared" si="7"/>
        <v>0.32291666666424135</v>
      </c>
      <c r="O20" s="8">
        <f t="shared" si="8"/>
        <v>0.65624999999757461</v>
      </c>
      <c r="P20" s="12">
        <f t="shared" si="14"/>
        <v>0.69791666666424135</v>
      </c>
      <c r="Q20" s="118"/>
      <c r="R20" s="18"/>
      <c r="S20" s="30" t="s">
        <v>54</v>
      </c>
      <c r="T20" s="34">
        <f t="shared" ref="T20:T75" si="28">F20+$T$4</f>
        <v>42218.439583333333</v>
      </c>
      <c r="U20" s="33">
        <v>42218.520138888889</v>
      </c>
      <c r="V20" s="33">
        <v>42219.101388888892</v>
      </c>
      <c r="W20" s="38">
        <f t="shared" si="16"/>
        <v>8.0555555556202307E-2</v>
      </c>
      <c r="X20" s="15">
        <f t="shared" si="9"/>
        <v>0.125</v>
      </c>
      <c r="Y20" s="35">
        <f t="shared" si="10"/>
        <v>0.58125000000291038</v>
      </c>
      <c r="Z20" s="9">
        <f t="shared" si="11"/>
        <v>-2.6388888885978456E-2</v>
      </c>
      <c r="AA20" s="9">
        <f t="shared" si="12"/>
        <v>0.60763888888888884</v>
      </c>
      <c r="AB20" s="11">
        <f t="shared" si="13"/>
        <v>0.68819444444509115</v>
      </c>
      <c r="AC20" s="131"/>
      <c r="AF20" s="32" t="s">
        <v>169</v>
      </c>
      <c r="AG20" s="34">
        <v>42219.277083333334</v>
      </c>
      <c r="AH20" s="34">
        <v>42219.402083333334</v>
      </c>
      <c r="AI20" s="34">
        <v>42220.051388888889</v>
      </c>
      <c r="AJ20" s="34">
        <v>42220.291666666664</v>
      </c>
      <c r="AK20" s="34">
        <v>42220.316666666666</v>
      </c>
      <c r="AL20" s="34">
        <v>42221.15625</v>
      </c>
      <c r="AM20" s="34">
        <f t="shared" ref="AM20" si="29">AL20+$AL$5</f>
        <v>42221.28125</v>
      </c>
      <c r="AN20" s="55"/>
      <c r="AO20" s="48"/>
      <c r="AP20" s="21">
        <f t="shared" ref="AP20:AP68" si="30">AH20-AG20-TIME(2,0,0)</f>
        <v>4.1666666666666671E-2</v>
      </c>
      <c r="AQ20" s="21">
        <f t="shared" ref="AQ20" si="31">AM18-AI20</f>
        <v>-0.28749999999854481</v>
      </c>
      <c r="AR20" s="43"/>
      <c r="AT20" s="40">
        <v>0.14722222222222223</v>
      </c>
      <c r="AU20" s="41"/>
      <c r="AV20" s="18"/>
      <c r="AW20" s="63">
        <f t="shared" si="26"/>
        <v>1.6027777777781012</v>
      </c>
      <c r="AX20" s="63">
        <f t="shared" si="22"/>
        <v>1.3888888888905058</v>
      </c>
      <c r="AY20" s="105">
        <f t="shared" si="21"/>
        <v>0.21388888888759539</v>
      </c>
      <c r="AZ20" s="64">
        <v>0.79166666666666663</v>
      </c>
      <c r="BA20" s="63">
        <f t="shared" si="15"/>
        <v>1.3888888888905058</v>
      </c>
    </row>
    <row r="21" spans="2:53" customFormat="1" ht="21" hidden="1" x14ac:dyDescent="0.25">
      <c r="B21" s="18"/>
      <c r="C21" s="17" t="s">
        <v>29</v>
      </c>
      <c r="D21" s="1"/>
      <c r="E21" s="2">
        <f t="shared" ref="E21:E73" si="32">E20+P20</f>
        <v>42218.760416666664</v>
      </c>
      <c r="F21" s="34">
        <v>42218.808333333334</v>
      </c>
      <c r="G21" s="1"/>
      <c r="H21" s="13">
        <f t="shared" si="23"/>
        <v>0</v>
      </c>
      <c r="I21" s="13">
        <f t="shared" si="2"/>
        <v>0</v>
      </c>
      <c r="J21" s="10">
        <f t="shared" si="5"/>
        <v>-0.1347222222191502</v>
      </c>
      <c r="K21" s="13">
        <f t="shared" si="3"/>
        <v>0</v>
      </c>
      <c r="L21" s="13">
        <f t="shared" si="4"/>
        <v>0</v>
      </c>
      <c r="M21" s="13">
        <f t="shared" si="6"/>
        <v>0</v>
      </c>
      <c r="N21" s="7">
        <f t="shared" si="7"/>
        <v>0.32291666666424135</v>
      </c>
      <c r="O21" s="8">
        <f t="shared" si="8"/>
        <v>0.65624999999757461</v>
      </c>
      <c r="P21" s="12">
        <f t="shared" si="14"/>
        <v>0.69791666666424135</v>
      </c>
      <c r="Q21" s="118"/>
      <c r="R21" s="119" t="s">
        <v>234</v>
      </c>
      <c r="S21" s="30" t="s">
        <v>55</v>
      </c>
      <c r="T21" s="34">
        <v>42219.111111111109</v>
      </c>
      <c r="U21" s="33">
        <v>42219.112500000003</v>
      </c>
      <c r="V21" s="33">
        <v>42219.731944444444</v>
      </c>
      <c r="W21" s="38">
        <f t="shared" si="16"/>
        <v>1.3888888934161514E-3</v>
      </c>
      <c r="X21" s="15">
        <f t="shared" si="9"/>
        <v>0.125</v>
      </c>
      <c r="Y21" s="35">
        <f t="shared" si="10"/>
        <v>0.61944444444088731</v>
      </c>
      <c r="Z21" s="9">
        <f t="shared" si="11"/>
        <v>1.180555555199847E-2</v>
      </c>
      <c r="AA21" s="9">
        <f t="shared" si="12"/>
        <v>0.60763888888888884</v>
      </c>
      <c r="AB21" s="11">
        <f t="shared" si="13"/>
        <v>0.60902777778230499</v>
      </c>
      <c r="AC21" s="131"/>
      <c r="AF21" s="54"/>
      <c r="AG21" s="55"/>
      <c r="AH21" s="132"/>
      <c r="AI21" s="132"/>
      <c r="AJ21" s="132"/>
      <c r="AK21" s="132"/>
      <c r="AL21" s="132"/>
      <c r="AM21" s="55"/>
      <c r="AN21" s="55"/>
      <c r="AO21" s="71"/>
      <c r="AP21" s="21"/>
      <c r="AQ21" s="29"/>
      <c r="AR21" s="56"/>
      <c r="AT21" s="18"/>
      <c r="AU21" s="18"/>
      <c r="AV21" s="18"/>
      <c r="AW21" s="63"/>
      <c r="AX21" s="63">
        <f t="shared" si="22"/>
        <v>1.3958333333284827</v>
      </c>
      <c r="AY21" s="106"/>
      <c r="AZ21" s="64">
        <v>0.79166666666666663</v>
      </c>
      <c r="BA21" s="63">
        <f t="shared" si="15"/>
        <v>1.3958333333284827</v>
      </c>
    </row>
    <row r="22" spans="2:53" customFormat="1" ht="21" hidden="1" x14ac:dyDescent="0.25">
      <c r="B22" s="18"/>
      <c r="C22" s="17" t="s">
        <v>30</v>
      </c>
      <c r="D22" s="1"/>
      <c r="E22" s="2">
        <v>42219.456944444442</v>
      </c>
      <c r="F22" s="34">
        <v>42219.500694444447</v>
      </c>
      <c r="G22" s="1"/>
      <c r="H22" s="13">
        <f t="shared" si="23"/>
        <v>0</v>
      </c>
      <c r="I22" s="13">
        <f t="shared" si="2"/>
        <v>0</v>
      </c>
      <c r="J22" s="10">
        <f t="shared" si="5"/>
        <v>-0.21388888888193636</v>
      </c>
      <c r="K22" s="13">
        <f t="shared" si="3"/>
        <v>0</v>
      </c>
      <c r="L22" s="13">
        <f t="shared" si="4"/>
        <v>0</v>
      </c>
      <c r="M22" s="13">
        <f t="shared" si="6"/>
        <v>0</v>
      </c>
      <c r="N22" s="7">
        <f t="shared" si="7"/>
        <v>0.32152777777810115</v>
      </c>
      <c r="O22" s="8">
        <f t="shared" si="8"/>
        <v>0.65486111111143441</v>
      </c>
      <c r="P22" s="12">
        <f t="shared" si="14"/>
        <v>0.69652777777810115</v>
      </c>
      <c r="Q22" s="118"/>
      <c r="R22" s="120"/>
      <c r="S22" s="30" t="s">
        <v>56</v>
      </c>
      <c r="T22" s="34">
        <f t="shared" si="28"/>
        <v>42219.813194444447</v>
      </c>
      <c r="U22" s="33">
        <v>42219.828472222223</v>
      </c>
      <c r="V22" s="33">
        <v>42220.427083333336</v>
      </c>
      <c r="W22" s="38">
        <f t="shared" si="16"/>
        <v>1.5277777776645962E-2</v>
      </c>
      <c r="X22" s="15">
        <f t="shared" si="9"/>
        <v>0.125</v>
      </c>
      <c r="Y22" s="35">
        <f t="shared" si="10"/>
        <v>0.59861111111240461</v>
      </c>
      <c r="Z22" s="9">
        <f t="shared" si="11"/>
        <v>-9.0277777764842249E-3</v>
      </c>
      <c r="AA22" s="9">
        <f t="shared" si="12"/>
        <v>0.60763888888888884</v>
      </c>
      <c r="AB22" s="11">
        <f t="shared" si="13"/>
        <v>0.6229166666655348</v>
      </c>
      <c r="AC22" s="131"/>
      <c r="AF22" s="32" t="s">
        <v>170</v>
      </c>
      <c r="AG22" s="34">
        <v>42220.575694444444</v>
      </c>
      <c r="AH22" s="34">
        <v>42220.648611111108</v>
      </c>
      <c r="AI22" s="34">
        <f t="shared" ref="AI22" si="33">AH22+$AH$5</f>
        <v>42221.315277777772</v>
      </c>
      <c r="AJ22" s="34">
        <v>42221.711111111108</v>
      </c>
      <c r="AK22" s="34">
        <v>42221.508333333331</v>
      </c>
      <c r="AL22" s="34">
        <v>42222.370138888888</v>
      </c>
      <c r="AM22" s="34">
        <f>AK22+$AN$5</f>
        <v>42222.216666666667</v>
      </c>
      <c r="AN22" s="55"/>
      <c r="AO22" s="48"/>
      <c r="AP22" s="21">
        <f t="shared" si="30"/>
        <v>-1.0416666669091981E-2</v>
      </c>
      <c r="AQ22" s="21">
        <f>AM20-AI22</f>
        <v>-3.4027777772280388E-2</v>
      </c>
      <c r="AR22" s="43"/>
      <c r="AT22" s="40">
        <v>0.1986111111111111</v>
      </c>
      <c r="AU22" s="41"/>
      <c r="AV22" s="18"/>
      <c r="AW22" s="63">
        <f t="shared" si="26"/>
        <v>1.2138888888875954</v>
      </c>
      <c r="AX22" s="63">
        <f t="shared" si="22"/>
        <v>1.3944444444423425</v>
      </c>
      <c r="AY22" s="105">
        <f t="shared" si="21"/>
        <v>0.18055555555474712</v>
      </c>
      <c r="AZ22" s="64">
        <v>0.79166666666666663</v>
      </c>
      <c r="BA22" s="63">
        <f t="shared" si="15"/>
        <v>1.3944444444423425</v>
      </c>
    </row>
    <row r="23" spans="2:53" customFormat="1" ht="21" hidden="1" x14ac:dyDescent="0.25">
      <c r="B23" s="18"/>
      <c r="C23" s="17" t="s">
        <v>31</v>
      </c>
      <c r="D23" s="1"/>
      <c r="E23" s="2">
        <v>42220.116666666669</v>
      </c>
      <c r="F23" s="34">
        <v>42220.186805555553</v>
      </c>
      <c r="G23" s="1"/>
      <c r="H23" s="13">
        <f t="shared" si="23"/>
        <v>0</v>
      </c>
      <c r="I23" s="13">
        <f t="shared" si="2"/>
        <v>0</v>
      </c>
      <c r="J23" s="10">
        <f t="shared" si="5"/>
        <v>-0.19861111111256635</v>
      </c>
      <c r="K23" s="13">
        <f t="shared" si="3"/>
        <v>0</v>
      </c>
      <c r="L23" s="13">
        <f t="shared" si="4"/>
        <v>0</v>
      </c>
      <c r="M23" s="13">
        <f t="shared" si="6"/>
        <v>0</v>
      </c>
      <c r="N23" s="7">
        <f t="shared" si="7"/>
        <v>0.28472222222626442</v>
      </c>
      <c r="O23" s="8">
        <f t="shared" si="8"/>
        <v>0.61805555555959768</v>
      </c>
      <c r="P23" s="12">
        <f t="shared" si="14"/>
        <v>0.65972222222626442</v>
      </c>
      <c r="Q23" s="118"/>
      <c r="R23" s="119" t="s">
        <v>234</v>
      </c>
      <c r="S23" s="30" t="s">
        <v>57</v>
      </c>
      <c r="T23" s="34">
        <f t="shared" si="28"/>
        <v>42220.499305555553</v>
      </c>
      <c r="U23" s="33">
        <v>42220.495833333334</v>
      </c>
      <c r="V23" s="33">
        <v>42221.084027777775</v>
      </c>
      <c r="W23" s="38">
        <f>U23-T23</f>
        <v>-3.4722222189884633E-3</v>
      </c>
      <c r="X23" s="15">
        <f t="shared" si="9"/>
        <v>0.125</v>
      </c>
      <c r="Y23" s="35">
        <f t="shared" si="10"/>
        <v>0.58819444444088731</v>
      </c>
      <c r="Z23" s="9">
        <f t="shared" si="11"/>
        <v>-1.944444444800153E-2</v>
      </c>
      <c r="AA23" s="9">
        <f t="shared" si="12"/>
        <v>0.60763888888888884</v>
      </c>
      <c r="AB23" s="11">
        <f t="shared" si="13"/>
        <v>0.60416666666990038</v>
      </c>
      <c r="AC23" s="131"/>
      <c r="AF23" s="54"/>
      <c r="AG23" s="55"/>
      <c r="AH23" s="132"/>
      <c r="AI23" s="132"/>
      <c r="AJ23" s="132"/>
      <c r="AK23" s="132"/>
      <c r="AL23" s="132"/>
      <c r="AM23" s="55"/>
      <c r="AN23" s="55"/>
      <c r="AO23" s="71"/>
      <c r="AP23" s="21"/>
      <c r="AQ23" s="29"/>
      <c r="AR23" s="56"/>
      <c r="AT23" s="18"/>
      <c r="AU23" s="18"/>
      <c r="AV23" s="18"/>
      <c r="AW23" s="63"/>
      <c r="AX23" s="63">
        <f t="shared" si="22"/>
        <v>1.3562500000043656</v>
      </c>
      <c r="AY23" s="106"/>
      <c r="AZ23" s="64">
        <v>0.79166666666666663</v>
      </c>
      <c r="BA23" s="63">
        <f t="shared" si="15"/>
        <v>1.3562500000043656</v>
      </c>
    </row>
    <row r="24" spans="2:53" customFormat="1" ht="30" hidden="1" x14ac:dyDescent="0.25">
      <c r="B24" s="18"/>
      <c r="C24" s="17" t="s">
        <v>32</v>
      </c>
      <c r="D24" s="1"/>
      <c r="E24" s="2">
        <v>42220.770833333336</v>
      </c>
      <c r="F24" s="34">
        <v>42220.847916666666</v>
      </c>
      <c r="G24" s="1"/>
      <c r="H24" s="13">
        <f>IF(D24="x",((F24-E24)-$V$2),IF((F24-E24)&lt;=$T$3,0,(F24-E24)))</f>
        <v>7.7083333329937886E-2</v>
      </c>
      <c r="I24" s="13">
        <f t="shared" si="2"/>
        <v>0</v>
      </c>
      <c r="J24" s="10">
        <f t="shared" si="5"/>
        <v>-0.18055555555636404</v>
      </c>
      <c r="K24" s="13">
        <f t="shared" si="3"/>
        <v>0</v>
      </c>
      <c r="L24" s="13">
        <f t="shared" si="4"/>
        <v>0</v>
      </c>
      <c r="M24" s="13">
        <f t="shared" si="6"/>
        <v>7.7083333329937886E-2</v>
      </c>
      <c r="N24" s="7">
        <f t="shared" si="7"/>
        <v>0.27916666666715173</v>
      </c>
      <c r="O24" s="8">
        <f t="shared" si="8"/>
        <v>0.61250000000048499</v>
      </c>
      <c r="P24" s="12">
        <f t="shared" si="14"/>
        <v>0.65416666666715173</v>
      </c>
      <c r="Q24" s="118" t="s">
        <v>255</v>
      </c>
      <c r="R24" s="119"/>
      <c r="S24" s="30" t="s">
        <v>58</v>
      </c>
      <c r="T24" s="34">
        <f t="shared" si="28"/>
        <v>42221.160416666666</v>
      </c>
      <c r="U24" s="33">
        <v>42221.172222222223</v>
      </c>
      <c r="V24" s="33">
        <v>42221.754861111112</v>
      </c>
      <c r="W24" s="38">
        <f t="shared" si="16"/>
        <v>1.1805555557657499E-2</v>
      </c>
      <c r="X24" s="15">
        <f t="shared" si="9"/>
        <v>0.125</v>
      </c>
      <c r="Y24" s="35">
        <f t="shared" si="10"/>
        <v>0.58263888888905058</v>
      </c>
      <c r="Z24" s="9">
        <f t="shared" si="11"/>
        <v>-2.4999999999838263E-2</v>
      </c>
      <c r="AA24" s="9">
        <f t="shared" si="12"/>
        <v>0.60763888888888884</v>
      </c>
      <c r="AB24" s="11">
        <f t="shared" si="13"/>
        <v>0.61944444444654634</v>
      </c>
      <c r="AC24" s="131"/>
      <c r="AF24" s="32" t="s">
        <v>171</v>
      </c>
      <c r="AG24" s="34">
        <v>42221.950694444444</v>
      </c>
      <c r="AH24" s="34">
        <v>42222.032638888886</v>
      </c>
      <c r="AI24" s="34">
        <v>42222.697916666664</v>
      </c>
      <c r="AJ24" s="34">
        <v>42222.998611111114</v>
      </c>
      <c r="AK24" s="34">
        <v>42223.192361111112</v>
      </c>
      <c r="AL24" s="34">
        <v>42224.022222222222</v>
      </c>
      <c r="AM24" s="34">
        <v>42223.980555555558</v>
      </c>
      <c r="AN24" s="55"/>
      <c r="AO24" s="48"/>
      <c r="AP24" s="21">
        <f t="shared" si="30"/>
        <v>-1.3888888909908276E-3</v>
      </c>
      <c r="AQ24" s="21">
        <f t="shared" ref="AQ24" si="34">AM22-AI24</f>
        <v>-0.48124999999708962</v>
      </c>
      <c r="AR24" s="43"/>
      <c r="AT24" s="40">
        <v>8.3333333333333329E-2</v>
      </c>
      <c r="AU24" s="41"/>
      <c r="AV24" s="18"/>
      <c r="AW24" s="63">
        <f t="shared" si="26"/>
        <v>1.6520833333343035</v>
      </c>
      <c r="AX24" s="63">
        <f t="shared" si="22"/>
        <v>1.3138888888934162</v>
      </c>
      <c r="AY24" s="105">
        <f t="shared" si="21"/>
        <v>0.33819444444088731</v>
      </c>
      <c r="AZ24" s="64">
        <v>0.79166666666666663</v>
      </c>
      <c r="BA24" s="63">
        <f t="shared" si="15"/>
        <v>1.3138888888934162</v>
      </c>
    </row>
    <row r="25" spans="2:53" customFormat="1" ht="21" hidden="1" x14ac:dyDescent="0.25">
      <c r="B25" s="18"/>
      <c r="C25" s="17" t="s">
        <v>33</v>
      </c>
      <c r="D25" s="1"/>
      <c r="E25" s="2">
        <v>42221.432638888888</v>
      </c>
      <c r="F25" s="34">
        <v>42221.493750000001</v>
      </c>
      <c r="G25" s="1"/>
      <c r="H25" s="13">
        <f>IF(D25="x",((F25-E25)-$V$2),IF((F25-E25)&lt;=$T$3,0,(F25-E25)))</f>
        <v>0</v>
      </c>
      <c r="I25" s="13">
        <f t="shared" si="2"/>
        <v>0</v>
      </c>
      <c r="J25" s="10">
        <f t="shared" si="5"/>
        <v>-8.2638888890667506E-2</v>
      </c>
      <c r="K25" s="13">
        <f t="shared" si="3"/>
        <v>0</v>
      </c>
      <c r="L25" s="13">
        <f t="shared" si="4"/>
        <v>0</v>
      </c>
      <c r="M25" s="13">
        <f t="shared" si="6"/>
        <v>0</v>
      </c>
      <c r="N25" s="7">
        <f t="shared" si="7"/>
        <v>0.28680555555183673</v>
      </c>
      <c r="O25" s="8">
        <f t="shared" si="8"/>
        <v>0.62013888888516999</v>
      </c>
      <c r="P25" s="12">
        <f t="shared" si="14"/>
        <v>0.66180555555183673</v>
      </c>
      <c r="Q25" s="118"/>
      <c r="R25" s="119" t="s">
        <v>234</v>
      </c>
      <c r="S25" s="30" t="s">
        <v>59</v>
      </c>
      <c r="T25" s="34">
        <f t="shared" si="28"/>
        <v>42221.806250000001</v>
      </c>
      <c r="U25" s="33">
        <v>42221.803472222222</v>
      </c>
      <c r="V25" s="33">
        <v>42222.413194444445</v>
      </c>
      <c r="W25" s="38">
        <f t="shared" si="16"/>
        <v>-2.7777777795563452E-3</v>
      </c>
      <c r="X25" s="15">
        <f t="shared" si="9"/>
        <v>0.125</v>
      </c>
      <c r="Y25" s="35">
        <f t="shared" si="10"/>
        <v>0.60972222222335404</v>
      </c>
      <c r="Z25" s="9">
        <f t="shared" si="11"/>
        <v>2.0833333344651983E-3</v>
      </c>
      <c r="AA25" s="9">
        <f t="shared" si="12"/>
        <v>0.60763888888888884</v>
      </c>
      <c r="AB25" s="11">
        <f t="shared" si="13"/>
        <v>0.60486111110933249</v>
      </c>
      <c r="AC25" s="131"/>
      <c r="AF25" s="54"/>
      <c r="AG25" s="55"/>
      <c r="AH25" s="132"/>
      <c r="AI25" s="132"/>
      <c r="AJ25" s="132"/>
      <c r="AK25" s="132"/>
      <c r="AL25" s="132"/>
      <c r="AM25" s="55"/>
      <c r="AN25" s="55"/>
      <c r="AO25" s="71"/>
      <c r="AP25" s="21"/>
      <c r="AQ25" s="29"/>
      <c r="AR25" s="56"/>
      <c r="AT25" s="18"/>
      <c r="AU25" s="18"/>
      <c r="AV25" s="18"/>
      <c r="AW25" s="63"/>
      <c r="AX25" s="63">
        <f t="shared" si="22"/>
        <v>1.3159722222189885</v>
      </c>
      <c r="AY25" s="106"/>
      <c r="AZ25" s="64">
        <v>0.79166666666666663</v>
      </c>
      <c r="BA25" s="63">
        <f t="shared" si="15"/>
        <v>1.3159722222189885</v>
      </c>
    </row>
    <row r="26" spans="2:53" customFormat="1" ht="21" hidden="1" x14ac:dyDescent="0.25">
      <c r="B26" s="18"/>
      <c r="C26" s="17" t="s">
        <v>34</v>
      </c>
      <c r="D26" s="1"/>
      <c r="E26" s="2">
        <v>42222.094444444447</v>
      </c>
      <c r="F26" s="34">
        <v>42222.144444444442</v>
      </c>
      <c r="G26" s="1"/>
      <c r="H26" s="13">
        <f t="shared" si="23"/>
        <v>0</v>
      </c>
      <c r="I26" s="13">
        <f t="shared" si="2"/>
        <v>0</v>
      </c>
      <c r="J26" s="10">
        <f t="shared" si="5"/>
        <v>-0.18194444444250424</v>
      </c>
      <c r="K26" s="13">
        <f t="shared" si="3"/>
        <v>0</v>
      </c>
      <c r="L26" s="13">
        <f t="shared" si="4"/>
        <v>0</v>
      </c>
      <c r="M26" s="13">
        <f t="shared" si="6"/>
        <v>0</v>
      </c>
      <c r="N26" s="7">
        <f t="shared" si="7"/>
        <v>0.28680555555911269</v>
      </c>
      <c r="O26" s="8">
        <f t="shared" si="8"/>
        <v>0.62013888889244595</v>
      </c>
      <c r="P26" s="12">
        <f t="shared" si="14"/>
        <v>0.66180555555911269</v>
      </c>
      <c r="Q26" s="118"/>
      <c r="R26" s="119"/>
      <c r="S26" s="30" t="s">
        <v>60</v>
      </c>
      <c r="T26" s="34">
        <v>42222.452777777777</v>
      </c>
      <c r="U26" s="33">
        <v>42222.461111111108</v>
      </c>
      <c r="V26" s="33">
        <v>42223.083333333336</v>
      </c>
      <c r="W26" s="38">
        <f t="shared" si="16"/>
        <v>8.333333331393078E-3</v>
      </c>
      <c r="X26" s="15">
        <f t="shared" si="9"/>
        <v>0.125</v>
      </c>
      <c r="Y26" s="35">
        <f>V26-U26</f>
        <v>0.62222222222771961</v>
      </c>
      <c r="Z26" s="9">
        <f>Y26-AA26</f>
        <v>1.4583333338830773E-2</v>
      </c>
      <c r="AA26" s="9">
        <f t="shared" si="12"/>
        <v>0.60763888888888884</v>
      </c>
      <c r="AB26" s="11">
        <f t="shared" si="13"/>
        <v>0.61597222222028192</v>
      </c>
      <c r="AC26" s="131"/>
      <c r="AF26" s="32" t="s">
        <v>172</v>
      </c>
      <c r="AG26" s="34">
        <v>42223.247916666667</v>
      </c>
      <c r="AH26" s="34">
        <v>42223.32708333333</v>
      </c>
      <c r="AI26" s="34">
        <v>42223.982638888891</v>
      </c>
      <c r="AJ26" s="34">
        <v>42224.25</v>
      </c>
      <c r="AK26" s="34">
        <v>42224.441666666666</v>
      </c>
      <c r="AL26" s="34">
        <v>42225.288194444445</v>
      </c>
      <c r="AM26" s="34">
        <v>42225.256944444445</v>
      </c>
      <c r="AN26" s="55"/>
      <c r="AO26" s="48"/>
      <c r="AP26" s="21">
        <f t="shared" si="30"/>
        <v>-4.1666666705471728E-3</v>
      </c>
      <c r="AQ26" s="21">
        <f t="shared" ref="AQ26" si="35">AM24-AI26</f>
        <v>-2.0833333328482695E-3</v>
      </c>
      <c r="AR26" s="20"/>
      <c r="AT26" s="40">
        <v>0.18958333333333333</v>
      </c>
      <c r="AU26" s="41"/>
      <c r="AV26" s="18"/>
      <c r="AW26" s="63">
        <f t="shared" si="26"/>
        <v>1.265972222223354</v>
      </c>
      <c r="AX26" s="63">
        <f t="shared" si="22"/>
        <v>1.3236111111109494</v>
      </c>
      <c r="AY26" s="105">
        <f t="shared" si="21"/>
        <v>5.7638888887595385E-2</v>
      </c>
      <c r="AZ26" s="64">
        <v>0.79166666666666663</v>
      </c>
      <c r="BA26" s="63">
        <f t="shared" si="15"/>
        <v>1.3236111111109494</v>
      </c>
    </row>
    <row r="27" spans="2:53" customFormat="1" ht="21" hidden="1" x14ac:dyDescent="0.25">
      <c r="B27" s="18"/>
      <c r="C27" s="17" t="s">
        <v>35</v>
      </c>
      <c r="D27" s="1"/>
      <c r="E27" s="2">
        <v>42222.739583333336</v>
      </c>
      <c r="F27" s="34">
        <v>42222.796527777777</v>
      </c>
      <c r="G27" s="1"/>
      <c r="H27" s="13">
        <f t="shared" si="23"/>
        <v>0</v>
      </c>
      <c r="I27" s="13">
        <f t="shared" si="2"/>
        <v>0</v>
      </c>
      <c r="J27" s="10">
        <f t="shared" si="5"/>
        <v>-0.17083333333883077</v>
      </c>
      <c r="K27" s="13">
        <f t="shared" si="3"/>
        <v>0</v>
      </c>
      <c r="L27" s="13">
        <f t="shared" si="4"/>
        <v>0</v>
      </c>
      <c r="M27" s="13">
        <f t="shared" si="6"/>
        <v>0</v>
      </c>
      <c r="N27" s="7">
        <f t="shared" si="7"/>
        <v>0.27013888888905058</v>
      </c>
      <c r="O27" s="8">
        <f t="shared" si="8"/>
        <v>0.60347222222238384</v>
      </c>
      <c r="P27" s="12">
        <f t="shared" si="14"/>
        <v>0.64513888888905058</v>
      </c>
      <c r="Q27" s="118"/>
      <c r="R27" s="119" t="s">
        <v>234</v>
      </c>
      <c r="S27" s="30" t="s">
        <v>61</v>
      </c>
      <c r="T27" s="34">
        <f t="shared" si="28"/>
        <v>42223.109027777777</v>
      </c>
      <c r="U27" s="33">
        <v>42223.12222222222</v>
      </c>
      <c r="V27" s="33">
        <v>42223.712500000001</v>
      </c>
      <c r="W27" s="38">
        <f t="shared" si="16"/>
        <v>1.3194444443797693E-2</v>
      </c>
      <c r="X27" s="15">
        <f t="shared" si="9"/>
        <v>0.125</v>
      </c>
      <c r="Y27" s="35">
        <f t="shared" si="10"/>
        <v>0.59027777778101154</v>
      </c>
      <c r="Z27" s="9">
        <f t="shared" si="11"/>
        <v>-1.7361111107877303E-2</v>
      </c>
      <c r="AA27" s="9">
        <f t="shared" si="12"/>
        <v>0.60763888888888884</v>
      </c>
      <c r="AB27" s="11">
        <f t="shared" si="13"/>
        <v>0.62083333333268653</v>
      </c>
      <c r="AC27" s="131"/>
      <c r="AF27" s="54"/>
      <c r="AG27" s="55"/>
      <c r="AH27" s="132"/>
      <c r="AI27" s="132"/>
      <c r="AJ27" s="132"/>
      <c r="AK27" s="132"/>
      <c r="AL27" s="132"/>
      <c r="AM27" s="55"/>
      <c r="AN27" s="55"/>
      <c r="AO27" s="71"/>
      <c r="AP27" s="21"/>
      <c r="AQ27" s="29"/>
      <c r="AR27" s="56"/>
      <c r="AT27" s="18"/>
      <c r="AU27" s="18"/>
      <c r="AV27" s="18"/>
      <c r="AW27" s="63"/>
      <c r="AX27" s="63">
        <f t="shared" si="22"/>
        <v>1.3069444444481633</v>
      </c>
      <c r="AY27" s="106"/>
      <c r="AZ27" s="64">
        <v>0.79166666666666663</v>
      </c>
      <c r="BA27" s="63">
        <f t="shared" si="15"/>
        <v>1.3069444444481633</v>
      </c>
    </row>
    <row r="28" spans="2:53" customFormat="1" ht="21" hidden="1" x14ac:dyDescent="0.25">
      <c r="B28" s="18"/>
      <c r="C28" s="17" t="s">
        <v>36</v>
      </c>
      <c r="D28" s="1"/>
      <c r="E28" s="2">
        <v>42223.385416666664</v>
      </c>
      <c r="F28" s="34">
        <v>42223.439583333333</v>
      </c>
      <c r="G28" s="1"/>
      <c r="H28" s="13">
        <f t="shared" si="23"/>
        <v>0</v>
      </c>
      <c r="I28" s="13">
        <f t="shared" si="2"/>
        <v>0</v>
      </c>
      <c r="J28" s="10">
        <f t="shared" si="5"/>
        <v>-0.14930555555636404</v>
      </c>
      <c r="K28" s="13">
        <f t="shared" si="3"/>
        <v>0</v>
      </c>
      <c r="L28" s="13">
        <f t="shared" si="4"/>
        <v>0</v>
      </c>
      <c r="M28" s="13">
        <f t="shared" si="6"/>
        <v>0</v>
      </c>
      <c r="N28" s="7">
        <f t="shared" si="7"/>
        <v>0.27083333332848269</v>
      </c>
      <c r="O28" s="8">
        <f t="shared" si="8"/>
        <v>0.60416666666181595</v>
      </c>
      <c r="P28" s="12">
        <f>E28-E27</f>
        <v>0.64583333332848269</v>
      </c>
      <c r="Q28" s="118"/>
      <c r="R28" s="119"/>
      <c r="S28" s="30" t="s">
        <v>62</v>
      </c>
      <c r="T28" s="34">
        <f t="shared" si="28"/>
        <v>42223.752083333333</v>
      </c>
      <c r="U28" s="33">
        <v>42223.761805555558</v>
      </c>
      <c r="V28" s="33">
        <v>42224.375694444447</v>
      </c>
      <c r="W28" s="38">
        <f t="shared" si="16"/>
        <v>9.7222222248092294E-3</v>
      </c>
      <c r="X28" s="15">
        <f t="shared" si="9"/>
        <v>0.125</v>
      </c>
      <c r="Y28" s="35">
        <f t="shared" si="10"/>
        <v>0.61388888888905058</v>
      </c>
      <c r="Z28" s="9">
        <f t="shared" si="11"/>
        <v>6.2500000001617373E-3</v>
      </c>
      <c r="AA28" s="9">
        <f t="shared" si="12"/>
        <v>0.60763888888888884</v>
      </c>
      <c r="AB28" s="11">
        <f t="shared" si="13"/>
        <v>0.61736111111369807</v>
      </c>
      <c r="AC28" s="131"/>
      <c r="AF28" s="32" t="s">
        <v>173</v>
      </c>
      <c r="AG28" s="34">
        <v>42224.574305555558</v>
      </c>
      <c r="AH28" s="34">
        <v>42224.617361111108</v>
      </c>
      <c r="AI28" s="34">
        <v>42225.276388888888</v>
      </c>
      <c r="AJ28" s="34">
        <v>42225.647222222222</v>
      </c>
      <c r="AK28" s="34">
        <v>42225.830555555556</v>
      </c>
      <c r="AL28" s="34">
        <v>42226.665277777778</v>
      </c>
      <c r="AM28" s="34">
        <v>42226.875</v>
      </c>
      <c r="AN28" s="55"/>
      <c r="AO28" s="48"/>
      <c r="AP28" s="21">
        <f t="shared" si="30"/>
        <v>-4.0277777782951787E-2</v>
      </c>
      <c r="AQ28" s="21">
        <f>AM26-AI28</f>
        <v>-1.9444444442342501E-2</v>
      </c>
      <c r="AR28" s="43"/>
      <c r="AT28" s="40">
        <v>0.16319444444444445</v>
      </c>
      <c r="AU28" s="41"/>
      <c r="AV28" s="18"/>
      <c r="AW28" s="63">
        <f t="shared" si="26"/>
        <v>1.3770833333328483</v>
      </c>
      <c r="AX28" s="63">
        <f t="shared" si="22"/>
        <v>1.2909722222175333</v>
      </c>
      <c r="AY28" s="105">
        <f t="shared" si="21"/>
        <v>8.6111111115314998E-2</v>
      </c>
      <c r="AZ28" s="64">
        <v>0.79166666666666663</v>
      </c>
      <c r="BA28" s="63">
        <f t="shared" si="15"/>
        <v>1.2909722222175333</v>
      </c>
    </row>
    <row r="29" spans="2:53" customFormat="1" ht="30" hidden="1" x14ac:dyDescent="0.25">
      <c r="B29" s="18"/>
      <c r="C29" s="17" t="s">
        <v>37</v>
      </c>
      <c r="D29" s="1" t="s">
        <v>234</v>
      </c>
      <c r="E29" s="2">
        <f t="shared" si="32"/>
        <v>42224.031249999993</v>
      </c>
      <c r="F29" s="34">
        <v>42224.295138888891</v>
      </c>
      <c r="G29" s="1"/>
      <c r="H29" s="13">
        <f t="shared" si="23"/>
        <v>-4.8611111102218274E-2</v>
      </c>
      <c r="I29" s="13">
        <f t="shared" si="2"/>
        <v>0</v>
      </c>
      <c r="J29" s="10">
        <f t="shared" si="5"/>
        <v>-0.15347222221478463</v>
      </c>
      <c r="K29" s="13">
        <f t="shared" si="3"/>
        <v>0.26388888889778173</v>
      </c>
      <c r="L29" s="13">
        <f t="shared" si="4"/>
        <v>0.3631944444423425</v>
      </c>
      <c r="M29" s="13">
        <f t="shared" si="6"/>
        <v>0.26388888889778173</v>
      </c>
      <c r="N29" s="7">
        <f t="shared" si="7"/>
        <v>0.27083333332848269</v>
      </c>
      <c r="O29" s="8">
        <f t="shared" si="8"/>
        <v>0.60416666666181595</v>
      </c>
      <c r="P29" s="12">
        <f t="shared" si="14"/>
        <v>0.64583333332848269</v>
      </c>
      <c r="Q29" s="118" t="s">
        <v>259</v>
      </c>
      <c r="R29" s="119" t="s">
        <v>234</v>
      </c>
      <c r="S29" s="30" t="s">
        <v>63</v>
      </c>
      <c r="T29" s="34">
        <v>42224.613194444442</v>
      </c>
      <c r="U29" s="33">
        <v>42224.627083333333</v>
      </c>
      <c r="V29" s="33">
        <v>42225.220833333333</v>
      </c>
      <c r="W29" s="38">
        <f t="shared" si="16"/>
        <v>1.3888888890505768E-2</v>
      </c>
      <c r="X29" s="15">
        <f t="shared" si="9"/>
        <v>0.125</v>
      </c>
      <c r="Y29" s="35">
        <f t="shared" si="10"/>
        <v>0.59375</v>
      </c>
      <c r="Z29" s="9">
        <f t="shared" si="11"/>
        <v>-1.388888888888884E-2</v>
      </c>
      <c r="AA29" s="9">
        <f t="shared" si="12"/>
        <v>0.60763888888888884</v>
      </c>
      <c r="AB29" s="11">
        <f t="shared" si="13"/>
        <v>0.62152777777939461</v>
      </c>
      <c r="AC29" s="131"/>
      <c r="AF29" s="54"/>
      <c r="AG29" s="55"/>
      <c r="AH29" s="132"/>
      <c r="AI29" s="132"/>
      <c r="AJ29" s="132"/>
      <c r="AK29" s="132"/>
      <c r="AL29" s="132"/>
      <c r="AM29" s="55"/>
      <c r="AN29" s="55"/>
      <c r="AO29" s="71"/>
      <c r="AP29" s="21"/>
      <c r="AQ29" s="29"/>
      <c r="AR29" s="56"/>
      <c r="AT29" s="18"/>
      <c r="AU29" s="18"/>
      <c r="AV29" s="18"/>
      <c r="AW29" s="63"/>
      <c r="AX29" s="63">
        <f t="shared" si="22"/>
        <v>1.2916666666569654</v>
      </c>
      <c r="AY29" s="106"/>
      <c r="AZ29" s="64">
        <v>0.79166666666666663</v>
      </c>
      <c r="BA29" s="63">
        <f t="shared" si="15"/>
        <v>1.2916666666569654</v>
      </c>
    </row>
    <row r="30" spans="2:53" customFormat="1" ht="21" hidden="1" x14ac:dyDescent="0.25">
      <c r="B30" s="18"/>
      <c r="C30" s="17" t="s">
        <v>38</v>
      </c>
      <c r="D30" s="1"/>
      <c r="E30" s="2">
        <v>42224.670138888891</v>
      </c>
      <c r="F30" s="34">
        <v>42224.796527777777</v>
      </c>
      <c r="G30" s="1"/>
      <c r="H30" s="13">
        <f t="shared" si="23"/>
        <v>0.12638888888614019</v>
      </c>
      <c r="I30" s="13">
        <f t="shared" si="2"/>
        <v>0</v>
      </c>
      <c r="J30" s="10">
        <f t="shared" si="5"/>
        <v>0.11458333334869364</v>
      </c>
      <c r="K30" s="13">
        <f t="shared" si="3"/>
        <v>0</v>
      </c>
      <c r="L30" s="13">
        <f t="shared" si="4"/>
        <v>0</v>
      </c>
      <c r="M30" s="13">
        <f t="shared" si="6"/>
        <v>0.12638888888614019</v>
      </c>
      <c r="N30" s="7">
        <f t="shared" si="7"/>
        <v>0.26388888889778173</v>
      </c>
      <c r="O30" s="8">
        <f t="shared" si="8"/>
        <v>0.59722222223111499</v>
      </c>
      <c r="P30" s="12">
        <f t="shared" si="14"/>
        <v>0.63888888889778173</v>
      </c>
      <c r="Q30" s="152" t="s">
        <v>260</v>
      </c>
      <c r="R30" s="119"/>
      <c r="S30" s="30" t="s">
        <v>64</v>
      </c>
      <c r="T30" s="34">
        <v>42225.111111111109</v>
      </c>
      <c r="U30" s="33">
        <v>42225.223611111112</v>
      </c>
      <c r="V30" s="33">
        <v>42225.819444444445</v>
      </c>
      <c r="W30" s="38">
        <f t="shared" si="16"/>
        <v>0.11250000000291038</v>
      </c>
      <c r="X30" s="15">
        <f t="shared" si="9"/>
        <v>0.125</v>
      </c>
      <c r="Y30" s="35">
        <f t="shared" si="10"/>
        <v>0.59583333333284827</v>
      </c>
      <c r="Z30" s="9">
        <f t="shared" si="11"/>
        <v>-1.180555555604057E-2</v>
      </c>
      <c r="AA30" s="9">
        <f t="shared" si="12"/>
        <v>0.60763888888888884</v>
      </c>
      <c r="AB30" s="11">
        <f t="shared" si="13"/>
        <v>0.72013888889179922</v>
      </c>
      <c r="AC30" s="131"/>
      <c r="AE30" s="32" t="s">
        <v>262</v>
      </c>
      <c r="AF30" s="32" t="s">
        <v>174</v>
      </c>
      <c r="AG30" s="34">
        <v>42226.004166666666</v>
      </c>
      <c r="AH30" s="34">
        <v>42226.053472222222</v>
      </c>
      <c r="AI30" s="34">
        <v>42226.713194444441</v>
      </c>
      <c r="AJ30" s="34">
        <f t="shared" ref="AJ30" si="36">AI30+$AI$5</f>
        <v>42226.921527777777</v>
      </c>
      <c r="AK30" s="34">
        <v>42227.150694444441</v>
      </c>
      <c r="AL30" s="34">
        <f t="shared" ref="AL30" si="37">AK30+$AK$5</f>
        <v>42227.942361111105</v>
      </c>
      <c r="AM30" s="34">
        <v>42227.947916666664</v>
      </c>
      <c r="AN30" s="55"/>
      <c r="AO30" s="48"/>
      <c r="AP30" s="21">
        <f>AH30-AG30-TIME(2,0,0)</f>
        <v>-3.4027777777131021E-2</v>
      </c>
      <c r="AQ30" s="21">
        <f>AM28-AI30</f>
        <v>0.16180555555911269</v>
      </c>
      <c r="AR30" s="43"/>
      <c r="AT30" s="104">
        <v>0.14027777777777778</v>
      </c>
      <c r="AU30" s="41"/>
      <c r="AV30" s="18"/>
      <c r="AW30" s="63">
        <f t="shared" si="26"/>
        <v>1.2770833333270275</v>
      </c>
      <c r="AX30" s="63">
        <f t="shared" si="22"/>
        <v>1.2847222222262644</v>
      </c>
      <c r="AY30" s="105">
        <f t="shared" si="21"/>
        <v>7.6388888992369175E-3</v>
      </c>
      <c r="AZ30" s="64">
        <v>0.79166666666666663</v>
      </c>
      <c r="BA30" s="63">
        <f t="shared" si="15"/>
        <v>1.2847222222262644</v>
      </c>
    </row>
    <row r="31" spans="2:53" customFormat="1" ht="21" hidden="1" x14ac:dyDescent="0.25">
      <c r="B31" s="18"/>
      <c r="C31" s="17" t="s">
        <v>39</v>
      </c>
      <c r="D31" s="1"/>
      <c r="E31" s="2">
        <v>42225.322916666664</v>
      </c>
      <c r="F31" s="34">
        <v>42225.4</v>
      </c>
      <c r="G31" s="1"/>
      <c r="H31" s="13">
        <f t="shared" si="23"/>
        <v>7.7083333337213844E-2</v>
      </c>
      <c r="I31" s="13">
        <f t="shared" si="2"/>
        <v>0</v>
      </c>
      <c r="J31" s="10">
        <f t="shared" si="5"/>
        <v>8.263888888015769E-2</v>
      </c>
      <c r="K31" s="13">
        <f t="shared" si="3"/>
        <v>0</v>
      </c>
      <c r="L31" s="13">
        <f t="shared" si="4"/>
        <v>0</v>
      </c>
      <c r="M31" s="13">
        <f t="shared" si="6"/>
        <v>7.7083333337213844E-2</v>
      </c>
      <c r="N31" s="7">
        <f t="shared" si="7"/>
        <v>0.27777777777373558</v>
      </c>
      <c r="O31" s="8">
        <f t="shared" si="8"/>
        <v>0.61111111110706884</v>
      </c>
      <c r="P31" s="12">
        <f t="shared" si="14"/>
        <v>0.65277777777373558</v>
      </c>
      <c r="Q31" s="153" t="s">
        <v>261</v>
      </c>
      <c r="R31" s="119" t="s">
        <v>234</v>
      </c>
      <c r="S31" s="30" t="s">
        <v>65</v>
      </c>
      <c r="T31" s="34">
        <v>42225.710416666669</v>
      </c>
      <c r="U31" s="33">
        <v>42225.822222222225</v>
      </c>
      <c r="V31" s="33">
        <v>42226.419444444444</v>
      </c>
      <c r="W31" s="38">
        <f t="shared" si="16"/>
        <v>0.11180555555620231</v>
      </c>
      <c r="X31" s="15">
        <f t="shared" si="9"/>
        <v>0.125</v>
      </c>
      <c r="Y31" s="35">
        <f t="shared" si="10"/>
        <v>0.59722222221898846</v>
      </c>
      <c r="Z31" s="9">
        <f t="shared" si="11"/>
        <v>-1.0416666669900376E-2</v>
      </c>
      <c r="AA31" s="9">
        <f t="shared" si="12"/>
        <v>0.60763888888888884</v>
      </c>
      <c r="AB31" s="11">
        <f t="shared" si="13"/>
        <v>0.71944444444509115</v>
      </c>
      <c r="AC31" s="131"/>
      <c r="AE31" s="32" t="s">
        <v>263</v>
      </c>
      <c r="AF31" s="54"/>
      <c r="AG31" s="55"/>
      <c r="AH31" s="132"/>
      <c r="AI31" s="132"/>
      <c r="AJ31" s="132"/>
      <c r="AK31" s="132"/>
      <c r="AL31" s="132"/>
      <c r="AM31" s="55"/>
      <c r="AN31" s="55"/>
      <c r="AO31" s="71"/>
      <c r="AP31" s="21"/>
      <c r="AQ31" s="29"/>
      <c r="AR31" s="56"/>
      <c r="AT31" s="18"/>
      <c r="AU31" s="18"/>
      <c r="AV31" s="18"/>
      <c r="AW31" s="63"/>
      <c r="AX31" s="63">
        <f t="shared" si="22"/>
        <v>1.2916666666715173</v>
      </c>
      <c r="AY31" s="106"/>
      <c r="AZ31" s="64">
        <v>0.79166666666666663</v>
      </c>
      <c r="BA31" s="63">
        <f t="shared" si="15"/>
        <v>1.2916666666715173</v>
      </c>
    </row>
    <row r="32" spans="2:53" customFormat="1" ht="21" hidden="1" x14ac:dyDescent="0.25">
      <c r="B32" s="18"/>
      <c r="C32" s="17" t="s">
        <v>40</v>
      </c>
      <c r="D32" s="1"/>
      <c r="E32" s="2">
        <v>42225.96875</v>
      </c>
      <c r="F32" s="34">
        <v>42225.018055555556</v>
      </c>
      <c r="G32" s="1"/>
      <c r="H32" s="13">
        <f t="shared" si="23"/>
        <v>0</v>
      </c>
      <c r="I32" s="13">
        <f t="shared" si="2"/>
        <v>0</v>
      </c>
      <c r="J32" s="10">
        <f t="shared" si="5"/>
        <v>1.8750000008569412E-2</v>
      </c>
      <c r="K32" s="13">
        <f t="shared" si="3"/>
        <v>0</v>
      </c>
      <c r="L32" s="13">
        <f t="shared" si="4"/>
        <v>0</v>
      </c>
      <c r="M32" s="13">
        <f t="shared" si="6"/>
        <v>0</v>
      </c>
      <c r="N32" s="7">
        <f t="shared" si="7"/>
        <v>0.27083333333575865</v>
      </c>
      <c r="O32" s="8">
        <f t="shared" si="8"/>
        <v>0.60416666666909191</v>
      </c>
      <c r="P32" s="12">
        <f t="shared" si="14"/>
        <v>0.64583333333575865</v>
      </c>
      <c r="Q32" s="118"/>
      <c r="R32" s="119"/>
      <c r="S32" s="30" t="s">
        <v>66</v>
      </c>
      <c r="T32" s="34">
        <v>42226.330555555556</v>
      </c>
      <c r="U32" s="33">
        <v>42226.42291666667</v>
      </c>
      <c r="V32" s="33">
        <v>42227.018750000003</v>
      </c>
      <c r="W32" s="38">
        <f t="shared" si="16"/>
        <v>9.2361111113859806E-2</v>
      </c>
      <c r="X32" s="15">
        <f t="shared" si="9"/>
        <v>0.125</v>
      </c>
      <c r="Y32" s="35">
        <f t="shared" si="10"/>
        <v>0.59583333333284827</v>
      </c>
      <c r="Z32" s="9">
        <f t="shared" si="11"/>
        <v>-1.180555555604057E-2</v>
      </c>
      <c r="AA32" s="9">
        <f t="shared" si="12"/>
        <v>0.60763888888888884</v>
      </c>
      <c r="AB32" s="11">
        <f t="shared" si="13"/>
        <v>0.70000000000274865</v>
      </c>
      <c r="AC32" s="131"/>
      <c r="AE32" s="32" t="s">
        <v>263</v>
      </c>
      <c r="AF32" s="32" t="s">
        <v>175</v>
      </c>
      <c r="AG32" s="34">
        <v>42227.186805555553</v>
      </c>
      <c r="AH32" s="34">
        <v>42227.273611111108</v>
      </c>
      <c r="AI32" s="34">
        <v>42227.93472222222</v>
      </c>
      <c r="AJ32" s="34">
        <v>42228.541666666664</v>
      </c>
      <c r="AK32" s="34">
        <v>42228.384722222225</v>
      </c>
      <c r="AL32" s="34">
        <v>42229.227777777778</v>
      </c>
      <c r="AM32" s="34">
        <f t="shared" ref="AM32:AM70" si="38">AK32+$AN$5</f>
        <v>42229.093055555561</v>
      </c>
      <c r="AN32" s="55"/>
      <c r="AO32" s="48"/>
      <c r="AP32" s="21">
        <f>AH32-AG32-TIME(2,0,0)</f>
        <v>3.4722222214137871E-3</v>
      </c>
      <c r="AQ32" s="21">
        <f>AM30-AI32</f>
        <v>1.3194444443797693E-2</v>
      </c>
      <c r="AR32" s="43"/>
      <c r="AT32" s="40">
        <v>0.14444444444444446</v>
      </c>
      <c r="AU32" s="41"/>
      <c r="AV32" s="18"/>
      <c r="AW32" s="63">
        <f t="shared" si="26"/>
        <v>1.2854166666729725</v>
      </c>
      <c r="AX32" s="63">
        <f t="shared" si="22"/>
        <v>1.2986111111094942</v>
      </c>
      <c r="AY32" s="105">
        <f t="shared" si="21"/>
        <v>1.3194444436521735E-2</v>
      </c>
      <c r="AZ32" s="64">
        <v>0.79166666666666663</v>
      </c>
      <c r="BA32" s="63">
        <f t="shared" si="15"/>
        <v>1.2986111111094942</v>
      </c>
    </row>
    <row r="33" spans="3:53" customFormat="1" ht="21" hidden="1" x14ac:dyDescent="0.25">
      <c r="C33" s="17" t="s">
        <v>41</v>
      </c>
      <c r="D33" s="1"/>
      <c r="E33" s="2">
        <v>42226.625</v>
      </c>
      <c r="F33" s="34">
        <v>42226.686111111114</v>
      </c>
      <c r="G33" s="1"/>
      <c r="H33" s="13">
        <f t="shared" si="23"/>
        <v>0</v>
      </c>
      <c r="I33" s="13">
        <f t="shared" si="2"/>
        <v>0</v>
      </c>
      <c r="J33" s="10">
        <f t="shared" si="5"/>
        <v>-7.0833333333010007E-2</v>
      </c>
      <c r="K33" s="13">
        <f t="shared" si="3"/>
        <v>0</v>
      </c>
      <c r="L33" s="13">
        <f t="shared" si="4"/>
        <v>0</v>
      </c>
      <c r="M33" s="13">
        <f t="shared" si="6"/>
        <v>0</v>
      </c>
      <c r="N33" s="7">
        <f t="shared" si="7"/>
        <v>0.28125</v>
      </c>
      <c r="O33" s="8">
        <f t="shared" si="8"/>
        <v>0.61458333333333326</v>
      </c>
      <c r="P33" s="12">
        <f t="shared" si="14"/>
        <v>0.65625</v>
      </c>
      <c r="Q33" s="118"/>
      <c r="R33" s="119" t="s">
        <v>234</v>
      </c>
      <c r="S33" s="30" t="s">
        <v>67</v>
      </c>
      <c r="T33" s="34">
        <v>42227.000694444447</v>
      </c>
      <c r="U33" s="33">
        <v>42227.027083333334</v>
      </c>
      <c r="V33" s="33">
        <v>42227.636111111111</v>
      </c>
      <c r="W33" s="38">
        <f t="shared" si="16"/>
        <v>2.6388888887595385E-2</v>
      </c>
      <c r="X33" s="15">
        <f t="shared" si="9"/>
        <v>0.125</v>
      </c>
      <c r="Y33" s="35">
        <f t="shared" si="10"/>
        <v>0.60902777777664596</v>
      </c>
      <c r="Z33" s="9">
        <f t="shared" si="11"/>
        <v>1.3888888877571226E-3</v>
      </c>
      <c r="AA33" s="9">
        <f t="shared" si="12"/>
        <v>0.60763888888888884</v>
      </c>
      <c r="AB33" s="11">
        <f t="shared" si="13"/>
        <v>0.63402777777648422</v>
      </c>
      <c r="AC33" s="131"/>
      <c r="AE33" s="32" t="s">
        <v>262</v>
      </c>
      <c r="AF33" s="54"/>
      <c r="AG33" s="55"/>
      <c r="AH33" s="132"/>
      <c r="AI33" s="132"/>
      <c r="AJ33" s="132"/>
      <c r="AK33" s="132"/>
      <c r="AL33" s="132"/>
      <c r="AM33" s="55"/>
      <c r="AN33" s="55"/>
      <c r="AO33" s="71"/>
      <c r="AP33" s="21"/>
      <c r="AQ33" s="29"/>
      <c r="AR33" s="56"/>
      <c r="AT33" s="18"/>
      <c r="AU33" s="18"/>
      <c r="AV33" s="18"/>
      <c r="AW33" s="63"/>
      <c r="AX33" s="63">
        <f t="shared" si="22"/>
        <v>1.3020833333357587</v>
      </c>
      <c r="AY33" s="106"/>
      <c r="AZ33" s="64">
        <v>0.79166666666666663</v>
      </c>
      <c r="BA33" s="63">
        <f t="shared" si="15"/>
        <v>1.3020833333357587</v>
      </c>
    </row>
    <row r="34" spans="3:53" customFormat="1" ht="30" hidden="1" x14ac:dyDescent="0.25">
      <c r="C34" s="17" t="s">
        <v>42</v>
      </c>
      <c r="D34" s="1"/>
      <c r="E34" s="2">
        <v>42227.291666666664</v>
      </c>
      <c r="F34" s="34">
        <v>42227.355555555558</v>
      </c>
      <c r="G34" s="1"/>
      <c r="H34" s="13">
        <f t="shared" si="23"/>
        <v>0</v>
      </c>
      <c r="I34" s="13">
        <f t="shared" si="2"/>
        <v>0</v>
      </c>
      <c r="J34" s="10">
        <f t="shared" si="5"/>
        <v>-0.14722222222351578</v>
      </c>
      <c r="K34" s="13">
        <f t="shared" si="3"/>
        <v>0</v>
      </c>
      <c r="L34" s="13">
        <f t="shared" si="4"/>
        <v>0</v>
      </c>
      <c r="M34" s="13">
        <f t="shared" si="6"/>
        <v>0</v>
      </c>
      <c r="N34" s="7">
        <f t="shared" si="7"/>
        <v>0.29166666666424135</v>
      </c>
      <c r="O34" s="8">
        <f t="shared" si="8"/>
        <v>0.62499999999757461</v>
      </c>
      <c r="P34" s="12">
        <f t="shared" si="14"/>
        <v>0.66666666666424135</v>
      </c>
      <c r="Q34" s="118"/>
      <c r="R34" s="119"/>
      <c r="S34" s="30" t="s">
        <v>68</v>
      </c>
      <c r="T34" s="34">
        <f t="shared" si="28"/>
        <v>42227.668055555558</v>
      </c>
      <c r="U34" s="33">
        <v>42227.67291666667</v>
      </c>
      <c r="V34" s="33">
        <v>42228.27847222222</v>
      </c>
      <c r="W34" s="38">
        <f t="shared" si="16"/>
        <v>4.8611111124046147E-3</v>
      </c>
      <c r="X34" s="15">
        <f t="shared" si="9"/>
        <v>0.125</v>
      </c>
      <c r="Y34" s="35">
        <f t="shared" si="10"/>
        <v>0.60555555555038154</v>
      </c>
      <c r="Z34" s="9">
        <f t="shared" si="11"/>
        <v>-2.0833333385072983E-3</v>
      </c>
      <c r="AA34" s="9">
        <f t="shared" si="12"/>
        <v>0.60763888888888884</v>
      </c>
      <c r="AB34" s="11">
        <f t="shared" si="13"/>
        <v>0.61250000000129345</v>
      </c>
      <c r="AC34" s="131"/>
      <c r="AE34" s="32" t="s">
        <v>262</v>
      </c>
      <c r="AF34" s="32" t="s">
        <v>176</v>
      </c>
      <c r="AG34" s="34">
        <v>42228.415277777778</v>
      </c>
      <c r="AH34" s="34">
        <v>42228.529861111114</v>
      </c>
      <c r="AI34" s="34">
        <v>42229.179861111108</v>
      </c>
      <c r="AJ34" s="34">
        <f t="shared" ref="AJ34" si="39">AI34+$AI$5</f>
        <v>42229.388194444444</v>
      </c>
      <c r="AK34" s="34">
        <v>42229.72152777778</v>
      </c>
      <c r="AL34" s="34">
        <v>42230.556250000001</v>
      </c>
      <c r="AM34" s="34">
        <v>42229.381944444445</v>
      </c>
      <c r="AN34" s="55"/>
      <c r="AO34" s="48"/>
      <c r="AP34" s="21">
        <f>AH34-AG34-TIME(2,0,0)</f>
        <v>3.1250000002425324E-2</v>
      </c>
      <c r="AQ34" s="21">
        <f>AM32-AI34</f>
        <v>-8.6805555547471158E-2</v>
      </c>
      <c r="AR34" s="20" t="s">
        <v>264</v>
      </c>
      <c r="AT34" s="40">
        <v>0.18888888888888888</v>
      </c>
      <c r="AU34" s="41"/>
      <c r="AV34" s="18"/>
      <c r="AW34" s="63">
        <f t="shared" si="26"/>
        <v>1.328472222223354</v>
      </c>
      <c r="AX34" s="63">
        <f t="shared" si="22"/>
        <v>1.3229166666642413</v>
      </c>
      <c r="AY34" s="105">
        <f t="shared" si="21"/>
        <v>5.5555555591126904E-3</v>
      </c>
      <c r="AZ34" s="64">
        <v>0.79166666666666663</v>
      </c>
      <c r="BA34" s="63">
        <f t="shared" si="15"/>
        <v>1.3229166666642413</v>
      </c>
    </row>
    <row r="35" spans="3:53" customFormat="1" ht="21" hidden="1" x14ac:dyDescent="0.25">
      <c r="C35" s="17" t="s">
        <v>43</v>
      </c>
      <c r="D35" s="1"/>
      <c r="E35" s="2">
        <v>42227.961805555555</v>
      </c>
      <c r="F35" s="34">
        <v>42228.015277777777</v>
      </c>
      <c r="G35" s="1"/>
      <c r="H35" s="13">
        <f t="shared" si="23"/>
        <v>0</v>
      </c>
      <c r="I35" s="13">
        <f t="shared" si="2"/>
        <v>0</v>
      </c>
      <c r="J35" s="10">
        <f t="shared" si="5"/>
        <v>-0.17916666666294789</v>
      </c>
      <c r="K35" s="13">
        <f t="shared" si="3"/>
        <v>0</v>
      </c>
      <c r="L35" s="13">
        <f t="shared" si="4"/>
        <v>0</v>
      </c>
      <c r="M35" s="13">
        <f t="shared" si="6"/>
        <v>0</v>
      </c>
      <c r="N35" s="7">
        <f t="shared" si="7"/>
        <v>0.29513888889050577</v>
      </c>
      <c r="O35" s="8">
        <f t="shared" si="8"/>
        <v>0.62847222222383903</v>
      </c>
      <c r="P35" s="12">
        <f t="shared" si="14"/>
        <v>0.67013888889050577</v>
      </c>
      <c r="Q35" s="118"/>
      <c r="R35" s="119" t="s">
        <v>234</v>
      </c>
      <c r="S35" s="30" t="s">
        <v>69</v>
      </c>
      <c r="T35" s="34">
        <v>42228.35</v>
      </c>
      <c r="U35" s="33">
        <v>42228.351388888892</v>
      </c>
      <c r="V35" s="33">
        <f t="shared" ref="V35:V73" si="40">U35+$V$3+$V$4</f>
        <v>42228.959027777782</v>
      </c>
      <c r="W35" s="38">
        <f t="shared" si="16"/>
        <v>1.3888888934161514E-3</v>
      </c>
      <c r="X35" s="15">
        <f t="shared" si="9"/>
        <v>0.125</v>
      </c>
      <c r="Y35" s="35">
        <f t="shared" si="10"/>
        <v>0.60763888889050577</v>
      </c>
      <c r="Z35" s="9">
        <f t="shared" si="11"/>
        <v>1.616928813064078E-12</v>
      </c>
      <c r="AA35" s="9">
        <f t="shared" si="12"/>
        <v>0.60763888888888884</v>
      </c>
      <c r="AB35" s="11">
        <f t="shared" si="13"/>
        <v>0.60902777778230499</v>
      </c>
      <c r="AC35" s="131"/>
      <c r="AE35" s="32" t="s">
        <v>263</v>
      </c>
      <c r="AF35" s="54"/>
      <c r="AG35" s="55"/>
      <c r="AH35" s="34"/>
      <c r="AI35" s="34"/>
      <c r="AJ35" s="132"/>
      <c r="AK35" s="132"/>
      <c r="AL35" s="132"/>
      <c r="AM35" s="55"/>
      <c r="AN35" s="55"/>
      <c r="AO35" s="71"/>
      <c r="AP35" s="21"/>
      <c r="AQ35" s="29"/>
      <c r="AR35" s="25"/>
      <c r="AT35" s="18"/>
      <c r="AU35" s="18"/>
      <c r="AV35" s="18"/>
      <c r="AW35" s="63"/>
      <c r="AX35" s="63">
        <f t="shared" si="22"/>
        <v>1.3368055555547471</v>
      </c>
      <c r="AY35" s="106"/>
      <c r="AZ35" s="64">
        <v>0.79166666666666663</v>
      </c>
      <c r="BA35" s="63">
        <f t="shared" si="15"/>
        <v>1.3368055555547471</v>
      </c>
    </row>
    <row r="36" spans="3:53" s="18" customFormat="1" ht="30" hidden="1" x14ac:dyDescent="0.25">
      <c r="C36" s="17" t="s">
        <v>73</v>
      </c>
      <c r="D36" s="1"/>
      <c r="E36" s="2">
        <v>42228.625</v>
      </c>
      <c r="F36" s="34">
        <v>42228.671527777777</v>
      </c>
      <c r="G36" s="1"/>
      <c r="H36" s="13">
        <f t="shared" si="23"/>
        <v>0</v>
      </c>
      <c r="I36" s="13">
        <f t="shared" si="2"/>
        <v>0</v>
      </c>
      <c r="J36" s="10">
        <f t="shared" si="5"/>
        <v>-0.18611111110820078</v>
      </c>
      <c r="K36" s="13">
        <f t="shared" si="3"/>
        <v>0</v>
      </c>
      <c r="L36" s="13">
        <f t="shared" si="4"/>
        <v>0</v>
      </c>
      <c r="M36" s="13">
        <f t="shared" si="6"/>
        <v>0</v>
      </c>
      <c r="N36" s="7">
        <f t="shared" si="7"/>
        <v>0.28819444444525288</v>
      </c>
      <c r="O36" s="8">
        <f t="shared" si="8"/>
        <v>0.62152777777858614</v>
      </c>
      <c r="P36" s="12">
        <f t="shared" si="14"/>
        <v>0.66319444444525288</v>
      </c>
      <c r="Q36" s="118"/>
      <c r="R36" s="119"/>
      <c r="S36" s="30" t="s">
        <v>113</v>
      </c>
      <c r="T36" s="34">
        <v>42228.979861111111</v>
      </c>
      <c r="U36" s="33">
        <v>42228.982638888891</v>
      </c>
      <c r="V36" s="33">
        <v>42229.560416666667</v>
      </c>
      <c r="W36" s="38">
        <f t="shared" si="16"/>
        <v>2.7777777795563452E-3</v>
      </c>
      <c r="X36" s="15">
        <f t="shared" si="9"/>
        <v>0.125</v>
      </c>
      <c r="Y36" s="35">
        <f t="shared" si="10"/>
        <v>0.57777777777664596</v>
      </c>
      <c r="Z36" s="9">
        <f t="shared" si="11"/>
        <v>-2.9861111112242877E-2</v>
      </c>
      <c r="AA36" s="9">
        <f t="shared" si="12"/>
        <v>0.60763888888888884</v>
      </c>
      <c r="AB36" s="11">
        <f t="shared" si="13"/>
        <v>0.61041666666844518</v>
      </c>
      <c r="AC36" s="131"/>
      <c r="AE36" s="32" t="s">
        <v>263</v>
      </c>
      <c r="AF36" s="32" t="s">
        <v>177</v>
      </c>
      <c r="AG36" s="34">
        <v>42229.734027777777</v>
      </c>
      <c r="AH36" s="34">
        <v>42229.784722222219</v>
      </c>
      <c r="AI36" s="34">
        <v>42230.462500000001</v>
      </c>
      <c r="AJ36" s="34">
        <v>42231.530555555553</v>
      </c>
      <c r="AK36" s="34">
        <v>42231.132638888892</v>
      </c>
      <c r="AL36" s="34">
        <v>42231.975694444445</v>
      </c>
      <c r="AM36" s="34">
        <v>42231.933333333334</v>
      </c>
      <c r="AN36" s="55"/>
      <c r="AO36" s="48"/>
      <c r="AP36" s="21">
        <f t="shared" si="30"/>
        <v>-3.2638888890990828E-2</v>
      </c>
      <c r="AQ36" s="21">
        <f>AM34-AI36</f>
        <v>-1.0805555555562023</v>
      </c>
      <c r="AR36" s="20" t="s">
        <v>267</v>
      </c>
      <c r="AT36" s="40">
        <v>0.14652777777777778</v>
      </c>
      <c r="AU36" s="66"/>
      <c r="AW36" s="63">
        <f t="shared" si="26"/>
        <v>1.4194444444437977</v>
      </c>
      <c r="AX36" s="63">
        <f t="shared" si="22"/>
        <v>1.3333333333357587</v>
      </c>
      <c r="AY36" s="105">
        <f t="shared" si="21"/>
        <v>8.611111110803904E-2</v>
      </c>
      <c r="AZ36" s="64">
        <v>0.79166666666666663</v>
      </c>
      <c r="BA36" s="63">
        <f t="shared" si="15"/>
        <v>1.3333333333357587</v>
      </c>
    </row>
    <row r="37" spans="3:53" s="18" customFormat="1" ht="21" hidden="1" x14ac:dyDescent="0.25">
      <c r="C37" s="17" t="s">
        <v>74</v>
      </c>
      <c r="D37" s="1"/>
      <c r="E37" s="2">
        <v>42229.284722222219</v>
      </c>
      <c r="F37" s="34">
        <v>42229.333333333336</v>
      </c>
      <c r="G37" s="1"/>
      <c r="H37" s="13">
        <f t="shared" si="23"/>
        <v>0</v>
      </c>
      <c r="I37" s="13">
        <f t="shared" si="2"/>
        <v>0</v>
      </c>
      <c r="J37" s="10">
        <f t="shared" si="5"/>
        <v>-0.1777777777768077</v>
      </c>
      <c r="K37" s="13">
        <f t="shared" si="3"/>
        <v>0</v>
      </c>
      <c r="L37" s="13">
        <f t="shared" si="4"/>
        <v>0</v>
      </c>
      <c r="M37" s="13">
        <f t="shared" si="6"/>
        <v>0</v>
      </c>
      <c r="N37" s="7">
        <f t="shared" si="7"/>
        <v>0.28472222221898846</v>
      </c>
      <c r="O37" s="8">
        <f t="shared" si="8"/>
        <v>0.61805555555232172</v>
      </c>
      <c r="P37" s="12">
        <f t="shared" si="14"/>
        <v>0.65972222221898846</v>
      </c>
      <c r="Q37" s="118"/>
      <c r="R37" s="119" t="s">
        <v>234</v>
      </c>
      <c r="S37" s="30" t="s">
        <v>114</v>
      </c>
      <c r="T37" s="34">
        <v>42229.649305555555</v>
      </c>
      <c r="U37" s="33">
        <v>42229.651388888888</v>
      </c>
      <c r="V37" s="33">
        <f t="shared" si="40"/>
        <v>42230.259027777778</v>
      </c>
      <c r="W37" s="38">
        <f t="shared" si="16"/>
        <v>2.0833333328482695E-3</v>
      </c>
      <c r="X37" s="15">
        <f t="shared" si="9"/>
        <v>0.125</v>
      </c>
      <c r="Y37" s="35">
        <f t="shared" si="10"/>
        <v>0.60763888889050577</v>
      </c>
      <c r="Z37" s="9">
        <f t="shared" si="11"/>
        <v>1.616928813064078E-12</v>
      </c>
      <c r="AA37" s="9">
        <f t="shared" si="12"/>
        <v>0.60763888888888884</v>
      </c>
      <c r="AB37" s="11">
        <f t="shared" si="13"/>
        <v>0.60972222222173711</v>
      </c>
      <c r="AC37" s="131"/>
      <c r="AE37" s="32" t="s">
        <v>262</v>
      </c>
      <c r="AF37" s="54"/>
      <c r="AG37" s="55"/>
      <c r="AH37" s="132"/>
      <c r="AI37" s="34"/>
      <c r="AJ37" s="132"/>
      <c r="AK37" s="132"/>
      <c r="AL37" s="132"/>
      <c r="AM37" s="55"/>
      <c r="AN37" s="55"/>
      <c r="AO37" s="71"/>
      <c r="AP37" s="21"/>
      <c r="AQ37" s="29"/>
      <c r="AR37" s="25"/>
      <c r="AW37" s="63"/>
      <c r="AX37" s="63">
        <f t="shared" si="22"/>
        <v>1.3229166666642413</v>
      </c>
      <c r="AY37" s="106"/>
      <c r="AZ37" s="64">
        <v>0.79166666666666663</v>
      </c>
      <c r="BA37" s="63">
        <f t="shared" si="15"/>
        <v>1.3229166666642413</v>
      </c>
    </row>
    <row r="38" spans="3:53" s="18" customFormat="1" ht="21" hidden="1" x14ac:dyDescent="0.25">
      <c r="C38" s="17" t="s">
        <v>75</v>
      </c>
      <c r="D38" s="1"/>
      <c r="E38" s="2">
        <v>42229.947916666664</v>
      </c>
      <c r="F38" s="34">
        <v>42229.99722222222</v>
      </c>
      <c r="G38" s="1"/>
      <c r="H38" s="13">
        <f t="shared" si="23"/>
        <v>0</v>
      </c>
      <c r="I38" s="13">
        <f t="shared" si="2"/>
        <v>0</v>
      </c>
      <c r="J38" s="10">
        <f t="shared" si="5"/>
        <v>-0.17499999999725135</v>
      </c>
      <c r="K38" s="13">
        <f t="shared" si="3"/>
        <v>0</v>
      </c>
      <c r="L38" s="13">
        <f t="shared" si="4"/>
        <v>0</v>
      </c>
      <c r="M38" s="13">
        <f t="shared" si="6"/>
        <v>0</v>
      </c>
      <c r="N38" s="7">
        <f t="shared" si="7"/>
        <v>0.28819444444525288</v>
      </c>
      <c r="O38" s="8">
        <f t="shared" si="8"/>
        <v>0.62152777777858614</v>
      </c>
      <c r="P38" s="12">
        <f t="shared" si="14"/>
        <v>0.66319444444525288</v>
      </c>
      <c r="Q38" s="118"/>
      <c r="R38" s="119"/>
      <c r="S38" s="30" t="s">
        <v>115</v>
      </c>
      <c r="T38" s="34">
        <v>42230.3125</v>
      </c>
      <c r="U38" s="33">
        <v>42230.321527777778</v>
      </c>
      <c r="V38" s="33">
        <v>42230.969444444447</v>
      </c>
      <c r="W38" s="38">
        <f t="shared" si="16"/>
        <v>9.0277777781011537E-3</v>
      </c>
      <c r="X38" s="15">
        <f t="shared" si="9"/>
        <v>0.125</v>
      </c>
      <c r="Y38" s="35">
        <f t="shared" si="10"/>
        <v>0.64791666666860692</v>
      </c>
      <c r="Z38" s="9">
        <f t="shared" si="11"/>
        <v>4.0277777779718082E-2</v>
      </c>
      <c r="AA38" s="9">
        <f t="shared" si="12"/>
        <v>0.60763888888888884</v>
      </c>
      <c r="AB38" s="11">
        <f t="shared" si="13"/>
        <v>0.61666666666698999</v>
      </c>
      <c r="AC38" s="131" t="s">
        <v>265</v>
      </c>
      <c r="AE38" s="32" t="s">
        <v>262</v>
      </c>
      <c r="AF38" s="32" t="s">
        <v>178</v>
      </c>
      <c r="AG38" s="34">
        <v>42231.215277777781</v>
      </c>
      <c r="AH38" s="34">
        <v>42231.533333333333</v>
      </c>
      <c r="AI38" s="34">
        <v>42232.189583333333</v>
      </c>
      <c r="AJ38" s="34">
        <v>42232.430555555555</v>
      </c>
      <c r="AK38" s="34">
        <v>42232.706944444442</v>
      </c>
      <c r="AL38" s="34">
        <v>42233.551388888889</v>
      </c>
      <c r="AM38" s="34">
        <v>42233.390972222223</v>
      </c>
      <c r="AN38" s="55"/>
      <c r="AO38" s="48"/>
      <c r="AP38" s="21">
        <f t="shared" si="30"/>
        <v>0.23472222221850342</v>
      </c>
      <c r="AQ38" s="21">
        <f>AM36-AI38</f>
        <v>-0.25624999999854481</v>
      </c>
      <c r="AR38" s="20"/>
      <c r="AT38" s="40">
        <v>0.15555555555555556</v>
      </c>
      <c r="AU38" s="67"/>
      <c r="AW38" s="63">
        <f t="shared" si="26"/>
        <v>1.5756944444437977</v>
      </c>
      <c r="AX38" s="63">
        <f t="shared" si="22"/>
        <v>1.3229166666642413</v>
      </c>
      <c r="AY38" s="105">
        <f t="shared" si="21"/>
        <v>0.25277777777955635</v>
      </c>
      <c r="AZ38" s="64">
        <v>0.79166666666666663</v>
      </c>
      <c r="BA38" s="63">
        <f t="shared" si="15"/>
        <v>1.3229166666642413</v>
      </c>
    </row>
    <row r="39" spans="3:53" s="18" customFormat="1" ht="21" hidden="1" x14ac:dyDescent="0.25">
      <c r="C39" s="17" t="s">
        <v>76</v>
      </c>
      <c r="D39" s="1" t="s">
        <v>234</v>
      </c>
      <c r="E39" s="2">
        <v>42230.614583333336</v>
      </c>
      <c r="F39" s="34">
        <v>42230.836805555555</v>
      </c>
      <c r="G39" s="1"/>
      <c r="H39" s="13">
        <f t="shared" si="23"/>
        <v>-9.0277777781011537E-2</v>
      </c>
      <c r="I39" s="13">
        <f t="shared" si="2"/>
        <v>0</v>
      </c>
      <c r="J39" s="10">
        <f t="shared" si="5"/>
        <v>-0.17152777777826289</v>
      </c>
      <c r="K39" s="13">
        <f t="shared" si="3"/>
        <v>0.22222222221898846</v>
      </c>
      <c r="L39" s="13">
        <f t="shared" si="4"/>
        <v>0.34513888888614019</v>
      </c>
      <c r="M39" s="13">
        <f t="shared" si="6"/>
        <v>0.22222222221898846</v>
      </c>
      <c r="N39" s="7">
        <f t="shared" si="7"/>
        <v>0.29166666667151731</v>
      </c>
      <c r="O39" s="8">
        <f t="shared" si="8"/>
        <v>0.62500000000485056</v>
      </c>
      <c r="P39" s="12">
        <f t="shared" si="14"/>
        <v>0.66666666667151731</v>
      </c>
      <c r="Q39" s="152" t="s">
        <v>266</v>
      </c>
      <c r="R39" s="119" t="s">
        <v>234</v>
      </c>
      <c r="S39" s="30" t="s">
        <v>116</v>
      </c>
      <c r="T39" s="34">
        <v>42231.140277777777</v>
      </c>
      <c r="U39" s="33">
        <v>42231.154166666667</v>
      </c>
      <c r="V39" s="33">
        <v>42231.740277777775</v>
      </c>
      <c r="W39" s="38">
        <f t="shared" si="16"/>
        <v>1.3888888890505768E-2</v>
      </c>
      <c r="X39" s="15">
        <f t="shared" si="9"/>
        <v>0.125</v>
      </c>
      <c r="Y39" s="35">
        <f t="shared" si="10"/>
        <v>0.58611111110803904</v>
      </c>
      <c r="Z39" s="9">
        <f t="shared" si="11"/>
        <v>-2.1527777780849799E-2</v>
      </c>
      <c r="AA39" s="9">
        <f t="shared" si="12"/>
        <v>0.60763888888888884</v>
      </c>
      <c r="AB39" s="11">
        <f t="shared" si="13"/>
        <v>0.62152777777939461</v>
      </c>
      <c r="AC39" s="131"/>
      <c r="AE39" s="32" t="s">
        <v>263</v>
      </c>
      <c r="AF39" s="54"/>
      <c r="AG39" s="55"/>
      <c r="AH39" s="132"/>
      <c r="AI39" s="132"/>
      <c r="AJ39" s="132"/>
      <c r="AK39" s="132"/>
      <c r="AL39" s="132"/>
      <c r="AM39" s="55"/>
      <c r="AN39" s="55"/>
      <c r="AO39" s="71"/>
      <c r="AP39" s="21"/>
      <c r="AQ39" s="29"/>
      <c r="AR39" s="25"/>
      <c r="AT39" s="64"/>
      <c r="AW39" s="63"/>
      <c r="AX39" s="63">
        <f t="shared" si="22"/>
        <v>1.3298611111167702</v>
      </c>
      <c r="AY39" s="106"/>
      <c r="AZ39" s="64">
        <v>0.79166666666666663</v>
      </c>
      <c r="BA39" s="63">
        <f t="shared" si="15"/>
        <v>1.3298611111167702</v>
      </c>
    </row>
    <row r="40" spans="3:53" s="18" customFormat="1" ht="21" hidden="1" x14ac:dyDescent="0.25">
      <c r="C40" s="17" t="s">
        <v>77</v>
      </c>
      <c r="D40" s="1"/>
      <c r="E40" s="2">
        <v>42231.263888888891</v>
      </c>
      <c r="F40" s="34">
        <v>42231.359027777777</v>
      </c>
      <c r="G40" s="1"/>
      <c r="H40" s="13">
        <f t="shared" si="23"/>
        <v>9.5138888886140194E-2</v>
      </c>
      <c r="I40" s="13">
        <f t="shared" si="2"/>
        <v>0</v>
      </c>
      <c r="J40" s="10">
        <f t="shared" si="5"/>
        <v>5.2083333326865766E-2</v>
      </c>
      <c r="K40" s="13">
        <f t="shared" si="3"/>
        <v>0</v>
      </c>
      <c r="L40" s="13">
        <f t="shared" si="4"/>
        <v>0</v>
      </c>
      <c r="M40" s="13">
        <f t="shared" si="6"/>
        <v>9.5138888886140194E-2</v>
      </c>
      <c r="N40" s="7">
        <f t="shared" si="7"/>
        <v>0.27430555555474712</v>
      </c>
      <c r="O40" s="8">
        <f t="shared" si="8"/>
        <v>0.60763888888808038</v>
      </c>
      <c r="P40" s="12">
        <f t="shared" si="14"/>
        <v>0.64930555555474712</v>
      </c>
      <c r="Q40" s="118" t="s">
        <v>268</v>
      </c>
      <c r="R40" s="119"/>
      <c r="S40" s="30" t="s">
        <v>117</v>
      </c>
      <c r="T40" s="34">
        <v>42231.662499999999</v>
      </c>
      <c r="U40" s="33">
        <v>42231.758333333331</v>
      </c>
      <c r="V40" s="33">
        <v>42232.331250000003</v>
      </c>
      <c r="W40" s="38">
        <f t="shared" si="16"/>
        <v>9.5833333332848269E-2</v>
      </c>
      <c r="X40" s="15">
        <f t="shared" si="9"/>
        <v>0.125</v>
      </c>
      <c r="Y40" s="35">
        <f t="shared" si="10"/>
        <v>0.57291666667151731</v>
      </c>
      <c r="Z40" s="9">
        <f t="shared" si="11"/>
        <v>-3.4722222217371534E-2</v>
      </c>
      <c r="AA40" s="9">
        <f t="shared" si="12"/>
        <v>0.60763888888888884</v>
      </c>
      <c r="AB40" s="11">
        <f t="shared" si="13"/>
        <v>0.70347222222173711</v>
      </c>
      <c r="AC40" s="131"/>
      <c r="AE40" s="32" t="s">
        <v>263</v>
      </c>
      <c r="AF40" s="32" t="s">
        <v>179</v>
      </c>
      <c r="AG40" s="34">
        <v>42232.506944444445</v>
      </c>
      <c r="AH40" s="34">
        <v>42232.556944444441</v>
      </c>
      <c r="AI40" s="34">
        <v>42233.241666666669</v>
      </c>
      <c r="AJ40" s="34">
        <v>42233.458333333336</v>
      </c>
      <c r="AK40" s="34">
        <v>42233.84375</v>
      </c>
      <c r="AL40" s="34">
        <v>42234.706250000003</v>
      </c>
      <c r="AM40" s="34">
        <v>42234.666666666664</v>
      </c>
      <c r="AN40" s="55"/>
      <c r="AO40" s="48"/>
      <c r="AP40" s="21">
        <f t="shared" si="30"/>
        <v>-3.3333333337698903E-2</v>
      </c>
      <c r="AQ40" s="21">
        <f>AM38-AI40</f>
        <v>0.14930555555474712</v>
      </c>
      <c r="AR40" s="20"/>
      <c r="AT40" s="40">
        <v>0.11319444444444444</v>
      </c>
      <c r="AU40" s="41"/>
      <c r="AW40" s="63">
        <f t="shared" si="26"/>
        <v>1.1548611111138598</v>
      </c>
      <c r="AX40" s="63">
        <f t="shared" si="22"/>
        <v>1.3159722222262644</v>
      </c>
      <c r="AY40" s="105">
        <f t="shared" si="21"/>
        <v>0.16111111111240461</v>
      </c>
      <c r="AZ40" s="64">
        <v>0.79166666666666663</v>
      </c>
      <c r="BA40" s="63">
        <f t="shared" si="15"/>
        <v>1.3159722222262644</v>
      </c>
    </row>
    <row r="41" spans="3:53" s="18" customFormat="1" ht="21" hidden="1" x14ac:dyDescent="0.25">
      <c r="C41" s="17" t="s">
        <v>78</v>
      </c>
      <c r="D41" s="1"/>
      <c r="E41" s="2">
        <v>42231.920138888891</v>
      </c>
      <c r="F41" s="34">
        <v>42231.995833333334</v>
      </c>
      <c r="G41" s="1"/>
      <c r="H41" s="13">
        <f t="shared" si="23"/>
        <v>7.5694444443797693E-2</v>
      </c>
      <c r="I41" s="13">
        <f t="shared" si="2"/>
        <v>0</v>
      </c>
      <c r="J41" s="10">
        <f t="shared" si="5"/>
        <v>2.4305555553130187E-2</v>
      </c>
      <c r="K41" s="13">
        <f t="shared" si="3"/>
        <v>0</v>
      </c>
      <c r="L41" s="13">
        <f t="shared" si="4"/>
        <v>0</v>
      </c>
      <c r="M41" s="13">
        <f t="shared" si="6"/>
        <v>7.5694444443797693E-2</v>
      </c>
      <c r="N41" s="7">
        <f t="shared" si="7"/>
        <v>0.28125</v>
      </c>
      <c r="O41" s="8">
        <f t="shared" si="8"/>
        <v>0.61458333333333326</v>
      </c>
      <c r="P41" s="12">
        <f t="shared" si="14"/>
        <v>0.65625</v>
      </c>
      <c r="Q41" s="118" t="s">
        <v>269</v>
      </c>
      <c r="R41" s="119" t="s">
        <v>234</v>
      </c>
      <c r="S41" s="30" t="s">
        <v>118</v>
      </c>
      <c r="T41" s="34">
        <v>42232.318055555559</v>
      </c>
      <c r="U41" s="33">
        <v>42232.345138888886</v>
      </c>
      <c r="V41" s="33">
        <v>42232.94027777778</v>
      </c>
      <c r="W41" s="38">
        <f t="shared" si="16"/>
        <v>2.7083333327027503E-2</v>
      </c>
      <c r="X41" s="15">
        <f t="shared" si="9"/>
        <v>0.125</v>
      </c>
      <c r="Y41" s="35">
        <f t="shared" si="10"/>
        <v>0.59513888889341615</v>
      </c>
      <c r="Z41" s="9">
        <f t="shared" si="11"/>
        <v>-1.2499999995472688E-2</v>
      </c>
      <c r="AA41" s="9">
        <f t="shared" si="12"/>
        <v>0.60763888888888884</v>
      </c>
      <c r="AB41" s="11">
        <f t="shared" si="13"/>
        <v>0.63472222221591634</v>
      </c>
      <c r="AC41" s="131"/>
      <c r="AE41" s="32" t="s">
        <v>262</v>
      </c>
      <c r="AF41" s="54"/>
      <c r="AG41" s="55"/>
      <c r="AH41" s="132"/>
      <c r="AI41" s="132"/>
      <c r="AJ41" s="132"/>
      <c r="AK41" s="132"/>
      <c r="AL41" s="132"/>
      <c r="AM41" s="55"/>
      <c r="AN41" s="55"/>
      <c r="AO41" s="71"/>
      <c r="AP41" s="21"/>
      <c r="AQ41" s="29"/>
      <c r="AR41" s="25"/>
      <c r="AT41" s="64"/>
      <c r="AW41" s="63"/>
      <c r="AX41" s="63">
        <f t="shared" si="22"/>
        <v>1.3055555555547471</v>
      </c>
      <c r="AY41" s="106"/>
      <c r="AZ41" s="64">
        <v>0.79166666666666663</v>
      </c>
      <c r="BA41" s="63">
        <f t="shared" si="15"/>
        <v>1.3055555555547471</v>
      </c>
    </row>
    <row r="42" spans="3:53" s="18" customFormat="1" ht="30" hidden="1" x14ac:dyDescent="0.25">
      <c r="C42" s="17" t="s">
        <v>79</v>
      </c>
      <c r="D42" s="1"/>
      <c r="E42" s="2">
        <v>42232.552083333336</v>
      </c>
      <c r="F42" s="34">
        <v>42232.604166666664</v>
      </c>
      <c r="G42" s="1"/>
      <c r="H42" s="13">
        <f t="shared" si="23"/>
        <v>0</v>
      </c>
      <c r="I42" s="13">
        <f t="shared" si="2"/>
        <v>0</v>
      </c>
      <c r="J42" s="10">
        <f t="shared" si="5"/>
        <v>-7.0833333340285964E-2</v>
      </c>
      <c r="K42" s="13">
        <f t="shared" si="3"/>
        <v>0</v>
      </c>
      <c r="L42" s="13">
        <f t="shared" si="4"/>
        <v>0</v>
      </c>
      <c r="M42" s="13">
        <f t="shared" si="6"/>
        <v>0</v>
      </c>
      <c r="N42" s="7">
        <f t="shared" si="7"/>
        <v>0.25694444444525288</v>
      </c>
      <c r="O42" s="8">
        <f t="shared" si="8"/>
        <v>0.59027777777858614</v>
      </c>
      <c r="P42" s="12">
        <f t="shared" si="14"/>
        <v>0.63194444444525288</v>
      </c>
      <c r="Q42" s="118"/>
      <c r="R42" s="119"/>
      <c r="S42" s="30" t="s">
        <v>119</v>
      </c>
      <c r="T42" s="34">
        <f t="shared" si="28"/>
        <v>42232.916666666664</v>
      </c>
      <c r="U42" s="33">
        <v>42232.943055555559</v>
      </c>
      <c r="V42" s="33">
        <v>42233.505555555559</v>
      </c>
      <c r="W42" s="38">
        <f t="shared" si="16"/>
        <v>2.6388888894871343E-2</v>
      </c>
      <c r="X42" s="15">
        <f t="shared" si="9"/>
        <v>0.125</v>
      </c>
      <c r="Y42" s="35">
        <f t="shared" si="10"/>
        <v>0.5625</v>
      </c>
      <c r="Z42" s="9">
        <f t="shared" si="11"/>
        <v>-4.513888888888884E-2</v>
      </c>
      <c r="AA42" s="9">
        <f t="shared" si="12"/>
        <v>0.60763888888888884</v>
      </c>
      <c r="AB42" s="11">
        <f t="shared" si="13"/>
        <v>0.63402777778376018</v>
      </c>
      <c r="AC42" s="131"/>
      <c r="AE42" s="32" t="s">
        <v>262</v>
      </c>
      <c r="AF42" s="32" t="s">
        <v>180</v>
      </c>
      <c r="AG42" s="34">
        <v>42233.670138888891</v>
      </c>
      <c r="AH42" s="34">
        <v>42233.776388888888</v>
      </c>
      <c r="AI42" s="34">
        <v>42234.436805555553</v>
      </c>
      <c r="AJ42" s="34">
        <v>42234.541666666664</v>
      </c>
      <c r="AK42" s="34">
        <v>42235.106944444444</v>
      </c>
      <c r="AL42" s="34">
        <v>42235.950694444444</v>
      </c>
      <c r="AM42" s="34">
        <v>42235.908333333333</v>
      </c>
      <c r="AN42" s="55"/>
      <c r="AO42" s="48"/>
      <c r="AP42" s="21">
        <f t="shared" si="30"/>
        <v>2.2916666663756288E-2</v>
      </c>
      <c r="AQ42" s="21">
        <f>AM40-AI42</f>
        <v>0.22986111111094942</v>
      </c>
      <c r="AR42" s="20" t="s">
        <v>270</v>
      </c>
      <c r="AT42" s="40">
        <v>0.1125</v>
      </c>
      <c r="AU42" s="41"/>
      <c r="AW42" s="63">
        <f t="shared" si="26"/>
        <v>1.2444444444408873</v>
      </c>
      <c r="AX42" s="63">
        <f t="shared" si="22"/>
        <v>1.2881944444452529</v>
      </c>
      <c r="AY42" s="105">
        <f t="shared" si="21"/>
        <v>4.3750000004365575E-2</v>
      </c>
      <c r="AZ42" s="64">
        <v>0.79166666666666663</v>
      </c>
      <c r="BA42" s="63">
        <f t="shared" si="15"/>
        <v>1.2881944444452529</v>
      </c>
    </row>
    <row r="43" spans="3:53" s="18" customFormat="1" ht="21" hidden="1" x14ac:dyDescent="0.25">
      <c r="C43" s="17" t="s">
        <v>80</v>
      </c>
      <c r="D43" s="1"/>
      <c r="E43" s="2">
        <v>42233.21875</v>
      </c>
      <c r="F43" s="34">
        <v>42233.276388888888</v>
      </c>
      <c r="G43" s="1"/>
      <c r="H43" s="13">
        <f t="shared" si="23"/>
        <v>0</v>
      </c>
      <c r="I43" s="13">
        <f t="shared" si="2"/>
        <v>0</v>
      </c>
      <c r="J43" s="10">
        <f t="shared" si="5"/>
        <v>-0.1229166666614927</v>
      </c>
      <c r="K43" s="13">
        <f t="shared" si="3"/>
        <v>0</v>
      </c>
      <c r="L43" s="13">
        <f t="shared" si="4"/>
        <v>0</v>
      </c>
      <c r="M43" s="13">
        <f t="shared" si="6"/>
        <v>0</v>
      </c>
      <c r="N43" s="7">
        <f t="shared" si="7"/>
        <v>0.29166666666424135</v>
      </c>
      <c r="O43" s="8">
        <f t="shared" si="8"/>
        <v>0.62499999999757461</v>
      </c>
      <c r="P43" s="12">
        <f t="shared" si="14"/>
        <v>0.66666666666424135</v>
      </c>
      <c r="Q43" s="118"/>
      <c r="R43" s="119" t="s">
        <v>234</v>
      </c>
      <c r="S43" s="30" t="s">
        <v>120</v>
      </c>
      <c r="T43" s="34">
        <v>42233.606249999997</v>
      </c>
      <c r="U43" s="33">
        <v>42233.60833333333</v>
      </c>
      <c r="V43" s="33">
        <v>42234.338194444441</v>
      </c>
      <c r="W43" s="38">
        <f t="shared" si="16"/>
        <v>2.0833333328482695E-3</v>
      </c>
      <c r="X43" s="15">
        <f t="shared" si="9"/>
        <v>0.125</v>
      </c>
      <c r="Y43" s="35">
        <f t="shared" si="10"/>
        <v>0.72986111111094942</v>
      </c>
      <c r="Z43" s="9">
        <f t="shared" si="11"/>
        <v>0.12222222222206058</v>
      </c>
      <c r="AA43" s="9">
        <f t="shared" si="12"/>
        <v>0.60763888888888884</v>
      </c>
      <c r="AB43" s="11">
        <f t="shared" si="13"/>
        <v>0.60972222222173711</v>
      </c>
      <c r="AC43" s="131" t="s">
        <v>272</v>
      </c>
      <c r="AE43" s="32" t="s">
        <v>263</v>
      </c>
      <c r="AF43" s="54"/>
      <c r="AG43" s="55"/>
      <c r="AH43" s="132"/>
      <c r="AI43" s="132"/>
      <c r="AJ43" s="132"/>
      <c r="AK43" s="132"/>
      <c r="AL43" s="132"/>
      <c r="AM43" s="55"/>
      <c r="AN43" s="55"/>
      <c r="AO43" s="71"/>
      <c r="AP43" s="21"/>
      <c r="AQ43" s="29"/>
      <c r="AR43" s="25"/>
      <c r="AW43" s="63"/>
      <c r="AX43" s="63">
        <f t="shared" si="22"/>
        <v>1.2986111111094942</v>
      </c>
      <c r="AY43" s="106"/>
      <c r="AZ43" s="64">
        <v>0.79166666666666663</v>
      </c>
      <c r="BA43" s="63">
        <f t="shared" si="15"/>
        <v>1.2986111111094942</v>
      </c>
    </row>
    <row r="44" spans="3:53" s="18" customFormat="1" ht="21" hidden="1" x14ac:dyDescent="0.25">
      <c r="C44" s="17" t="s">
        <v>81</v>
      </c>
      <c r="D44" s="1"/>
      <c r="E44" s="2">
        <v>42233.878472222219</v>
      </c>
      <c r="F44" s="34">
        <v>42233.938888888886</v>
      </c>
      <c r="G44" s="1"/>
      <c r="H44" s="13">
        <f t="shared" si="23"/>
        <v>0</v>
      </c>
      <c r="I44" s="13">
        <f t="shared" si="2"/>
        <v>0</v>
      </c>
      <c r="J44" s="10">
        <f t="shared" si="5"/>
        <v>-0.18194444444250424</v>
      </c>
      <c r="K44" s="13">
        <f t="shared" si="3"/>
        <v>0</v>
      </c>
      <c r="L44" s="13">
        <f t="shared" si="4"/>
        <v>0</v>
      </c>
      <c r="M44" s="13">
        <f t="shared" si="6"/>
        <v>0</v>
      </c>
      <c r="N44" s="7">
        <f t="shared" si="7"/>
        <v>0.28472222221898846</v>
      </c>
      <c r="O44" s="8">
        <f t="shared" si="8"/>
        <v>0.61805555555232172</v>
      </c>
      <c r="P44" s="12">
        <f t="shared" si="14"/>
        <v>0.65972222221898846</v>
      </c>
      <c r="Q44" s="118"/>
      <c r="R44" s="119"/>
      <c r="S44" s="30" t="s">
        <v>121</v>
      </c>
      <c r="T44" s="34">
        <f t="shared" si="28"/>
        <v>42234.251388888886</v>
      </c>
      <c r="U44" s="33">
        <v>42234.255555555559</v>
      </c>
      <c r="V44" s="33">
        <f t="shared" si="40"/>
        <v>42234.86319444445</v>
      </c>
      <c r="W44" s="38">
        <f t="shared" si="16"/>
        <v>4.1666666729724966E-3</v>
      </c>
      <c r="X44" s="15">
        <f t="shared" si="9"/>
        <v>0.125</v>
      </c>
      <c r="Y44" s="35">
        <f t="shared" si="10"/>
        <v>0.60763888889050577</v>
      </c>
      <c r="Z44" s="9">
        <f t="shared" si="11"/>
        <v>1.616928813064078E-12</v>
      </c>
      <c r="AA44" s="9">
        <f t="shared" si="12"/>
        <v>0.60763888888888884</v>
      </c>
      <c r="AB44" s="11">
        <f t="shared" si="13"/>
        <v>0.61180555556186134</v>
      </c>
      <c r="AC44" s="131"/>
      <c r="AE44" s="32" t="s">
        <v>263</v>
      </c>
      <c r="AF44" s="32" t="s">
        <v>181</v>
      </c>
      <c r="AG44" s="34">
        <f t="shared" ref="AG44" si="41">(V44+$AG$5)-TIME(1,0,0)</f>
        <v>42234.98819444445</v>
      </c>
      <c r="AH44" s="34">
        <f t="shared" ref="AH44" si="42">IF(AJ42&gt;AG44,AJ42,AG44+TIME(2,0,0))</f>
        <v>42235.071527777785</v>
      </c>
      <c r="AI44" s="34">
        <f t="shared" ref="AI44" si="43">AH44+$AH$5</f>
        <v>42235.73819444445</v>
      </c>
      <c r="AJ44" s="34">
        <f t="shared" ref="AJ44" si="44">AI44+$AI$5</f>
        <v>42235.946527777785</v>
      </c>
      <c r="AK44" s="34">
        <f t="shared" ref="AK44" si="45">IF(AM42&gt;AI44,AM42+$AJ$5,AI44+$AJ$5)</f>
        <v>42236.408333333333</v>
      </c>
      <c r="AL44" s="34">
        <f t="shared" ref="AL44" si="46">AK44+$AK$5</f>
        <v>42237.2</v>
      </c>
      <c r="AM44" s="34">
        <f t="shared" si="38"/>
        <v>42237.116666666669</v>
      </c>
      <c r="AN44" s="55"/>
      <c r="AO44" s="48"/>
      <c r="AP44" s="21">
        <f>AH44-AG44-TIME(2,0,0)</f>
        <v>2.4253238306570779E-12</v>
      </c>
      <c r="AQ44" s="21">
        <f t="shared" ref="AQ44" si="47">AM42-AI44</f>
        <v>0.17013888888322981</v>
      </c>
      <c r="AR44" s="20"/>
      <c r="AT44" s="40"/>
      <c r="AU44" s="41"/>
      <c r="AW44" s="63">
        <f t="shared" si="26"/>
        <v>1.2493055555532919</v>
      </c>
      <c r="AX44" s="63">
        <f t="shared" si="22"/>
        <v>1.3263888888832298</v>
      </c>
      <c r="AY44" s="105">
        <f t="shared" si="21"/>
        <v>7.7083333329937886E-2</v>
      </c>
      <c r="AZ44" s="64">
        <v>0.79166666666666663</v>
      </c>
      <c r="BA44" s="63">
        <f t="shared" si="15"/>
        <v>1.3263888888832298</v>
      </c>
    </row>
    <row r="45" spans="3:53" s="18" customFormat="1" ht="21" hidden="1" x14ac:dyDescent="0.25">
      <c r="C45" s="17" t="s">
        <v>82</v>
      </c>
      <c r="D45" s="1" t="s">
        <v>234</v>
      </c>
      <c r="E45" s="2">
        <v>42234.538194444445</v>
      </c>
      <c r="F45" s="34">
        <v>42235.279166666667</v>
      </c>
      <c r="G45" s="1"/>
      <c r="H45" s="13">
        <f t="shared" si="23"/>
        <v>0.42847222222189885</v>
      </c>
      <c r="I45" s="13">
        <f t="shared" si="2"/>
        <v>0</v>
      </c>
      <c r="J45" s="10">
        <f>IF(W44&lt;=X44,(M44-((P44-($T$4+$V$3))-W44)),(M44-((P44-($T$4+$V$3)-X44))))</f>
        <v>-0.17291666665712713</v>
      </c>
      <c r="K45" s="13">
        <f t="shared" si="3"/>
        <v>0.3125</v>
      </c>
      <c r="L45" s="13">
        <f>IF(D45="x",((F45-(U44+$V$3))),($S$5))</f>
        <v>0.85347222221753327</v>
      </c>
      <c r="M45" s="13">
        <f t="shared" si="6"/>
        <v>0.74097222222189885</v>
      </c>
      <c r="N45" s="7">
        <f t="shared" si="7"/>
        <v>0.28472222222626442</v>
      </c>
      <c r="O45" s="8">
        <f t="shared" si="8"/>
        <v>0.61805555555959768</v>
      </c>
      <c r="P45" s="12">
        <f>E45-E44</f>
        <v>0.65972222222626442</v>
      </c>
      <c r="Q45" s="118" t="s">
        <v>271</v>
      </c>
      <c r="R45" s="119" t="s">
        <v>234</v>
      </c>
      <c r="S45" s="30" t="s">
        <v>122</v>
      </c>
      <c r="T45" s="34">
        <v>42235.52847222222</v>
      </c>
      <c r="U45" s="34">
        <v>42235.537499999999</v>
      </c>
      <c r="V45" s="33">
        <v>42235.981944444444</v>
      </c>
      <c r="W45" s="38">
        <f>U45-T45</f>
        <v>9.0277777781011537E-3</v>
      </c>
      <c r="X45" s="15">
        <f t="shared" si="9"/>
        <v>0.125</v>
      </c>
      <c r="Y45" s="35">
        <f t="shared" si="10"/>
        <v>0.44444444444525288</v>
      </c>
      <c r="Z45" s="9">
        <f t="shared" si="11"/>
        <v>-0.16319444444363596</v>
      </c>
      <c r="AA45" s="9">
        <f t="shared" si="12"/>
        <v>0.60763888888888884</v>
      </c>
      <c r="AB45" s="11">
        <f t="shared" si="13"/>
        <v>0.61666666666698999</v>
      </c>
      <c r="AC45" s="131"/>
      <c r="AE45" s="32" t="s">
        <v>262</v>
      </c>
      <c r="AF45" s="54"/>
      <c r="AG45" s="55"/>
      <c r="AH45" s="132"/>
      <c r="AI45" s="132"/>
      <c r="AJ45" s="132"/>
      <c r="AK45" s="132"/>
      <c r="AL45" s="132"/>
      <c r="AM45" s="55"/>
      <c r="AN45" s="55"/>
      <c r="AO45" s="71"/>
      <c r="AP45" s="21"/>
      <c r="AQ45" s="29"/>
      <c r="AR45" s="25"/>
      <c r="AW45" s="63"/>
      <c r="AX45" s="63">
        <f>P44+P45</f>
        <v>1.3194444444452529</v>
      </c>
      <c r="AY45" s="106"/>
      <c r="AZ45" s="64">
        <v>0.79166666666666663</v>
      </c>
      <c r="BA45" s="63">
        <f t="shared" si="15"/>
        <v>1.3194444444452529</v>
      </c>
    </row>
    <row r="46" spans="3:53" s="18" customFormat="1" ht="34.5" hidden="1" customHeight="1" x14ac:dyDescent="0.25">
      <c r="C46" s="17" t="s">
        <v>83</v>
      </c>
      <c r="D46" s="1"/>
      <c r="E46" s="2">
        <v>42235.206250000003</v>
      </c>
      <c r="F46" s="34">
        <v>42235.650694444441</v>
      </c>
      <c r="G46" s="1"/>
      <c r="H46" s="13">
        <f t="shared" si="23"/>
        <v>0.44444444443797693</v>
      </c>
      <c r="I46" s="13">
        <f t="shared" si="2"/>
        <v>0</v>
      </c>
      <c r="J46" s="10">
        <f t="shared" si="5"/>
        <v>0.57291666666262442</v>
      </c>
      <c r="K46" s="13">
        <f t="shared" si="3"/>
        <v>0</v>
      </c>
      <c r="L46" s="13">
        <f t="shared" si="4"/>
        <v>0</v>
      </c>
      <c r="M46" s="13">
        <f t="shared" si="6"/>
        <v>0.44444444443797693</v>
      </c>
      <c r="N46" s="7">
        <f t="shared" si="7"/>
        <v>0.2930555555576575</v>
      </c>
      <c r="O46" s="8">
        <f t="shared" si="8"/>
        <v>0.62638888889099076</v>
      </c>
      <c r="P46" s="12">
        <f t="shared" si="14"/>
        <v>0.6680555555576575</v>
      </c>
      <c r="Q46" s="118"/>
      <c r="R46" s="119"/>
      <c r="S46" s="30" t="s">
        <v>123</v>
      </c>
      <c r="T46" s="34">
        <v>42235.905555555553</v>
      </c>
      <c r="U46" s="33">
        <v>42235.995138888888</v>
      </c>
      <c r="V46" s="33">
        <v>42236.435416666667</v>
      </c>
      <c r="W46" s="38">
        <f t="shared" si="16"/>
        <v>8.9583333334303461E-2</v>
      </c>
      <c r="X46" s="15">
        <f t="shared" si="9"/>
        <v>0.125</v>
      </c>
      <c r="Y46" s="35">
        <f t="shared" si="10"/>
        <v>0.44027777777955635</v>
      </c>
      <c r="Z46" s="9">
        <f t="shared" si="11"/>
        <v>-0.16736111110933249</v>
      </c>
      <c r="AA46" s="9">
        <f t="shared" si="12"/>
        <v>0.60763888888888884</v>
      </c>
      <c r="AB46" s="11">
        <f t="shared" si="13"/>
        <v>0.6972222222231923</v>
      </c>
      <c r="AC46" s="131"/>
      <c r="AE46" s="32" t="s">
        <v>262</v>
      </c>
      <c r="AF46" s="32" t="s">
        <v>182</v>
      </c>
      <c r="AG46" s="34">
        <v>42236.594444444447</v>
      </c>
      <c r="AH46" s="34">
        <v>42236.729861111111</v>
      </c>
      <c r="AI46" s="34">
        <v>42237.384027777778</v>
      </c>
      <c r="AJ46" s="34">
        <v>42237.729166666664</v>
      </c>
      <c r="AK46" s="34">
        <v>42237.810416666667</v>
      </c>
      <c r="AL46" s="34">
        <v>42238.644444444442</v>
      </c>
      <c r="AM46" s="34">
        <v>42238.595833333333</v>
      </c>
      <c r="AN46" s="55"/>
      <c r="AO46" s="48"/>
      <c r="AP46" s="21">
        <f>AH46-AG46-TIME(2,0,0)</f>
        <v>5.2083333330908019E-2</v>
      </c>
      <c r="AQ46" s="21">
        <f>AM42-AI46</f>
        <v>-1.4756944444452529</v>
      </c>
      <c r="AR46" s="20"/>
      <c r="AT46" s="40">
        <v>0.14444444444444446</v>
      </c>
      <c r="AU46" s="69"/>
      <c r="AW46" s="63">
        <f>AL46-AL44</f>
        <v>1.4444444444452529</v>
      </c>
      <c r="AX46" s="63">
        <f t="shared" si="22"/>
        <v>1.3277777777839219</v>
      </c>
      <c r="AY46" s="105">
        <f>ABS(AX46-AW46)</f>
        <v>0.11666666666133096</v>
      </c>
      <c r="AZ46" s="64">
        <v>0.79166666666666663</v>
      </c>
      <c r="BA46" s="63">
        <f t="shared" si="15"/>
        <v>1.3277777777839219</v>
      </c>
    </row>
    <row r="47" spans="3:53" s="18" customFormat="1" ht="32.25" hidden="1" customHeight="1" x14ac:dyDescent="0.25">
      <c r="C47" s="17" t="s">
        <v>84</v>
      </c>
      <c r="D47" s="1"/>
      <c r="E47" s="2">
        <v>42235.875</v>
      </c>
      <c r="F47" s="34">
        <v>42236.129166666666</v>
      </c>
      <c r="G47" s="1"/>
      <c r="H47" s="13">
        <f t="shared" si="23"/>
        <v>0.25416666666569654</v>
      </c>
      <c r="I47" s="13">
        <f t="shared" si="2"/>
        <v>0</v>
      </c>
      <c r="J47" s="10">
        <f t="shared" si="5"/>
        <v>0.34861111110351173</v>
      </c>
      <c r="K47" s="13">
        <f t="shared" si="3"/>
        <v>0</v>
      </c>
      <c r="L47" s="13">
        <f t="shared" si="4"/>
        <v>0</v>
      </c>
      <c r="M47" s="13">
        <f t="shared" si="6"/>
        <v>0.25416666666569654</v>
      </c>
      <c r="N47" s="7">
        <f t="shared" si="7"/>
        <v>0.29374999999708962</v>
      </c>
      <c r="O47" s="8">
        <f t="shared" si="8"/>
        <v>0.62708333333042288</v>
      </c>
      <c r="P47" s="12">
        <f t="shared" si="14"/>
        <v>0.66874999999708962</v>
      </c>
      <c r="Q47" s="118"/>
      <c r="R47" s="119" t="s">
        <v>234</v>
      </c>
      <c r="S47" s="30" t="s">
        <v>124</v>
      </c>
      <c r="T47" s="34">
        <v>42236.382638888892</v>
      </c>
      <c r="U47" s="33">
        <v>42236.436805555553</v>
      </c>
      <c r="V47" s="33">
        <v>42236.884722222225</v>
      </c>
      <c r="W47" s="38">
        <f t="shared" si="16"/>
        <v>5.4166666661330964E-2</v>
      </c>
      <c r="X47" s="15">
        <f t="shared" si="9"/>
        <v>0.125</v>
      </c>
      <c r="Y47" s="35">
        <f t="shared" si="10"/>
        <v>0.44791666667151731</v>
      </c>
      <c r="Z47" s="9">
        <f t="shared" si="11"/>
        <v>-0.15972222221737153</v>
      </c>
      <c r="AA47" s="9">
        <f t="shared" si="12"/>
        <v>0.60763888888888884</v>
      </c>
      <c r="AB47" s="11">
        <f t="shared" si="13"/>
        <v>0.6618055555502198</v>
      </c>
      <c r="AC47" s="131"/>
      <c r="AE47" s="32" t="s">
        <v>263</v>
      </c>
      <c r="AF47" s="54"/>
      <c r="AG47" s="55"/>
      <c r="AH47" s="55"/>
      <c r="AI47" s="55"/>
      <c r="AJ47" s="55"/>
      <c r="AK47" s="55"/>
      <c r="AL47" s="55"/>
      <c r="AM47" s="55"/>
      <c r="AN47" s="55"/>
      <c r="AO47" s="48"/>
      <c r="AP47" s="21"/>
      <c r="AQ47" s="29"/>
      <c r="AR47" s="25"/>
      <c r="AT47" s="42"/>
      <c r="AU47" s="155"/>
      <c r="AW47" s="63"/>
      <c r="AX47" s="63"/>
      <c r="AY47" s="154"/>
      <c r="AZ47" s="64">
        <v>0.79166666666666663</v>
      </c>
      <c r="BA47" s="63"/>
    </row>
    <row r="48" spans="3:53" s="18" customFormat="1" ht="37.5" hidden="1" customHeight="1" x14ac:dyDescent="0.25">
      <c r="C48" s="17" t="s">
        <v>85</v>
      </c>
      <c r="D48" s="1"/>
      <c r="E48" s="2">
        <v>42236.841666666667</v>
      </c>
      <c r="F48" s="34">
        <v>42236.901388888888</v>
      </c>
      <c r="G48" s="1"/>
      <c r="H48" s="13">
        <f t="shared" si="23"/>
        <v>0</v>
      </c>
      <c r="I48" s="13">
        <f t="shared" si="2"/>
        <v>0</v>
      </c>
      <c r="J48" s="10">
        <f t="shared" si="5"/>
        <v>0.12222222221882673</v>
      </c>
      <c r="K48" s="13">
        <f t="shared" si="3"/>
        <v>0</v>
      </c>
      <c r="L48" s="13">
        <f t="shared" si="4"/>
        <v>0</v>
      </c>
      <c r="M48" s="13">
        <f t="shared" si="6"/>
        <v>0</v>
      </c>
      <c r="N48" s="7">
        <f t="shared" si="7"/>
        <v>0.59166666666715173</v>
      </c>
      <c r="O48" s="8">
        <f t="shared" si="8"/>
        <v>0.92500000000048499</v>
      </c>
      <c r="P48" s="12">
        <f t="shared" si="14"/>
        <v>0.96666666666715173</v>
      </c>
      <c r="Q48" s="118"/>
      <c r="R48" s="119"/>
      <c r="S48" s="30" t="s">
        <v>125</v>
      </c>
      <c r="T48" s="34">
        <v>42237.217361111114</v>
      </c>
      <c r="U48" s="33">
        <v>42237.218055555553</v>
      </c>
      <c r="V48" s="33">
        <v>42237.861111111109</v>
      </c>
      <c r="W48" s="38">
        <f t="shared" si="16"/>
        <v>6.9444443943211809E-4</v>
      </c>
      <c r="X48" s="15">
        <f t="shared" si="9"/>
        <v>0.125</v>
      </c>
      <c r="Y48" s="35">
        <f t="shared" si="10"/>
        <v>0.64305555555620231</v>
      </c>
      <c r="Z48" s="9">
        <f t="shared" si="11"/>
        <v>3.5416666667313468E-2</v>
      </c>
      <c r="AA48" s="9">
        <f t="shared" si="12"/>
        <v>0.60763888888888884</v>
      </c>
      <c r="AB48" s="11">
        <f t="shared" si="13"/>
        <v>0.60833333332832096</v>
      </c>
      <c r="AC48" s="131" t="s">
        <v>273</v>
      </c>
      <c r="AE48" s="32" t="s">
        <v>263</v>
      </c>
      <c r="AF48" s="32" t="s">
        <v>183</v>
      </c>
      <c r="AG48" s="34">
        <v>42237.998611111114</v>
      </c>
      <c r="AH48" s="34">
        <v>42238.044444444444</v>
      </c>
      <c r="AI48" s="34">
        <v>42238.695833333331</v>
      </c>
      <c r="AJ48" s="34">
        <v>42238.96597222222</v>
      </c>
      <c r="AK48" s="34">
        <v>42239.118750000001</v>
      </c>
      <c r="AL48" s="34">
        <v>42239.972222222219</v>
      </c>
      <c r="AM48" s="34">
        <v>42239.929166666669</v>
      </c>
      <c r="AN48" s="55"/>
      <c r="AO48" s="48"/>
      <c r="AP48" s="21">
        <f>AH48-AG48-TIME(2,0,0)</f>
        <v>-3.7500000003395442E-2</v>
      </c>
      <c r="AQ48" s="21">
        <f>AM46-AI48</f>
        <v>-9.9999999998544808E-2</v>
      </c>
      <c r="AR48" s="20"/>
      <c r="AT48" s="40">
        <v>8.6805555555555566E-2</v>
      </c>
      <c r="AU48" s="41"/>
      <c r="AW48" s="63">
        <f>AL48-AL46</f>
        <v>1.327777777776646</v>
      </c>
      <c r="AX48" s="63">
        <f>P49+P48</f>
        <v>1.9243055555562023</v>
      </c>
      <c r="AY48" s="105">
        <f>ABS(AX48-AW48)</f>
        <v>0.59652777777955635</v>
      </c>
      <c r="AZ48" s="64">
        <v>0.79166666666666663</v>
      </c>
      <c r="BA48" s="63">
        <f>AX48</f>
        <v>1.9243055555562023</v>
      </c>
    </row>
    <row r="49" spans="3:53" s="18" customFormat="1" ht="32.25" hidden="1" customHeight="1" x14ac:dyDescent="0.25">
      <c r="C49" s="17" t="s">
        <v>86</v>
      </c>
      <c r="D49" s="1"/>
      <c r="E49" s="2">
        <v>42237.799305555556</v>
      </c>
      <c r="F49" s="34">
        <v>42237.838194444441</v>
      </c>
      <c r="G49" s="1"/>
      <c r="H49" s="13">
        <f t="shared" si="23"/>
        <v>0</v>
      </c>
      <c r="I49" s="13">
        <f t="shared" si="2"/>
        <v>0</v>
      </c>
      <c r="J49" s="10">
        <f t="shared" si="5"/>
        <v>-0.48333333333883077</v>
      </c>
      <c r="K49" s="13">
        <f t="shared" si="3"/>
        <v>0</v>
      </c>
      <c r="L49" s="13">
        <f t="shared" si="4"/>
        <v>0</v>
      </c>
      <c r="M49" s="13">
        <f t="shared" si="6"/>
        <v>0</v>
      </c>
      <c r="N49" s="7">
        <f t="shared" si="7"/>
        <v>0.58263888888905058</v>
      </c>
      <c r="O49" s="8">
        <f t="shared" si="8"/>
        <v>0.91597222222238384</v>
      </c>
      <c r="P49" s="12">
        <f t="shared" si="14"/>
        <v>0.95763888888905058</v>
      </c>
      <c r="Q49" s="118"/>
      <c r="R49" s="119" t="s">
        <v>234</v>
      </c>
      <c r="S49" s="30" t="s">
        <v>126</v>
      </c>
      <c r="T49" s="34">
        <v>42238.145138888889</v>
      </c>
      <c r="U49" s="33">
        <v>42238.146527777775</v>
      </c>
      <c r="V49" s="33">
        <v>42238.853472222225</v>
      </c>
      <c r="W49" s="38">
        <f t="shared" si="16"/>
        <v>1.3888888861401938E-3</v>
      </c>
      <c r="X49" s="15">
        <f t="shared" si="9"/>
        <v>0.125</v>
      </c>
      <c r="Y49" s="35">
        <f t="shared" si="10"/>
        <v>0.70694444444961846</v>
      </c>
      <c r="Z49" s="9">
        <f t="shared" si="11"/>
        <v>9.9305555560729619E-2</v>
      </c>
      <c r="AA49" s="9">
        <f t="shared" si="12"/>
        <v>0.60763888888888884</v>
      </c>
      <c r="AB49" s="11">
        <f t="shared" si="13"/>
        <v>0.60902777777502903</v>
      </c>
      <c r="AC49" s="156" t="s">
        <v>275</v>
      </c>
      <c r="AE49" s="32" t="s">
        <v>262</v>
      </c>
      <c r="AF49" s="54"/>
      <c r="AG49" s="55"/>
      <c r="AH49" s="132"/>
      <c r="AI49" s="132"/>
      <c r="AJ49" s="132"/>
      <c r="AK49" s="132"/>
      <c r="AL49" s="132"/>
      <c r="AM49" s="55"/>
      <c r="AN49" s="55"/>
      <c r="AO49" s="71"/>
      <c r="AP49" s="21"/>
      <c r="AQ49" s="29"/>
      <c r="AR49" s="25"/>
      <c r="AW49" s="63"/>
      <c r="AX49" s="63">
        <f t="shared" ref="AX49:AX69" si="48">P48+P49</f>
        <v>1.9243055555562023</v>
      </c>
      <c r="AY49" s="106"/>
      <c r="AZ49" s="64">
        <v>0.79166666666666663</v>
      </c>
      <c r="BA49" s="63">
        <f t="shared" si="15"/>
        <v>1.9243055555562023</v>
      </c>
    </row>
    <row r="50" spans="3:53" s="18" customFormat="1" ht="45" hidden="1" customHeight="1" x14ac:dyDescent="0.25">
      <c r="C50" s="17" t="s">
        <v>87</v>
      </c>
      <c r="D50" s="1"/>
      <c r="E50" s="2">
        <v>42238.78125</v>
      </c>
      <c r="F50" s="34">
        <v>42238.986111111109</v>
      </c>
      <c r="G50" s="1"/>
      <c r="H50" s="13">
        <f t="shared" si="23"/>
        <v>0.20486111110949423</v>
      </c>
      <c r="I50" s="13">
        <f t="shared" si="2"/>
        <v>0</v>
      </c>
      <c r="J50" s="10">
        <f t="shared" si="5"/>
        <v>-0.47361111111402154</v>
      </c>
      <c r="K50" s="13">
        <f t="shared" si="3"/>
        <v>0</v>
      </c>
      <c r="L50" s="13">
        <f t="shared" si="4"/>
        <v>0</v>
      </c>
      <c r="M50" s="13">
        <f t="shared" si="6"/>
        <v>0.20486111110949423</v>
      </c>
      <c r="N50" s="7">
        <f t="shared" si="7"/>
        <v>0.60694444444379769</v>
      </c>
      <c r="O50" s="8">
        <f t="shared" si="8"/>
        <v>0.94027777777713095</v>
      </c>
      <c r="P50" s="12">
        <f t="shared" si="14"/>
        <v>0.98194444444379769</v>
      </c>
      <c r="Q50" s="118" t="s">
        <v>274</v>
      </c>
      <c r="R50" s="119"/>
      <c r="S50" s="30" t="s">
        <v>127</v>
      </c>
      <c r="T50" s="34">
        <v>42239.298611111109</v>
      </c>
      <c r="U50" s="33">
        <v>42239.301388888889</v>
      </c>
      <c r="V50" s="33">
        <v>42239.95208333333</v>
      </c>
      <c r="W50" s="38">
        <f t="shared" si="16"/>
        <v>2.7777777795563452E-3</v>
      </c>
      <c r="X50" s="15">
        <f t="shared" si="9"/>
        <v>0.125</v>
      </c>
      <c r="Y50" s="35">
        <f t="shared" si="10"/>
        <v>0.65069444444088731</v>
      </c>
      <c r="Z50" s="9">
        <f t="shared" si="11"/>
        <v>4.305555555199847E-2</v>
      </c>
      <c r="AA50" s="9">
        <f t="shared" si="12"/>
        <v>0.60763888888888884</v>
      </c>
      <c r="AB50" s="11">
        <f t="shared" si="13"/>
        <v>0.61041666666844518</v>
      </c>
      <c r="AC50" s="156" t="s">
        <v>275</v>
      </c>
      <c r="AE50" s="32" t="s">
        <v>262</v>
      </c>
      <c r="AF50" s="32" t="s">
        <v>184</v>
      </c>
      <c r="AG50" s="34">
        <v>42240.098611111112</v>
      </c>
      <c r="AH50" s="34">
        <v>42240.165277777778</v>
      </c>
      <c r="AI50" s="34">
        <v>42240.8125</v>
      </c>
      <c r="AJ50" s="34">
        <v>42241.234027777777</v>
      </c>
      <c r="AK50" s="34">
        <v>42241.292361111111</v>
      </c>
      <c r="AL50" s="34">
        <v>42242.122916666667</v>
      </c>
      <c r="AM50" s="34">
        <v>42242.080555555556</v>
      </c>
      <c r="AN50" s="55"/>
      <c r="AO50" s="48"/>
      <c r="AP50" s="21">
        <f>AH50-AG50-TIME(2,0,0)</f>
        <v>-1.666666666763679E-2</v>
      </c>
      <c r="AQ50" s="21">
        <f>AM48-AI50</f>
        <v>-0.88333333333139308</v>
      </c>
      <c r="AR50" s="20"/>
      <c r="AT50" s="40">
        <v>0.11319444444444444</v>
      </c>
      <c r="AU50" s="41"/>
      <c r="AW50" s="63">
        <f>AL50-AL48</f>
        <v>2.1506944444481633</v>
      </c>
      <c r="AX50" s="63">
        <f t="shared" si="48"/>
        <v>1.9395833333328483</v>
      </c>
      <c r="AY50" s="105">
        <f t="shared" si="21"/>
        <v>0.211111111115315</v>
      </c>
      <c r="AZ50" s="64">
        <v>0.79166666666666663</v>
      </c>
      <c r="BA50" s="63">
        <f t="shared" si="15"/>
        <v>1.9395833333328483</v>
      </c>
    </row>
    <row r="51" spans="3:53" s="18" customFormat="1" ht="39.75" hidden="1" customHeight="1" x14ac:dyDescent="0.25">
      <c r="C51" s="17" t="s">
        <v>88</v>
      </c>
      <c r="D51" s="1"/>
      <c r="E51" s="2">
        <v>42239.751388888886</v>
      </c>
      <c r="F51" s="34">
        <v>42239.881944444445</v>
      </c>
      <c r="G51" s="1"/>
      <c r="H51" s="13">
        <f t="shared" si="23"/>
        <v>0.13055555555911269</v>
      </c>
      <c r="I51" s="13">
        <f t="shared" si="2"/>
        <v>0</v>
      </c>
      <c r="J51" s="10">
        <f t="shared" si="5"/>
        <v>-0.29166666666585828</v>
      </c>
      <c r="K51" s="13">
        <f t="shared" si="3"/>
        <v>0</v>
      </c>
      <c r="L51" s="13">
        <f t="shared" si="4"/>
        <v>0</v>
      </c>
      <c r="M51" s="13">
        <f t="shared" si="6"/>
        <v>0.13055555555911269</v>
      </c>
      <c r="N51" s="7">
        <f t="shared" si="7"/>
        <v>0.59513888888614019</v>
      </c>
      <c r="O51" s="8">
        <f t="shared" si="8"/>
        <v>0.92847222221947345</v>
      </c>
      <c r="P51" s="12">
        <f t="shared" si="14"/>
        <v>0.97013888888614019</v>
      </c>
      <c r="Q51" s="118" t="s">
        <v>274</v>
      </c>
      <c r="R51" s="119" t="s">
        <v>234</v>
      </c>
      <c r="S51" s="30" t="s">
        <v>128</v>
      </c>
      <c r="T51" s="34">
        <v>42240.195138888892</v>
      </c>
      <c r="U51" s="33">
        <v>42240.196527777778</v>
      </c>
      <c r="V51" s="33">
        <v>42240.793055555558</v>
      </c>
      <c r="W51" s="38">
        <f t="shared" si="16"/>
        <v>1.3888888861401938E-3</v>
      </c>
      <c r="X51" s="15">
        <f t="shared" si="9"/>
        <v>0.125</v>
      </c>
      <c r="Y51" s="35">
        <f t="shared" si="10"/>
        <v>0.59652777777955635</v>
      </c>
      <c r="Z51" s="9">
        <f t="shared" si="11"/>
        <v>-1.1111111109332494E-2</v>
      </c>
      <c r="AA51" s="9">
        <f t="shared" si="12"/>
        <v>0.60763888888888884</v>
      </c>
      <c r="AB51" s="11">
        <f t="shared" si="13"/>
        <v>0.60902777777502903</v>
      </c>
      <c r="AC51" s="131"/>
      <c r="AE51" s="32" t="s">
        <v>263</v>
      </c>
      <c r="AF51" s="54"/>
      <c r="AG51" s="55"/>
      <c r="AH51" s="132"/>
      <c r="AI51" s="132"/>
      <c r="AJ51" s="132"/>
      <c r="AK51" s="132"/>
      <c r="AL51" s="132"/>
      <c r="AM51" s="55"/>
      <c r="AN51" s="55"/>
      <c r="AO51" s="71"/>
      <c r="AP51" s="21"/>
      <c r="AQ51" s="29"/>
      <c r="AR51" s="25"/>
      <c r="AW51" s="63"/>
      <c r="AX51" s="63">
        <f t="shared" si="48"/>
        <v>1.9520833333299379</v>
      </c>
      <c r="AY51" s="106"/>
      <c r="AZ51" s="64">
        <v>0.79166666666666663</v>
      </c>
      <c r="BA51" s="63">
        <f t="shared" si="15"/>
        <v>1.9520833333299379</v>
      </c>
    </row>
    <row r="52" spans="3:53" s="18" customFormat="1" ht="39" hidden="1" customHeight="1" x14ac:dyDescent="0.25">
      <c r="C52" s="17" t="s">
        <v>89</v>
      </c>
      <c r="D52" s="1"/>
      <c r="E52" s="2">
        <v>42240.708333333336</v>
      </c>
      <c r="F52" s="34">
        <v>42240.770833333336</v>
      </c>
      <c r="G52" s="1"/>
      <c r="H52" s="13">
        <f t="shared" si="23"/>
        <v>0</v>
      </c>
      <c r="I52" s="13">
        <f t="shared" si="2"/>
        <v>0</v>
      </c>
      <c r="J52" s="10">
        <f t="shared" si="5"/>
        <v>-0.35555555555199847</v>
      </c>
      <c r="K52" s="13">
        <f t="shared" si="3"/>
        <v>0</v>
      </c>
      <c r="L52" s="13">
        <f t="shared" si="4"/>
        <v>0</v>
      </c>
      <c r="M52" s="13">
        <f t="shared" si="6"/>
        <v>0</v>
      </c>
      <c r="N52" s="7">
        <f t="shared" si="7"/>
        <v>0.58194444444961846</v>
      </c>
      <c r="O52" s="8">
        <f t="shared" si="8"/>
        <v>0.91527777778295172</v>
      </c>
      <c r="P52" s="12">
        <f t="shared" si="14"/>
        <v>0.95694444444961846</v>
      </c>
      <c r="Q52" s="118"/>
      <c r="R52" s="119"/>
      <c r="S52" s="30" t="s">
        <v>129</v>
      </c>
      <c r="T52" s="34">
        <v>42241.07916666667</v>
      </c>
      <c r="U52" s="33">
        <v>42241.081250000003</v>
      </c>
      <c r="V52" s="33">
        <v>42241.839583333334</v>
      </c>
      <c r="W52" s="38">
        <f t="shared" si="16"/>
        <v>2.0833333328482695E-3</v>
      </c>
      <c r="X52" s="15">
        <f t="shared" si="9"/>
        <v>0.125</v>
      </c>
      <c r="Y52" s="35">
        <f t="shared" si="10"/>
        <v>0.75833333333139308</v>
      </c>
      <c r="Z52" s="9">
        <f t="shared" si="11"/>
        <v>0.15069444444250424</v>
      </c>
      <c r="AA52" s="9">
        <f t="shared" si="12"/>
        <v>0.60763888888888884</v>
      </c>
      <c r="AB52" s="11">
        <f t="shared" si="13"/>
        <v>0.60972222222173711</v>
      </c>
      <c r="AC52" s="131"/>
      <c r="AE52" s="32" t="s">
        <v>263</v>
      </c>
      <c r="AF52" s="32" t="s">
        <v>185</v>
      </c>
      <c r="AG52" s="34">
        <v>42241.909722222219</v>
      </c>
      <c r="AH52" s="34">
        <v>42242.008333333331</v>
      </c>
      <c r="AI52" s="34">
        <v>42242.681944444441</v>
      </c>
      <c r="AJ52" s="34">
        <f t="shared" ref="AJ52" si="49">AI52+$AI$5</f>
        <v>42242.890277777777</v>
      </c>
      <c r="AK52" s="34">
        <v>42243.149305555555</v>
      </c>
      <c r="AL52" s="34">
        <v>42243.96875</v>
      </c>
      <c r="AM52" s="34">
        <v>42243.925694444442</v>
      </c>
      <c r="AN52" s="55"/>
      <c r="AO52" s="48"/>
      <c r="AP52" s="21">
        <f t="shared" si="30"/>
        <v>1.5277777779071286E-2</v>
      </c>
      <c r="AQ52" s="21">
        <f t="shared" ref="AQ52" si="50">AM50-AI52</f>
        <v>-0.601388888884685</v>
      </c>
      <c r="AR52" s="20"/>
      <c r="AT52" s="41"/>
      <c r="AU52" s="41"/>
      <c r="AW52" s="63">
        <f>AL52-AL50</f>
        <v>1.8458333333328483</v>
      </c>
      <c r="AX52" s="63">
        <f t="shared" si="48"/>
        <v>1.9270833333357587</v>
      </c>
      <c r="AY52" s="105">
        <f t="shared" ref="AY52:AY68" si="51">ABS(AX52-AW52)</f>
        <v>8.1250000002910383E-2</v>
      </c>
      <c r="AZ52" s="64">
        <v>0.79166666666666663</v>
      </c>
      <c r="BA52" s="63">
        <f t="shared" si="15"/>
        <v>1.9270833333357587</v>
      </c>
    </row>
    <row r="53" spans="3:53" s="18" customFormat="1" ht="30.75" hidden="1" customHeight="1" x14ac:dyDescent="0.25">
      <c r="C53" s="17" t="s">
        <v>90</v>
      </c>
      <c r="D53" s="1"/>
      <c r="E53" s="2">
        <v>42241.65625</v>
      </c>
      <c r="F53" s="34">
        <v>42241.720138888886</v>
      </c>
      <c r="G53" s="1"/>
      <c r="H53" s="13">
        <f t="shared" si="23"/>
        <v>0</v>
      </c>
      <c r="I53" s="13">
        <f t="shared" si="2"/>
        <v>0</v>
      </c>
      <c r="J53" s="10">
        <f t="shared" si="5"/>
        <v>-0.47222222222788135</v>
      </c>
      <c r="K53" s="13">
        <f t="shared" si="3"/>
        <v>0</v>
      </c>
      <c r="L53" s="13">
        <f t="shared" si="4"/>
        <v>0</v>
      </c>
      <c r="M53" s="13">
        <f t="shared" si="6"/>
        <v>0</v>
      </c>
      <c r="N53" s="7">
        <f t="shared" si="7"/>
        <v>0.57291666666424135</v>
      </c>
      <c r="O53" s="8">
        <f t="shared" si="8"/>
        <v>0.90624999999757461</v>
      </c>
      <c r="P53" s="12">
        <f t="shared" si="14"/>
        <v>0.94791666666424135</v>
      </c>
      <c r="Q53" s="118"/>
      <c r="R53" s="119" t="s">
        <v>234</v>
      </c>
      <c r="S53" s="30" t="s">
        <v>130</v>
      </c>
      <c r="T53" s="34">
        <v>42242.009722222225</v>
      </c>
      <c r="U53" s="33">
        <v>42242.012499999997</v>
      </c>
      <c r="V53" s="33">
        <v>42242.438194444447</v>
      </c>
      <c r="W53" s="38">
        <f t="shared" si="16"/>
        <v>2.7777777722803876E-3</v>
      </c>
      <c r="X53" s="15">
        <f t="shared" si="9"/>
        <v>0.125</v>
      </c>
      <c r="Y53" s="35">
        <f t="shared" si="10"/>
        <v>0.42569444444961846</v>
      </c>
      <c r="Z53" s="9">
        <f t="shared" si="11"/>
        <v>-0.18194444443927038</v>
      </c>
      <c r="AA53" s="9">
        <f t="shared" si="12"/>
        <v>0.60763888888888884</v>
      </c>
      <c r="AB53" s="11">
        <f t="shared" si="13"/>
        <v>0.61041666666116923</v>
      </c>
      <c r="AC53" s="131"/>
      <c r="AE53" s="32" t="s">
        <v>262</v>
      </c>
      <c r="AF53" s="54"/>
      <c r="AG53" s="55"/>
      <c r="AH53" s="132"/>
      <c r="AI53" s="132"/>
      <c r="AJ53" s="132"/>
      <c r="AK53" s="132"/>
      <c r="AL53" s="132"/>
      <c r="AM53" s="55"/>
      <c r="AN53" s="55"/>
      <c r="AO53" s="71"/>
      <c r="AP53" s="21"/>
      <c r="AQ53" s="29"/>
      <c r="AR53" s="25"/>
      <c r="AW53" s="63"/>
      <c r="AX53" s="63">
        <f t="shared" si="48"/>
        <v>1.9048611111138598</v>
      </c>
      <c r="AY53" s="106"/>
      <c r="AZ53" s="64">
        <v>0.79166666666666663</v>
      </c>
      <c r="BA53" s="63">
        <f t="shared" si="15"/>
        <v>1.9048611111138598</v>
      </c>
    </row>
    <row r="54" spans="3:53" s="18" customFormat="1" ht="34.5" hidden="1" customHeight="1" x14ac:dyDescent="0.25">
      <c r="C54" s="17" t="s">
        <v>91</v>
      </c>
      <c r="D54" s="1"/>
      <c r="E54" s="2">
        <v>42242.600694444445</v>
      </c>
      <c r="F54" s="34">
        <v>42242.675000000003</v>
      </c>
      <c r="G54" s="1"/>
      <c r="H54" s="13">
        <f t="shared" si="23"/>
        <v>7.4305555557657499E-2</v>
      </c>
      <c r="I54" s="13">
        <f t="shared" si="2"/>
        <v>0</v>
      </c>
      <c r="J54" s="10">
        <f t="shared" si="5"/>
        <v>-0.46250000000307212</v>
      </c>
      <c r="K54" s="13">
        <f t="shared" si="3"/>
        <v>0</v>
      </c>
      <c r="L54" s="13">
        <f t="shared" si="4"/>
        <v>0</v>
      </c>
      <c r="M54" s="13">
        <f t="shared" si="6"/>
        <v>7.4305555557657499E-2</v>
      </c>
      <c r="N54" s="7">
        <f t="shared" si="7"/>
        <v>0.56944444444525288</v>
      </c>
      <c r="O54" s="8">
        <f t="shared" si="8"/>
        <v>0.90277777777858614</v>
      </c>
      <c r="P54" s="12">
        <f t="shared" si="14"/>
        <v>0.94444444444525288</v>
      </c>
      <c r="Q54" s="118" t="s">
        <v>276</v>
      </c>
      <c r="R54" s="119"/>
      <c r="S54" s="30" t="s">
        <v>131</v>
      </c>
      <c r="T54" s="34">
        <v>42243.00277777778</v>
      </c>
      <c r="U54" s="33">
        <v>42243.006944444445</v>
      </c>
      <c r="V54" s="33">
        <f t="shared" si="40"/>
        <v>42243.614583333336</v>
      </c>
      <c r="W54" s="38">
        <f t="shared" si="16"/>
        <v>4.166666665696539E-3</v>
      </c>
      <c r="X54" s="15">
        <f t="shared" si="9"/>
        <v>0.125</v>
      </c>
      <c r="Y54" s="35">
        <f t="shared" si="10"/>
        <v>0.60763888889050577</v>
      </c>
      <c r="Z54" s="9">
        <f t="shared" si="11"/>
        <v>1.616928813064078E-12</v>
      </c>
      <c r="AA54" s="9">
        <f t="shared" si="12"/>
        <v>0.60763888888888884</v>
      </c>
      <c r="AB54" s="11">
        <f t="shared" si="13"/>
        <v>0.61180555555458538</v>
      </c>
      <c r="AC54" s="131"/>
      <c r="AE54" s="32" t="s">
        <v>262</v>
      </c>
      <c r="AF54" s="32" t="s">
        <v>186</v>
      </c>
      <c r="AG54" s="34">
        <v>42243.79583333333</v>
      </c>
      <c r="AH54" s="34">
        <v>42243.847916666666</v>
      </c>
      <c r="AI54" s="34">
        <v>42244.561111111114</v>
      </c>
      <c r="AJ54" s="34">
        <v>42244.801388888889</v>
      </c>
      <c r="AK54" s="34">
        <v>42245.07708333333</v>
      </c>
      <c r="AL54" s="34">
        <v>42245.943055555559</v>
      </c>
      <c r="AM54" s="34">
        <v>42245.9</v>
      </c>
      <c r="AN54" s="55"/>
      <c r="AO54" s="48"/>
      <c r="AP54" s="21">
        <f t="shared" si="30"/>
        <v>-3.1249999997574676E-2</v>
      </c>
      <c r="AQ54" s="21">
        <f t="shared" ref="AQ54" si="52">AM52-AI54</f>
        <v>-0.63541666667151731</v>
      </c>
      <c r="AR54" s="20"/>
      <c r="AT54" s="40">
        <v>0.12638888888888888</v>
      </c>
      <c r="AU54" s="41"/>
      <c r="AW54" s="63">
        <f t="shared" ref="AW54:AW60" si="53">AL54-AL52</f>
        <v>1.9743055555591127</v>
      </c>
      <c r="AX54" s="63">
        <f t="shared" si="48"/>
        <v>1.8923611111094942</v>
      </c>
      <c r="AY54" s="105">
        <f t="shared" si="51"/>
        <v>8.1944444449618459E-2</v>
      </c>
      <c r="AZ54" s="64">
        <v>0.79166666666666663</v>
      </c>
      <c r="BA54" s="63">
        <f t="shared" si="15"/>
        <v>1.8923611111094942</v>
      </c>
    </row>
    <row r="55" spans="3:53" s="18" customFormat="1" ht="39.75" hidden="1" customHeight="1" x14ac:dyDescent="0.25">
      <c r="C55" s="17" t="s">
        <v>92</v>
      </c>
      <c r="D55" s="1" t="s">
        <v>234</v>
      </c>
      <c r="E55" s="2">
        <v>42243.226388888892</v>
      </c>
      <c r="F55" s="34">
        <v>42243.522222222222</v>
      </c>
      <c r="G55" s="1"/>
      <c r="H55" s="13">
        <f t="shared" si="23"/>
        <v>-1.6666666670062114E-2</v>
      </c>
      <c r="I55" s="13">
        <f t="shared" si="2"/>
        <v>0</v>
      </c>
      <c r="J55" s="10">
        <f t="shared" si="5"/>
        <v>-0.38333333333301001</v>
      </c>
      <c r="K55" s="13">
        <f t="shared" si="3"/>
        <v>0.29583333332993789</v>
      </c>
      <c r="L55" s="13">
        <f t="shared" si="4"/>
        <v>0.34513888888614019</v>
      </c>
      <c r="M55" s="13">
        <f t="shared" si="6"/>
        <v>0.29583333332993789</v>
      </c>
      <c r="N55" s="7">
        <f t="shared" si="7"/>
        <v>0.25069444444670808</v>
      </c>
      <c r="O55" s="8">
        <f t="shared" si="8"/>
        <v>0.58402777778004134</v>
      </c>
      <c r="P55" s="12">
        <f t="shared" si="14"/>
        <v>0.62569444444670808</v>
      </c>
      <c r="Q55" s="118" t="s">
        <v>277</v>
      </c>
      <c r="R55" s="119" t="s">
        <v>234</v>
      </c>
      <c r="S55" s="30" t="s">
        <v>132</v>
      </c>
      <c r="T55" s="34">
        <v>42243.840277777781</v>
      </c>
      <c r="U55" s="33">
        <v>42243.861111111109</v>
      </c>
      <c r="V55" s="33">
        <v>42244.455555555556</v>
      </c>
      <c r="W55" s="38">
        <f t="shared" si="16"/>
        <v>2.0833333328482695E-2</v>
      </c>
      <c r="X55" s="15">
        <f t="shared" si="9"/>
        <v>0.125</v>
      </c>
      <c r="Y55" s="35">
        <f t="shared" si="10"/>
        <v>0.59444444444670808</v>
      </c>
      <c r="Z55" s="9">
        <f t="shared" si="11"/>
        <v>-1.3194444442180764E-2</v>
      </c>
      <c r="AA55" s="9">
        <f t="shared" si="12"/>
        <v>0.60763888888888884</v>
      </c>
      <c r="AB55" s="11">
        <f t="shared" si="13"/>
        <v>0.62847222221737153</v>
      </c>
      <c r="AC55" s="131"/>
      <c r="AE55" s="32" t="s">
        <v>263</v>
      </c>
      <c r="AF55" s="54"/>
      <c r="AG55" s="55"/>
      <c r="AH55" s="132"/>
      <c r="AI55" s="132"/>
      <c r="AJ55" s="132"/>
      <c r="AK55" s="132"/>
      <c r="AL55" s="132"/>
      <c r="AM55" s="55"/>
      <c r="AN55" s="55"/>
      <c r="AO55" s="71"/>
      <c r="AP55" s="21"/>
      <c r="AQ55" s="29"/>
      <c r="AR55" s="25"/>
      <c r="AW55" s="63"/>
      <c r="AX55" s="63">
        <f t="shared" si="48"/>
        <v>1.570138888891961</v>
      </c>
      <c r="AY55" s="106"/>
      <c r="AZ55" s="64">
        <v>0.79166666666666663</v>
      </c>
      <c r="BA55" s="63">
        <f t="shared" si="15"/>
        <v>1.570138888891961</v>
      </c>
    </row>
    <row r="56" spans="3:53" s="18" customFormat="1" ht="39.75" hidden="1" customHeight="1" x14ac:dyDescent="0.25">
      <c r="C56" s="17" t="s">
        <v>93</v>
      </c>
      <c r="D56" s="1"/>
      <c r="E56" s="2">
        <v>42243.85833333333</v>
      </c>
      <c r="F56" s="34">
        <v>42244.02847222222</v>
      </c>
      <c r="G56" s="1"/>
      <c r="H56" s="13">
        <f t="shared" si="23"/>
        <v>0.17013888889050577</v>
      </c>
      <c r="I56" s="13">
        <f t="shared" si="2"/>
        <v>0</v>
      </c>
      <c r="J56" s="10">
        <f t="shared" si="5"/>
        <v>0.17361111110060135</v>
      </c>
      <c r="K56" s="13">
        <f t="shared" si="3"/>
        <v>0</v>
      </c>
      <c r="L56" s="13">
        <f t="shared" si="4"/>
        <v>0</v>
      </c>
      <c r="M56" s="13">
        <f t="shared" si="6"/>
        <v>0.17013888889050577</v>
      </c>
      <c r="N56" s="7">
        <f t="shared" si="7"/>
        <v>0.25694444443797693</v>
      </c>
      <c r="O56" s="8">
        <f t="shared" si="8"/>
        <v>0.59027777777131019</v>
      </c>
      <c r="P56" s="12">
        <f t="shared" si="14"/>
        <v>0.63194444443797693</v>
      </c>
      <c r="Q56" s="118"/>
      <c r="R56" s="119"/>
      <c r="S56" s="30" t="s">
        <v>133</v>
      </c>
      <c r="T56" s="34">
        <v>42244.335416666669</v>
      </c>
      <c r="U56" s="33">
        <v>42244.465277777781</v>
      </c>
      <c r="V56" s="33">
        <v>42245.038888888892</v>
      </c>
      <c r="W56" s="38">
        <f t="shared" si="16"/>
        <v>0.12986111111240461</v>
      </c>
      <c r="X56" s="15">
        <f t="shared" si="9"/>
        <v>0.125</v>
      </c>
      <c r="Y56" s="35">
        <f>V56-U56</f>
        <v>0.57361111111094942</v>
      </c>
      <c r="Z56" s="9">
        <f t="shared" si="11"/>
        <v>-3.4027777777939416E-2</v>
      </c>
      <c r="AA56" s="9">
        <f t="shared" si="12"/>
        <v>0.60763888888888884</v>
      </c>
      <c r="AB56" s="11">
        <f t="shared" si="13"/>
        <v>0.73750000000129345</v>
      </c>
      <c r="AC56" s="131" t="s">
        <v>278</v>
      </c>
      <c r="AE56" s="32" t="s">
        <v>263</v>
      </c>
      <c r="AF56" s="32" t="s">
        <v>187</v>
      </c>
      <c r="AG56" s="34">
        <v>42245.23333333333</v>
      </c>
      <c r="AH56" s="34">
        <v>42245.310416666667</v>
      </c>
      <c r="AI56" s="34">
        <v>42246.006249999999</v>
      </c>
      <c r="AJ56" s="34">
        <f t="shared" ref="AJ56" si="54">AI56+$AI$5</f>
        <v>42246.214583333334</v>
      </c>
      <c r="AK56" s="34">
        <v>42246.539583333331</v>
      </c>
      <c r="AL56" s="34">
        <v>42247.366666666669</v>
      </c>
      <c r="AM56" s="34">
        <f t="shared" si="38"/>
        <v>42247.247916666667</v>
      </c>
      <c r="AN56" s="55"/>
      <c r="AO56" s="48"/>
      <c r="AP56" s="21">
        <f t="shared" si="30"/>
        <v>-6.2499999961194846E-3</v>
      </c>
      <c r="AQ56" s="21">
        <f t="shared" ref="AQ56" si="55">AM54-AI56</f>
        <v>-0.10624999999708962</v>
      </c>
      <c r="AR56" s="20"/>
      <c r="AT56" s="40">
        <v>8.9583333333333334E-2</v>
      </c>
      <c r="AU56" s="41"/>
      <c r="AW56" s="63">
        <f t="shared" si="53"/>
        <v>1.4236111111094942</v>
      </c>
      <c r="AX56" s="63">
        <f t="shared" si="48"/>
        <v>1.257638888884685</v>
      </c>
      <c r="AY56" s="105">
        <f t="shared" si="51"/>
        <v>0.16597222222480923</v>
      </c>
      <c r="AZ56" s="64">
        <v>0.79166666666666663</v>
      </c>
      <c r="BA56" s="63">
        <f t="shared" si="15"/>
        <v>1.257638888884685</v>
      </c>
    </row>
    <row r="57" spans="3:53" s="18" customFormat="1" ht="38.25" hidden="1" customHeight="1" x14ac:dyDescent="0.25">
      <c r="C57" s="17" t="s">
        <v>94</v>
      </c>
      <c r="D57" s="1"/>
      <c r="E57" s="2">
        <v>42244.488194444442</v>
      </c>
      <c r="F57" s="34">
        <v>42244.649305555555</v>
      </c>
      <c r="G57" s="1"/>
      <c r="H57" s="13">
        <f t="shared" si="23"/>
        <v>0.16111111111240461</v>
      </c>
      <c r="I57" s="13">
        <f t="shared" si="2"/>
        <v>0</v>
      </c>
      <c r="J57" s="10">
        <f t="shared" si="5"/>
        <v>0.14583333334141768</v>
      </c>
      <c r="K57" s="13">
        <f t="shared" si="3"/>
        <v>0</v>
      </c>
      <c r="L57" s="13">
        <f t="shared" si="4"/>
        <v>0</v>
      </c>
      <c r="M57" s="13">
        <f t="shared" si="6"/>
        <v>0.16111111111240461</v>
      </c>
      <c r="N57" s="7">
        <f t="shared" si="7"/>
        <v>0.25486111111240461</v>
      </c>
      <c r="O57" s="8">
        <f t="shared" si="8"/>
        <v>0.58819444444573787</v>
      </c>
      <c r="P57" s="12">
        <f t="shared" si="14"/>
        <v>0.62986111111240461</v>
      </c>
      <c r="Q57" s="118"/>
      <c r="R57" s="119" t="s">
        <v>234</v>
      </c>
      <c r="S57" s="30" t="s">
        <v>134</v>
      </c>
      <c r="T57" s="34">
        <v>42244.961111111108</v>
      </c>
      <c r="U57" s="33">
        <v>42245.042361111111</v>
      </c>
      <c r="V57" s="33">
        <v>42245.63958333333</v>
      </c>
      <c r="W57" s="38">
        <f t="shared" si="16"/>
        <v>8.1250000002910383E-2</v>
      </c>
      <c r="X57" s="15">
        <f t="shared" si="9"/>
        <v>0.125</v>
      </c>
      <c r="Y57" s="35">
        <f t="shared" si="10"/>
        <v>0.59722222221898846</v>
      </c>
      <c r="Z57" s="9">
        <f t="shared" si="11"/>
        <v>-1.0416666669900376E-2</v>
      </c>
      <c r="AA57" s="9">
        <f t="shared" si="12"/>
        <v>0.60763888888888884</v>
      </c>
      <c r="AB57" s="11">
        <f t="shared" si="13"/>
        <v>0.68888888889179922</v>
      </c>
      <c r="AC57" s="131"/>
      <c r="AE57" s="32" t="s">
        <v>262</v>
      </c>
      <c r="AF57" s="54"/>
      <c r="AG57" s="55"/>
      <c r="AH57" s="132"/>
      <c r="AI57" s="132"/>
      <c r="AJ57" s="132"/>
      <c r="AK57" s="132"/>
      <c r="AL57" s="132"/>
      <c r="AM57" s="55"/>
      <c r="AN57" s="55"/>
      <c r="AO57" s="71"/>
      <c r="AP57" s="21"/>
      <c r="AQ57" s="29"/>
      <c r="AR57" s="25"/>
      <c r="AW57" s="63"/>
      <c r="AX57" s="63">
        <f t="shared" si="48"/>
        <v>1.2618055555503815</v>
      </c>
      <c r="AY57" s="106"/>
      <c r="AZ57" s="64">
        <v>0.79166666666666663</v>
      </c>
      <c r="BA57" s="63">
        <f t="shared" si="15"/>
        <v>1.2618055555503815</v>
      </c>
    </row>
    <row r="58" spans="3:53" s="18" customFormat="1" ht="38.25" hidden="1" customHeight="1" x14ac:dyDescent="0.25">
      <c r="C58" s="17" t="s">
        <v>95</v>
      </c>
      <c r="D58" s="1"/>
      <c r="E58" s="2">
        <v>42245.127083333333</v>
      </c>
      <c r="F58" s="34">
        <v>42245.217361111114</v>
      </c>
      <c r="G58" s="1"/>
      <c r="H58" s="13">
        <f t="shared" si="23"/>
        <v>9.0277777781011537E-2</v>
      </c>
      <c r="I58" s="13">
        <f t="shared" si="2"/>
        <v>0</v>
      </c>
      <c r="J58" s="10">
        <f t="shared" si="5"/>
        <v>9.5138888891799223E-2</v>
      </c>
      <c r="K58" s="13">
        <f t="shared" si="3"/>
        <v>0</v>
      </c>
      <c r="L58" s="13">
        <f t="shared" si="4"/>
        <v>0</v>
      </c>
      <c r="M58" s="13">
        <f t="shared" si="6"/>
        <v>9.0277777781011537E-2</v>
      </c>
      <c r="N58" s="7">
        <f t="shared" si="7"/>
        <v>0.26388888889050577</v>
      </c>
      <c r="O58" s="8">
        <f t="shared" si="8"/>
        <v>0.59722222222383903</v>
      </c>
      <c r="P58" s="12">
        <f t="shared" si="14"/>
        <v>0.63888888889050577</v>
      </c>
      <c r="Q58" s="118"/>
      <c r="R58" s="119"/>
      <c r="S58" s="30" t="s">
        <v>135</v>
      </c>
      <c r="T58" s="34">
        <v>42245.529861111114</v>
      </c>
      <c r="U58" s="33">
        <v>42245.652777777781</v>
      </c>
      <c r="V58" s="33">
        <v>42246.28125</v>
      </c>
      <c r="W58" s="38">
        <f>U58-T58</f>
        <v>0.12291666666715173</v>
      </c>
      <c r="X58" s="15">
        <f t="shared" si="9"/>
        <v>0.125</v>
      </c>
      <c r="Y58" s="35">
        <f t="shared" si="10"/>
        <v>0.62847222221898846</v>
      </c>
      <c r="Z58" s="9">
        <f t="shared" si="11"/>
        <v>2.0833333330099624E-2</v>
      </c>
      <c r="AA58" s="9">
        <f t="shared" si="12"/>
        <v>0.60763888888888884</v>
      </c>
      <c r="AB58" s="11">
        <f t="shared" si="13"/>
        <v>0.73055555555604057</v>
      </c>
      <c r="AC58" s="131"/>
      <c r="AE58" s="32" t="s">
        <v>262</v>
      </c>
      <c r="AF58" s="32" t="s">
        <v>188</v>
      </c>
      <c r="AG58" s="34">
        <v>42246.438888888886</v>
      </c>
      <c r="AH58" s="34">
        <v>42246.496527777781</v>
      </c>
      <c r="AI58" s="34">
        <v>42247.148611111108</v>
      </c>
      <c r="AJ58" s="34">
        <v>42247.482638888891</v>
      </c>
      <c r="AK58" s="34">
        <v>42247.777777777781</v>
      </c>
      <c r="AL58" s="34">
        <v>42248.6</v>
      </c>
      <c r="AM58" s="34">
        <v>42248.559027777781</v>
      </c>
      <c r="AN58" s="55"/>
      <c r="AO58" s="48"/>
      <c r="AP58" s="21">
        <f t="shared" si="30"/>
        <v>-2.5694444438461986E-2</v>
      </c>
      <c r="AQ58" s="21">
        <f t="shared" ref="AQ58" si="56">AM56-AI58</f>
        <v>9.930555555911269E-2</v>
      </c>
      <c r="AR58" s="20"/>
      <c r="AT58" s="40"/>
      <c r="AU58" s="41"/>
      <c r="AW58" s="63">
        <f t="shared" si="53"/>
        <v>1.2333333333299379</v>
      </c>
      <c r="AX58" s="63">
        <f t="shared" si="48"/>
        <v>1.2687500000029104</v>
      </c>
      <c r="AY58" s="105">
        <f>ABS(AX58-AW58)</f>
        <v>3.5416666672972497E-2</v>
      </c>
      <c r="AZ58" s="64">
        <v>0.79166666666666663</v>
      </c>
      <c r="BA58" s="63">
        <f t="shared" si="15"/>
        <v>1.2687500000029104</v>
      </c>
    </row>
    <row r="59" spans="3:53" s="18" customFormat="1" ht="41.25" hidden="1" customHeight="1" x14ac:dyDescent="0.25">
      <c r="C59" s="17" t="s">
        <v>96</v>
      </c>
      <c r="D59" s="1"/>
      <c r="E59" s="2">
        <v>42245.758333333331</v>
      </c>
      <c r="F59" s="34">
        <v>42245.869444444441</v>
      </c>
      <c r="G59" s="1"/>
      <c r="H59" s="13">
        <f t="shared" si="23"/>
        <v>0.11111111110949423</v>
      </c>
      <c r="I59" s="13">
        <f t="shared" si="2"/>
        <v>0</v>
      </c>
      <c r="J59" s="10">
        <f t="shared" si="5"/>
        <v>5.6944444446546338E-2</v>
      </c>
      <c r="K59" s="13">
        <f t="shared" si="3"/>
        <v>0</v>
      </c>
      <c r="L59" s="13">
        <f t="shared" si="4"/>
        <v>0</v>
      </c>
      <c r="M59" s="13">
        <f t="shared" si="6"/>
        <v>0.11111111110949423</v>
      </c>
      <c r="N59" s="7">
        <f t="shared" si="7"/>
        <v>0.25624999999854481</v>
      </c>
      <c r="O59" s="8">
        <f t="shared" si="8"/>
        <v>0.58958333333187807</v>
      </c>
      <c r="P59" s="12">
        <f t="shared" si="14"/>
        <v>0.63124999999854481</v>
      </c>
      <c r="Q59" s="118" t="s">
        <v>279</v>
      </c>
      <c r="R59" s="119" t="s">
        <v>234</v>
      </c>
      <c r="S59" s="30" t="s">
        <v>136</v>
      </c>
      <c r="T59" s="34">
        <v>42246.181944444441</v>
      </c>
      <c r="U59" s="33">
        <v>42246.288194444445</v>
      </c>
      <c r="V59" s="33">
        <v>42246.887499999997</v>
      </c>
      <c r="W59" s="38">
        <f t="shared" si="16"/>
        <v>0.10625000000436557</v>
      </c>
      <c r="X59" s="15">
        <f t="shared" si="9"/>
        <v>0.125</v>
      </c>
      <c r="Y59" s="35">
        <f t="shared" si="10"/>
        <v>0.59930555555183673</v>
      </c>
      <c r="Z59" s="9">
        <f t="shared" si="11"/>
        <v>-8.3333333370521068E-3</v>
      </c>
      <c r="AA59" s="9">
        <f t="shared" si="12"/>
        <v>0.60763888888888884</v>
      </c>
      <c r="AB59" s="11">
        <f t="shared" si="13"/>
        <v>0.71388888889325441</v>
      </c>
      <c r="AC59" s="131"/>
      <c r="AE59" s="32" t="s">
        <v>263</v>
      </c>
      <c r="AF59" s="54"/>
      <c r="AG59" s="55"/>
      <c r="AH59" s="132"/>
      <c r="AI59" s="132"/>
      <c r="AJ59" s="132"/>
      <c r="AK59" s="132"/>
      <c r="AL59" s="132"/>
      <c r="AM59" s="55"/>
      <c r="AN59" s="55"/>
      <c r="AO59" s="71"/>
      <c r="AP59" s="21"/>
      <c r="AQ59" s="29"/>
      <c r="AR59" s="25"/>
      <c r="AW59" s="63"/>
      <c r="AX59" s="63">
        <f t="shared" si="48"/>
        <v>1.2701388888890506</v>
      </c>
      <c r="AY59" s="106"/>
      <c r="AZ59" s="64">
        <v>0.79166666666666663</v>
      </c>
      <c r="BA59" s="63">
        <f t="shared" si="15"/>
        <v>1.2701388888890506</v>
      </c>
    </row>
    <row r="60" spans="3:53" s="18" customFormat="1" ht="37.5" hidden="1" customHeight="1" x14ac:dyDescent="0.25">
      <c r="C60" s="17" t="s">
        <v>97</v>
      </c>
      <c r="D60" s="1"/>
      <c r="E60" s="2">
        <v>42246.385416666664</v>
      </c>
      <c r="F60" s="34">
        <v>42246.508333333331</v>
      </c>
      <c r="G60" s="1"/>
      <c r="H60" s="13">
        <f t="shared" si="23"/>
        <v>0.12291666666715173</v>
      </c>
      <c r="I60" s="13">
        <f t="shared" si="2"/>
        <v>0</v>
      </c>
      <c r="J60" s="10">
        <f t="shared" si="5"/>
        <v>6.8750000004203837E-2</v>
      </c>
      <c r="K60" s="13">
        <f t="shared" si="3"/>
        <v>0</v>
      </c>
      <c r="L60" s="13">
        <f t="shared" si="4"/>
        <v>0</v>
      </c>
      <c r="M60" s="13">
        <f t="shared" si="6"/>
        <v>0.12291666666715173</v>
      </c>
      <c r="N60" s="7">
        <f t="shared" si="7"/>
        <v>0.25208333333284827</v>
      </c>
      <c r="O60" s="8">
        <f t="shared" si="8"/>
        <v>0.58541666666618153</v>
      </c>
      <c r="P60" s="12">
        <f t="shared" si="14"/>
        <v>0.62708333333284827</v>
      </c>
      <c r="Q60" s="118" t="s">
        <v>280</v>
      </c>
      <c r="R60" s="119"/>
      <c r="S60" s="30" t="s">
        <v>137</v>
      </c>
      <c r="T60" s="34">
        <f t="shared" si="28"/>
        <v>42246.820833333331</v>
      </c>
      <c r="U60" s="33">
        <v>42246.890972222223</v>
      </c>
      <c r="V60" s="33">
        <v>42247.538194444445</v>
      </c>
      <c r="W60" s="38">
        <f t="shared" si="16"/>
        <v>7.013888889196096E-2</v>
      </c>
      <c r="X60" s="15">
        <f t="shared" si="9"/>
        <v>0.125</v>
      </c>
      <c r="Y60" s="35">
        <f t="shared" si="10"/>
        <v>0.64722222222189885</v>
      </c>
      <c r="Z60" s="9">
        <f t="shared" si="11"/>
        <v>3.9583333333010007E-2</v>
      </c>
      <c r="AA60" s="9">
        <f t="shared" si="12"/>
        <v>0.60763888888888884</v>
      </c>
      <c r="AB60" s="11">
        <f t="shared" si="13"/>
        <v>0.6777777777808498</v>
      </c>
      <c r="AC60" s="131"/>
      <c r="AE60" s="32" t="s">
        <v>263</v>
      </c>
      <c r="AF60" s="32" t="s">
        <v>189</v>
      </c>
      <c r="AG60" s="34">
        <v>42247.731249999997</v>
      </c>
      <c r="AH60" s="34">
        <v>42247.829861111109</v>
      </c>
      <c r="AI60" s="34">
        <v>42248.495833333334</v>
      </c>
      <c r="AJ60" s="34">
        <v>42248.827777777777</v>
      </c>
      <c r="AK60" s="34">
        <v>42249.043749999997</v>
      </c>
      <c r="AL60" s="34">
        <v>42249.884027777778</v>
      </c>
      <c r="AM60" s="34">
        <v>42249.842361111114</v>
      </c>
      <c r="AN60" s="55"/>
      <c r="AO60" s="48"/>
      <c r="AP60" s="21">
        <f t="shared" si="30"/>
        <v>1.5277777779071286E-2</v>
      </c>
      <c r="AQ60" s="21">
        <f t="shared" ref="AQ60" si="57">AM58-AI60</f>
        <v>6.3194444446708076E-2</v>
      </c>
      <c r="AR60" s="20"/>
      <c r="AT60" s="40">
        <v>0.16388888888888889</v>
      </c>
      <c r="AU60" s="41"/>
      <c r="AW60" s="63">
        <f t="shared" si="53"/>
        <v>1.2840277777795563</v>
      </c>
      <c r="AX60" s="63">
        <f t="shared" si="48"/>
        <v>1.2583333333313931</v>
      </c>
      <c r="AY60" s="105">
        <f t="shared" si="51"/>
        <v>2.5694444448163267E-2</v>
      </c>
      <c r="AZ60" s="64">
        <v>0.79166666666666663</v>
      </c>
      <c r="BA60" s="63">
        <f t="shared" si="15"/>
        <v>1.2583333333313931</v>
      </c>
    </row>
    <row r="61" spans="3:53" s="18" customFormat="1" ht="45" hidden="1" x14ac:dyDescent="0.25">
      <c r="C61" s="17" t="s">
        <v>98</v>
      </c>
      <c r="D61" s="1"/>
      <c r="E61" s="2">
        <v>42247.018750000003</v>
      </c>
      <c r="F61" s="34">
        <v>42247.074999999997</v>
      </c>
      <c r="G61" s="1"/>
      <c r="H61" s="13">
        <f t="shared" si="23"/>
        <v>0</v>
      </c>
      <c r="I61" s="13">
        <f t="shared" si="2"/>
        <v>0</v>
      </c>
      <c r="J61" s="10">
        <f t="shared" si="5"/>
        <v>4.861111111515326E-2</v>
      </c>
      <c r="K61" s="13">
        <f t="shared" si="3"/>
        <v>0</v>
      </c>
      <c r="L61" s="13">
        <f t="shared" si="4"/>
        <v>0</v>
      </c>
      <c r="M61" s="13">
        <f t="shared" si="6"/>
        <v>0</v>
      </c>
      <c r="N61" s="7">
        <f t="shared" si="7"/>
        <v>0.25833333333866904</v>
      </c>
      <c r="O61" s="8">
        <f t="shared" si="8"/>
        <v>0.59166666667200229</v>
      </c>
      <c r="P61" s="12">
        <f t="shared" si="14"/>
        <v>0.63333333333866904</v>
      </c>
      <c r="Q61" s="118"/>
      <c r="R61" s="119" t="s">
        <v>234</v>
      </c>
      <c r="S61" s="30" t="s">
        <v>138</v>
      </c>
      <c r="T61" s="34">
        <v>42247.385416666664</v>
      </c>
      <c r="U61" s="33">
        <v>42247.550694444442</v>
      </c>
      <c r="V61" s="33">
        <v>42248.143750000003</v>
      </c>
      <c r="W61" s="38">
        <f t="shared" si="16"/>
        <v>0.16527777777810115</v>
      </c>
      <c r="X61" s="15">
        <f t="shared" si="9"/>
        <v>0.125</v>
      </c>
      <c r="Y61" s="35">
        <f t="shared" si="10"/>
        <v>0.59305555556056788</v>
      </c>
      <c r="Z61" s="9">
        <f t="shared" si="11"/>
        <v>-1.4583333328320958E-2</v>
      </c>
      <c r="AA61" s="9">
        <f t="shared" si="12"/>
        <v>0.60763888888888884</v>
      </c>
      <c r="AB61" s="11">
        <f t="shared" si="13"/>
        <v>0.77291666666698999</v>
      </c>
      <c r="AC61" s="156" t="s">
        <v>282</v>
      </c>
      <c r="AE61" s="32" t="s">
        <v>262</v>
      </c>
      <c r="AF61" s="54"/>
      <c r="AG61" s="55"/>
      <c r="AH61" s="132"/>
      <c r="AI61" s="132"/>
      <c r="AJ61" s="132"/>
      <c r="AK61" s="132"/>
      <c r="AL61" s="132"/>
      <c r="AM61" s="55"/>
      <c r="AN61" s="55"/>
      <c r="AO61" s="71"/>
      <c r="AP61" s="21"/>
      <c r="AQ61" s="29"/>
      <c r="AR61" s="25"/>
      <c r="AW61" s="63"/>
      <c r="AX61" s="63">
        <f t="shared" si="48"/>
        <v>1.2604166666715173</v>
      </c>
      <c r="AY61" s="106"/>
      <c r="AZ61" s="64">
        <v>0.79166666666666663</v>
      </c>
      <c r="BA61" s="63">
        <f t="shared" si="15"/>
        <v>1.2604166666715173</v>
      </c>
    </row>
    <row r="62" spans="3:53" s="18" customFormat="1" ht="42" hidden="1" customHeight="1" x14ac:dyDescent="0.25">
      <c r="C62" s="17" t="s">
        <v>99</v>
      </c>
      <c r="D62" s="1"/>
      <c r="E62" s="2">
        <v>42247.643750000003</v>
      </c>
      <c r="F62" s="34">
        <v>42247.722916666666</v>
      </c>
      <c r="G62" s="1"/>
      <c r="H62" s="13">
        <f t="shared" si="23"/>
        <v>7.9166666662786156E-2</v>
      </c>
      <c r="I62" s="13">
        <f t="shared" si="2"/>
        <v>0</v>
      </c>
      <c r="J62" s="10">
        <f t="shared" si="5"/>
        <v>-2.5694444449780196E-2</v>
      </c>
      <c r="K62" s="13">
        <f t="shared" si="3"/>
        <v>0</v>
      </c>
      <c r="L62" s="13">
        <f t="shared" si="4"/>
        <v>0</v>
      </c>
      <c r="M62" s="13">
        <f t="shared" si="6"/>
        <v>7.9166666662786156E-2</v>
      </c>
      <c r="N62" s="7">
        <f t="shared" si="7"/>
        <v>0.25</v>
      </c>
      <c r="O62" s="8">
        <f t="shared" si="8"/>
        <v>0.58333333333333326</v>
      </c>
      <c r="P62" s="12">
        <f t="shared" si="14"/>
        <v>0.625</v>
      </c>
      <c r="Q62" s="118" t="s">
        <v>281</v>
      </c>
      <c r="R62" s="119"/>
      <c r="S62" s="30" t="s">
        <v>139</v>
      </c>
      <c r="T62" s="34">
        <v>42248.086111111108</v>
      </c>
      <c r="U62" s="33">
        <v>42248.159722222219</v>
      </c>
      <c r="V62" s="33">
        <v>42248.74722222222</v>
      </c>
      <c r="W62" s="38">
        <f t="shared" si="16"/>
        <v>7.3611111110949423E-2</v>
      </c>
      <c r="X62" s="15">
        <f t="shared" si="9"/>
        <v>0.125</v>
      </c>
      <c r="Y62" s="35">
        <f t="shared" si="10"/>
        <v>0.58750000000145519</v>
      </c>
      <c r="Z62" s="9">
        <f t="shared" si="11"/>
        <v>-2.0138888887433648E-2</v>
      </c>
      <c r="AA62" s="9">
        <f t="shared" si="12"/>
        <v>0.60763888888888884</v>
      </c>
      <c r="AB62" s="11">
        <f t="shared" si="13"/>
        <v>0.68124999999983826</v>
      </c>
      <c r="AC62" s="131"/>
      <c r="AE62" s="32" t="s">
        <v>262</v>
      </c>
      <c r="AF62" s="32" t="s">
        <v>190</v>
      </c>
      <c r="AG62" s="34">
        <v>42248.909722222219</v>
      </c>
      <c r="AH62" s="34">
        <v>42248.999305555553</v>
      </c>
      <c r="AI62" s="34">
        <v>42249.65902777778</v>
      </c>
      <c r="AJ62" s="34">
        <v>42249.938194444447</v>
      </c>
      <c r="AK62" s="34">
        <v>42250.179861111108</v>
      </c>
      <c r="AL62" s="34">
        <v>42251</v>
      </c>
      <c r="AM62" s="34">
        <f t="shared" si="38"/>
        <v>42250.888194444444</v>
      </c>
      <c r="AN62" s="55"/>
      <c r="AO62" s="48"/>
      <c r="AP62" s="21">
        <f t="shared" si="30"/>
        <v>6.2500000009701323E-3</v>
      </c>
      <c r="AQ62" s="21">
        <f>AM60-AI62</f>
        <v>0.18333333333430346</v>
      </c>
      <c r="AR62" s="20"/>
      <c r="AT62" s="40">
        <v>0.13819444444444443</v>
      </c>
      <c r="AU62" s="41"/>
      <c r="AW62" s="63">
        <f>AL62-AL60</f>
        <v>1.1159722222218988</v>
      </c>
      <c r="AX62" s="63">
        <f t="shared" si="48"/>
        <v>1.258333333338669</v>
      </c>
      <c r="AY62" s="105">
        <f t="shared" si="51"/>
        <v>0.14236111111677019</v>
      </c>
      <c r="AZ62" s="64">
        <v>0.79166666666666663</v>
      </c>
      <c r="BA62" s="63">
        <f t="shared" si="15"/>
        <v>1.258333333338669</v>
      </c>
    </row>
    <row r="63" spans="3:53" s="18" customFormat="1" ht="45" x14ac:dyDescent="0.25">
      <c r="C63" s="17" t="s">
        <v>100</v>
      </c>
      <c r="D63" s="1"/>
      <c r="E63" s="2">
        <v>42248.273611111108</v>
      </c>
      <c r="F63" s="34">
        <v>42248.371527777781</v>
      </c>
      <c r="G63" s="1"/>
      <c r="H63" s="13">
        <f t="shared" si="23"/>
        <v>9.7916666672972497E-2</v>
      </c>
      <c r="I63" s="13">
        <f t="shared" si="2"/>
        <v>0</v>
      </c>
      <c r="J63" s="10">
        <f t="shared" si="5"/>
        <v>1.0416666662624419E-2</v>
      </c>
      <c r="K63" s="13">
        <f t="shared" si="3"/>
        <v>0</v>
      </c>
      <c r="L63" s="13">
        <f t="shared" si="4"/>
        <v>0</v>
      </c>
      <c r="M63" s="13">
        <f t="shared" si="6"/>
        <v>9.7916666672972497E-2</v>
      </c>
      <c r="N63" s="7">
        <f t="shared" si="7"/>
        <v>0.25486111110512866</v>
      </c>
      <c r="O63" s="8">
        <f t="shared" si="8"/>
        <v>0.58819444443846192</v>
      </c>
      <c r="P63" s="12">
        <f t="shared" si="14"/>
        <v>0.62986111110512866</v>
      </c>
      <c r="Q63" s="118" t="s">
        <v>283</v>
      </c>
      <c r="R63" s="119" t="s">
        <v>234</v>
      </c>
      <c r="S63" s="30" t="s">
        <v>140</v>
      </c>
      <c r="T63" s="34">
        <f t="shared" si="28"/>
        <v>42248.684027777781</v>
      </c>
      <c r="U63" s="33">
        <v>42248.754166666666</v>
      </c>
      <c r="V63" s="33">
        <v>42249.382638888892</v>
      </c>
      <c r="W63" s="38">
        <f t="shared" si="16"/>
        <v>7.0138888884685002E-2</v>
      </c>
      <c r="X63" s="15">
        <f t="shared" si="9"/>
        <v>0.125</v>
      </c>
      <c r="Y63" s="35">
        <f t="shared" si="10"/>
        <v>0.62847222222626442</v>
      </c>
      <c r="Z63" s="9">
        <f t="shared" si="11"/>
        <v>2.0833333337375581E-2</v>
      </c>
      <c r="AA63" s="9">
        <f t="shared" si="12"/>
        <v>0.60763888888888884</v>
      </c>
      <c r="AB63" s="11">
        <f t="shared" si="13"/>
        <v>0.67777777777357384</v>
      </c>
      <c r="AC63" s="156" t="s">
        <v>284</v>
      </c>
      <c r="AE63" s="32" t="s">
        <v>263</v>
      </c>
      <c r="AF63" s="54"/>
      <c r="AG63" s="55"/>
      <c r="AH63" s="132"/>
      <c r="AI63" s="132"/>
      <c r="AJ63" s="132"/>
      <c r="AK63" s="132"/>
      <c r="AL63" s="132"/>
      <c r="AM63" s="55"/>
      <c r="AN63" s="55"/>
      <c r="AO63" s="71"/>
      <c r="AP63" s="21"/>
      <c r="AQ63" s="29"/>
      <c r="AR63" s="25"/>
      <c r="AW63" s="63"/>
      <c r="AX63" s="63">
        <f t="shared" si="48"/>
        <v>1.2548611111051287</v>
      </c>
      <c r="AY63" s="106"/>
      <c r="AZ63" s="64">
        <v>0.79166666666666663</v>
      </c>
      <c r="BA63" s="63">
        <f t="shared" si="15"/>
        <v>1.2548611111051287</v>
      </c>
    </row>
    <row r="64" spans="3:53" s="18" customFormat="1" ht="34.5" customHeight="1" x14ac:dyDescent="0.25">
      <c r="C64" s="17" t="s">
        <v>101</v>
      </c>
      <c r="D64" s="1"/>
      <c r="E64" s="2">
        <v>42248.89166666667</v>
      </c>
      <c r="F64" s="34">
        <v>42248.963888888888</v>
      </c>
      <c r="G64" s="1"/>
      <c r="H64" s="13">
        <f t="shared" si="23"/>
        <v>0</v>
      </c>
      <c r="I64" s="13">
        <f t="shared" si="2"/>
        <v>0</v>
      </c>
      <c r="J64" s="10">
        <f t="shared" si="5"/>
        <v>2.0833333341417681E-2</v>
      </c>
      <c r="K64" s="13">
        <f t="shared" si="3"/>
        <v>0</v>
      </c>
      <c r="L64" s="13">
        <f t="shared" si="4"/>
        <v>0</v>
      </c>
      <c r="M64" s="13">
        <f t="shared" si="6"/>
        <v>0</v>
      </c>
      <c r="N64" s="7">
        <f t="shared" si="7"/>
        <v>0.24305555556202307</v>
      </c>
      <c r="O64" s="8">
        <f t="shared" si="8"/>
        <v>0.57638888889535633</v>
      </c>
      <c r="P64" s="12">
        <f t="shared" si="14"/>
        <v>0.61805555556202307</v>
      </c>
      <c r="Q64" s="118"/>
      <c r="R64" s="119"/>
      <c r="S64" s="30" t="s">
        <v>141</v>
      </c>
      <c r="T64" s="34">
        <f t="shared" si="28"/>
        <v>42249.276388888888</v>
      </c>
      <c r="U64" s="33">
        <v>42249.390277777777</v>
      </c>
      <c r="V64" s="33">
        <v>42250.142361111109</v>
      </c>
      <c r="W64" s="38">
        <f>U64-T64</f>
        <v>0.11388888888905058</v>
      </c>
      <c r="X64" s="15">
        <f t="shared" si="9"/>
        <v>0.125</v>
      </c>
      <c r="Y64" s="35">
        <f>V64-U64</f>
        <v>0.75208333333284827</v>
      </c>
      <c r="Z64" s="9">
        <f t="shared" si="11"/>
        <v>0.14444444444395943</v>
      </c>
      <c r="AA64" s="9">
        <f t="shared" si="12"/>
        <v>0.60763888888888884</v>
      </c>
      <c r="AB64" s="11">
        <f t="shared" si="13"/>
        <v>0.72152777777793942</v>
      </c>
      <c r="AC64" s="131" t="s">
        <v>287</v>
      </c>
      <c r="AE64" s="32" t="s">
        <v>263</v>
      </c>
      <c r="AF64" s="32" t="s">
        <v>191</v>
      </c>
      <c r="AG64" s="34">
        <v>42250.147222222222</v>
      </c>
      <c r="AH64" s="34">
        <v>42250.212500000001</v>
      </c>
      <c r="AI64" s="34">
        <v>42250.875</v>
      </c>
      <c r="AJ64" s="34">
        <v>42251.118750000001</v>
      </c>
      <c r="AK64" s="34">
        <v>42251.583333333336</v>
      </c>
      <c r="AL64" s="34">
        <f t="shared" ref="AL64" si="58">AK64+$AK$5</f>
        <v>42252.375</v>
      </c>
      <c r="AM64" s="34">
        <f t="shared" si="38"/>
        <v>42252.291666666672</v>
      </c>
      <c r="AN64" s="55"/>
      <c r="AO64" s="48"/>
      <c r="AP64" s="21">
        <v>0.16527777777777777</v>
      </c>
      <c r="AQ64" s="21">
        <f t="shared" ref="AQ64" si="59">AM62-AI64</f>
        <v>1.3194444443797693E-2</v>
      </c>
      <c r="AR64" s="20"/>
      <c r="AT64" s="40"/>
      <c r="AU64" s="41"/>
      <c r="AW64" s="63">
        <f>AL64-AL62</f>
        <v>1.375</v>
      </c>
      <c r="AX64" s="63">
        <f t="shared" si="48"/>
        <v>1.2479166666671517</v>
      </c>
      <c r="AY64" s="105">
        <f t="shared" si="51"/>
        <v>0.12708333333284827</v>
      </c>
      <c r="AZ64" s="64">
        <v>0.79166666666666663</v>
      </c>
      <c r="BA64" s="63">
        <f t="shared" si="15"/>
        <v>1.2479166666671517</v>
      </c>
    </row>
    <row r="65" spans="3:53" s="18" customFormat="1" ht="45.75" customHeight="1" x14ac:dyDescent="0.25">
      <c r="C65" s="17" t="s">
        <v>102</v>
      </c>
      <c r="D65" s="1" t="s">
        <v>234</v>
      </c>
      <c r="E65" s="2">
        <v>42249.50277777778</v>
      </c>
      <c r="F65" s="34">
        <v>42249.950694444444</v>
      </c>
      <c r="G65" s="1"/>
      <c r="H65" s="13">
        <f>IF(D65="x",((F65-E65)-$V$2),IF((F65-E65)&lt;=$T$3,0,(F65-E65)))</f>
        <v>0.13541666666424135</v>
      </c>
      <c r="I65" s="13">
        <f t="shared" si="2"/>
        <v>0</v>
      </c>
      <c r="J65" s="10">
        <f t="shared" si="5"/>
        <v>-2.1527777784083657E-2</v>
      </c>
      <c r="K65" s="13">
        <f t="shared" si="3"/>
        <v>0.3125</v>
      </c>
      <c r="L65" s="13">
        <f>IF(D65="x",((F65-(U64+$V$3))),($S$5))</f>
        <v>0.39027777777664596</v>
      </c>
      <c r="M65" s="13">
        <f t="shared" si="6"/>
        <v>0.44791666666424135</v>
      </c>
      <c r="N65" s="7">
        <f t="shared" si="7"/>
        <v>0.23611111110949423</v>
      </c>
      <c r="O65" s="8">
        <f t="shared" si="8"/>
        <v>0.56944444444282749</v>
      </c>
      <c r="P65" s="12">
        <f t="shared" si="14"/>
        <v>0.61111111110949423</v>
      </c>
      <c r="Q65" s="118" t="s">
        <v>286</v>
      </c>
      <c r="R65" s="119" t="s">
        <v>234</v>
      </c>
      <c r="S65" s="30" t="s">
        <v>142</v>
      </c>
      <c r="T65" s="34">
        <f t="shared" si="28"/>
        <v>42250.263194444444</v>
      </c>
      <c r="U65" s="33">
        <v>42250.279861111114</v>
      </c>
      <c r="V65" s="33">
        <v>42250.87222222222</v>
      </c>
      <c r="W65" s="38">
        <f>U65-T65</f>
        <v>1.6666666670062114E-2</v>
      </c>
      <c r="X65" s="15">
        <f t="shared" si="9"/>
        <v>0.125</v>
      </c>
      <c r="Y65" s="35">
        <f>V65-U65</f>
        <v>0.59236111110658385</v>
      </c>
      <c r="Z65" s="9">
        <f t="shared" si="11"/>
        <v>-1.5277777782304991E-2</v>
      </c>
      <c r="AA65" s="9">
        <f t="shared" si="12"/>
        <v>0.60763888888888884</v>
      </c>
      <c r="AB65" s="11">
        <f t="shared" si="13"/>
        <v>0.62430555555895095</v>
      </c>
      <c r="AC65" s="131"/>
      <c r="AE65" s="32" t="s">
        <v>262</v>
      </c>
      <c r="AG65" s="55"/>
      <c r="AH65" s="132"/>
      <c r="AI65" s="132"/>
      <c r="AJ65" s="132"/>
      <c r="AK65" s="132"/>
      <c r="AL65" s="132"/>
      <c r="AM65" s="55"/>
      <c r="AN65" s="55"/>
      <c r="AO65" s="132"/>
      <c r="AP65" s="21"/>
      <c r="AR65" s="68"/>
      <c r="AW65" s="63"/>
      <c r="AX65" s="63">
        <f t="shared" si="48"/>
        <v>1.2291666666715173</v>
      </c>
      <c r="AY65" s="106"/>
      <c r="AZ65" s="64">
        <v>0.79166666666666663</v>
      </c>
      <c r="BA65" s="63">
        <f t="shared" si="15"/>
        <v>1.2291666666715173</v>
      </c>
    </row>
    <row r="66" spans="3:53" s="18" customFormat="1" ht="52.5" customHeight="1" x14ac:dyDescent="0.25">
      <c r="C66" s="17" t="s">
        <v>103</v>
      </c>
      <c r="D66" s="1"/>
      <c r="E66" s="2">
        <v>42250.12777777778</v>
      </c>
      <c r="F66" s="34">
        <v>42250.462500000001</v>
      </c>
      <c r="G66" s="1"/>
      <c r="H66" s="13">
        <f t="shared" si="23"/>
        <v>0.33472222222189885</v>
      </c>
      <c r="I66" s="13">
        <f t="shared" si="2"/>
        <v>0</v>
      </c>
      <c r="J66" s="10">
        <f t="shared" si="5"/>
        <v>0.33611111111369807</v>
      </c>
      <c r="K66" s="13">
        <f t="shared" si="3"/>
        <v>0</v>
      </c>
      <c r="L66" s="13">
        <f>IF(D66="x",((F66-(U65+$V$3))),($S$5))</f>
        <v>0</v>
      </c>
      <c r="M66" s="13">
        <f t="shared" si="6"/>
        <v>0.33472222222189885</v>
      </c>
      <c r="N66" s="7">
        <f t="shared" si="7"/>
        <v>0.25</v>
      </c>
      <c r="O66" s="8">
        <f t="shared" si="8"/>
        <v>0.58333333333333326</v>
      </c>
      <c r="P66" s="12">
        <f t="shared" si="14"/>
        <v>0.625</v>
      </c>
      <c r="Q66" s="157" t="s">
        <v>288</v>
      </c>
      <c r="R66" s="119"/>
      <c r="S66" s="30" t="s">
        <v>143</v>
      </c>
      <c r="T66" s="34">
        <f t="shared" si="28"/>
        <v>42250.775000000001</v>
      </c>
      <c r="U66" s="33">
        <v>42250.875694444447</v>
      </c>
      <c r="V66" s="33">
        <v>42251.477777777778</v>
      </c>
      <c r="W66" s="38">
        <f t="shared" si="16"/>
        <v>0.10069444444525288</v>
      </c>
      <c r="X66" s="15">
        <f t="shared" si="9"/>
        <v>0.125</v>
      </c>
      <c r="Y66" s="35">
        <f t="shared" si="10"/>
        <v>0.60208333333139308</v>
      </c>
      <c r="Z66" s="9">
        <f t="shared" si="11"/>
        <v>-5.5555555574957616E-3</v>
      </c>
      <c r="AA66" s="9">
        <f t="shared" si="12"/>
        <v>0.60763888888888884</v>
      </c>
      <c r="AB66" s="11">
        <f t="shared" si="13"/>
        <v>0.70833333333414172</v>
      </c>
      <c r="AC66" s="131"/>
      <c r="AE66" s="32" t="s">
        <v>262</v>
      </c>
      <c r="AF66" s="32" t="s">
        <v>192</v>
      </c>
      <c r="AG66" s="34">
        <v>42251.664583333331</v>
      </c>
      <c r="AH66" s="34">
        <v>42251.738888888889</v>
      </c>
      <c r="AI66" s="34">
        <f t="shared" ref="AI66" si="60">AH66+$AH$5</f>
        <v>42252.405555555553</v>
      </c>
      <c r="AJ66" s="34">
        <f t="shared" ref="AJ66" si="61">AI66+$AI$5</f>
        <v>42252.613888888889</v>
      </c>
      <c r="AK66" s="34">
        <f t="shared" ref="AK66" si="62">IF(AM64&gt;AI66,AM64+$AJ$5,AI66+$AJ$5)</f>
        <v>42252.905555555553</v>
      </c>
      <c r="AL66" s="34">
        <f t="shared" ref="AL66" si="63">AK66+$AK$5</f>
        <v>42253.697222222218</v>
      </c>
      <c r="AM66" s="34">
        <f t="shared" si="38"/>
        <v>42253.613888888889</v>
      </c>
      <c r="AN66" s="55"/>
      <c r="AO66" s="48"/>
      <c r="AP66" s="21">
        <f t="shared" si="30"/>
        <v>-9.0277777756758298E-3</v>
      </c>
      <c r="AQ66" s="21">
        <f t="shared" ref="AQ66" si="64">AM64-AI66</f>
        <v>-0.11388888888177462</v>
      </c>
      <c r="AR66" s="20"/>
      <c r="AT66" s="40"/>
      <c r="AU66" s="41"/>
      <c r="AW66" s="63">
        <f>AL66-AL64</f>
        <v>1.3222222222175333</v>
      </c>
      <c r="AX66" s="63">
        <f t="shared" si="48"/>
        <v>1.2361111111094942</v>
      </c>
      <c r="AY66" s="105">
        <f>ABS(AX66-AW66)</f>
        <v>8.611111110803904E-2</v>
      </c>
      <c r="AZ66" s="64">
        <v>0.79166666666666663</v>
      </c>
      <c r="BA66" s="63">
        <f t="shared" si="15"/>
        <v>1.2361111111094942</v>
      </c>
    </row>
    <row r="67" spans="3:53" s="18" customFormat="1" ht="39.75" customHeight="1" x14ac:dyDescent="0.25">
      <c r="C67" s="17" t="s">
        <v>104</v>
      </c>
      <c r="D67" s="1"/>
      <c r="E67" s="2">
        <v>42250.708333333336</v>
      </c>
      <c r="F67" s="34">
        <v>42251.081250000003</v>
      </c>
      <c r="G67" s="1"/>
      <c r="H67" s="13">
        <f t="shared" si="23"/>
        <v>0.37291666666715173</v>
      </c>
      <c r="I67" s="13">
        <f t="shared" si="2"/>
        <v>0</v>
      </c>
      <c r="J67" s="10">
        <f t="shared" si="5"/>
        <v>0.29305555555604057</v>
      </c>
      <c r="K67" s="13">
        <f t="shared" si="3"/>
        <v>0</v>
      </c>
      <c r="L67" s="13">
        <f t="shared" si="4"/>
        <v>0</v>
      </c>
      <c r="M67" s="13">
        <f t="shared" si="6"/>
        <v>0.37291666666715173</v>
      </c>
      <c r="N67" s="7">
        <f t="shared" si="7"/>
        <v>0.20555555555620231</v>
      </c>
      <c r="O67" s="8">
        <f t="shared" si="8"/>
        <v>0.53888888888953557</v>
      </c>
      <c r="P67" s="12">
        <f t="shared" si="14"/>
        <v>0.58055555555620231</v>
      </c>
      <c r="Q67" s="157" t="s">
        <v>293</v>
      </c>
      <c r="R67" s="119" t="s">
        <v>234</v>
      </c>
      <c r="S67" s="30" t="s">
        <v>144</v>
      </c>
      <c r="T67" s="34">
        <f t="shared" si="28"/>
        <v>42251.393750000003</v>
      </c>
      <c r="U67" s="33">
        <v>42251.480555555558</v>
      </c>
      <c r="V67" s="33">
        <v>42252.058333333334</v>
      </c>
      <c r="W67" s="38">
        <f t="shared" si="16"/>
        <v>8.6805555554747116E-2</v>
      </c>
      <c r="X67" s="15">
        <f t="shared" si="9"/>
        <v>0.125</v>
      </c>
      <c r="Y67" s="35">
        <f t="shared" si="10"/>
        <v>0.57777777777664596</v>
      </c>
      <c r="Z67" s="9">
        <f t="shared" si="11"/>
        <v>-2.9861111112242877E-2</v>
      </c>
      <c r="AA67" s="9">
        <f t="shared" si="12"/>
        <v>0.60763888888888884</v>
      </c>
      <c r="AB67" s="11">
        <f t="shared" si="13"/>
        <v>0.69444444444363596</v>
      </c>
      <c r="AC67" s="131"/>
      <c r="AE67" s="32" t="s">
        <v>263</v>
      </c>
      <c r="AF67" s="54"/>
      <c r="AG67" s="55"/>
      <c r="AH67" s="132"/>
      <c r="AI67" s="132"/>
      <c r="AJ67" s="132"/>
      <c r="AK67" s="132"/>
      <c r="AL67" s="132"/>
      <c r="AM67" s="55"/>
      <c r="AN67" s="55"/>
      <c r="AO67" s="71"/>
      <c r="AP67" s="21"/>
      <c r="AQ67" s="29"/>
      <c r="AR67" s="25"/>
      <c r="AW67" s="63"/>
      <c r="AX67" s="63">
        <f t="shared" si="48"/>
        <v>1.2055555555562023</v>
      </c>
      <c r="AY67" s="106"/>
      <c r="AZ67" s="64">
        <v>0.79166666666666663</v>
      </c>
      <c r="BA67" s="63">
        <f t="shared" si="15"/>
        <v>1.2055555555562023</v>
      </c>
    </row>
    <row r="68" spans="3:53" s="18" customFormat="1" ht="39.75" customHeight="1" x14ac:dyDescent="0.25">
      <c r="C68" s="17" t="s">
        <v>105</v>
      </c>
      <c r="D68" s="1"/>
      <c r="E68" s="2">
        <v>42250.893055555556</v>
      </c>
      <c r="F68" s="34">
        <v>42251.646527777775</v>
      </c>
      <c r="G68" s="1"/>
      <c r="H68" s="13">
        <f t="shared" si="23"/>
        <v>0.75347222221898846</v>
      </c>
      <c r="I68" s="13">
        <f t="shared" si="2"/>
        <v>0</v>
      </c>
      <c r="J68" s="10">
        <f t="shared" si="5"/>
        <v>0.36180555555458538</v>
      </c>
      <c r="K68" s="13">
        <f t="shared" si="3"/>
        <v>0</v>
      </c>
      <c r="L68" s="13">
        <f t="shared" si="4"/>
        <v>0</v>
      </c>
      <c r="M68" s="13">
        <f t="shared" si="6"/>
        <v>0.75347222221898846</v>
      </c>
      <c r="N68" s="7">
        <f t="shared" si="7"/>
        <v>0.51041666666666663</v>
      </c>
      <c r="O68" s="8">
        <f t="shared" si="8"/>
        <v>0.84375</v>
      </c>
      <c r="P68" s="12">
        <v>0.88541666666666663</v>
      </c>
      <c r="Q68" s="118" t="s">
        <v>292</v>
      </c>
      <c r="R68" s="119"/>
      <c r="S68" s="30" t="s">
        <v>145</v>
      </c>
      <c r="T68" s="34">
        <v>42251.947916666664</v>
      </c>
      <c r="U68" s="33">
        <v>42252.061805555553</v>
      </c>
      <c r="V68" s="33">
        <f>U68+$V$3+$V$4-TIME(2,30,0)</f>
        <v>42252.56527777778</v>
      </c>
      <c r="W68" s="38">
        <f t="shared" si="16"/>
        <v>0.11388888888905058</v>
      </c>
      <c r="X68" s="15">
        <f t="shared" si="9"/>
        <v>0.125</v>
      </c>
      <c r="Y68" s="35">
        <f t="shared" si="10"/>
        <v>0.50347222222626442</v>
      </c>
      <c r="Z68" s="9">
        <f t="shared" si="11"/>
        <v>-0.10416666666262442</v>
      </c>
      <c r="AA68" s="9">
        <f t="shared" si="12"/>
        <v>0.60763888888888884</v>
      </c>
      <c r="AB68" s="11">
        <f t="shared" si="13"/>
        <v>0.72152777777793942</v>
      </c>
      <c r="AC68" s="131"/>
      <c r="AE68" s="32" t="s">
        <v>263</v>
      </c>
      <c r="AF68" s="32" t="s">
        <v>193</v>
      </c>
      <c r="AG68" s="34">
        <f>(V68+$AG$5)-TIME(1,0,0)</f>
        <v>42252.69027777778</v>
      </c>
      <c r="AH68" s="34">
        <f t="shared" ref="AH68" si="65">IF(AJ66&gt;AG68,AJ66,AG68+TIME(2,0,0))</f>
        <v>42252.773611111115</v>
      </c>
      <c r="AI68" s="34">
        <f t="shared" ref="AI68" si="66">AH68+$AH$5</f>
        <v>42253.44027777778</v>
      </c>
      <c r="AJ68" s="34">
        <f t="shared" ref="AJ68" si="67">AI68+$AI$5</f>
        <v>42253.648611111115</v>
      </c>
      <c r="AK68" s="34">
        <f t="shared" ref="AK68" si="68">IF(AM66&gt;AI68,AM66+$AJ$5,AI68+$AJ$5)</f>
        <v>42254.113888888889</v>
      </c>
      <c r="AL68" s="34">
        <f t="shared" ref="AL68" si="69">AK68+$AK$5</f>
        <v>42254.905555555553</v>
      </c>
      <c r="AM68" s="34">
        <f t="shared" si="38"/>
        <v>42254.822222222225</v>
      </c>
      <c r="AN68" s="55"/>
      <c r="AO68" s="48"/>
      <c r="AP68" s="21">
        <f t="shared" si="30"/>
        <v>2.4253238306570779E-12</v>
      </c>
      <c r="AQ68" s="21">
        <f t="shared" ref="AQ68" si="70">AM66-AI68</f>
        <v>0.17361111110949423</v>
      </c>
      <c r="AR68" s="20"/>
      <c r="AT68" s="40"/>
      <c r="AU68" s="41"/>
      <c r="AW68" s="63">
        <f>AL68-AL66</f>
        <v>1.2083333333357587</v>
      </c>
      <c r="AX68" s="63">
        <f t="shared" si="48"/>
        <v>1.4659722222228688</v>
      </c>
      <c r="AY68" s="105">
        <f t="shared" si="51"/>
        <v>0.25763888888711017</v>
      </c>
      <c r="AZ68" s="64">
        <v>0.79166666666666663</v>
      </c>
      <c r="BA68" s="63">
        <f t="shared" si="15"/>
        <v>1.4659722222228688</v>
      </c>
    </row>
    <row r="69" spans="3:53" s="18" customFormat="1" ht="39.75" customHeight="1" x14ac:dyDescent="0.25">
      <c r="C69" s="17" t="s">
        <v>106</v>
      </c>
      <c r="D69" s="1"/>
      <c r="E69" s="2">
        <v>42251.590277777781</v>
      </c>
      <c r="F69" s="34">
        <v>42252.214583333334</v>
      </c>
      <c r="G69" s="1"/>
      <c r="H69" s="13">
        <f>IF(D69="x",((F69-E69)-$V$2),IF((F69-E69)&lt;=$T$3,0,(F69-E69)))</f>
        <v>0.62430555555329192</v>
      </c>
      <c r="I69" s="13">
        <f t="shared" si="2"/>
        <v>0</v>
      </c>
      <c r="J69" s="10">
        <f t="shared" si="5"/>
        <v>0.46458333333026125</v>
      </c>
      <c r="K69" s="13">
        <f t="shared" si="3"/>
        <v>0</v>
      </c>
      <c r="L69" s="13">
        <f t="shared" si="4"/>
        <v>0</v>
      </c>
      <c r="M69" s="13">
        <f t="shared" si="6"/>
        <v>0.62430555555329192</v>
      </c>
      <c r="N69" s="7">
        <f t="shared" si="7"/>
        <v>0.51041666666666663</v>
      </c>
      <c r="O69" s="8">
        <f t="shared" si="8"/>
        <v>0.84375</v>
      </c>
      <c r="P69" s="12">
        <v>0.88541666666666663</v>
      </c>
      <c r="Q69" s="118"/>
      <c r="R69" s="119" t="s">
        <v>234</v>
      </c>
      <c r="S69" s="30" t="s">
        <v>146</v>
      </c>
      <c r="T69" s="34">
        <f t="shared" si="28"/>
        <v>42252.527083333334</v>
      </c>
      <c r="U69" s="33">
        <f t="shared" ref="U69:U75" si="71">IF((U68+Y68)&lt;T69,T69,(U68+Y68))</f>
        <v>42252.56527777778</v>
      </c>
      <c r="V69" s="33">
        <f t="shared" si="40"/>
        <v>42253.17291666667</v>
      </c>
      <c r="W69" s="38">
        <f t="shared" si="16"/>
        <v>3.8194444445252884E-2</v>
      </c>
      <c r="X69" s="15">
        <f t="shared" si="9"/>
        <v>0.125</v>
      </c>
      <c r="Y69" s="35">
        <f t="shared" si="10"/>
        <v>0.60763888889050577</v>
      </c>
      <c r="Z69" s="9">
        <f t="shared" si="11"/>
        <v>1.616928813064078E-12</v>
      </c>
      <c r="AA69" s="9">
        <f t="shared" si="12"/>
        <v>0.60763888888888884</v>
      </c>
      <c r="AB69" s="11">
        <f t="shared" si="13"/>
        <v>0.64583333333414172</v>
      </c>
      <c r="AC69" s="131"/>
      <c r="AE69" s="32" t="s">
        <v>262</v>
      </c>
      <c r="AF69" s="54"/>
      <c r="AG69" s="55"/>
      <c r="AH69" s="132"/>
      <c r="AI69" s="132"/>
      <c r="AJ69" s="132"/>
      <c r="AK69" s="132"/>
      <c r="AL69" s="132"/>
      <c r="AM69" s="55"/>
      <c r="AN69" s="55"/>
      <c r="AO69" s="71"/>
      <c r="AP69" s="21"/>
      <c r="AQ69" s="29"/>
      <c r="AR69" s="25"/>
      <c r="AW69" s="63"/>
      <c r="AX69" s="63">
        <f t="shared" si="48"/>
        <v>1.7708333333333333</v>
      </c>
      <c r="AY69" s="106"/>
      <c r="AZ69" s="64">
        <v>0.79166666666666663</v>
      </c>
      <c r="BA69" s="63">
        <f t="shared" si="15"/>
        <v>1.7708333333333333</v>
      </c>
    </row>
    <row r="70" spans="3:53" s="18" customFormat="1" ht="39.75" customHeight="1" x14ac:dyDescent="0.25">
      <c r="C70" s="17" t="s">
        <v>107</v>
      </c>
      <c r="D70" s="1"/>
      <c r="E70" s="2">
        <v>42252.479166666664</v>
      </c>
      <c r="F70" s="34">
        <f t="shared" ref="F70:F74" si="72">IF(D70="x",(U69+$V$3+$V$2),IF((U69+$V$3)&lt;(E70+$T$3),(E70+$T$3),(U69+$V$3)))</f>
        <v>42252.73541666667</v>
      </c>
      <c r="G70" s="1"/>
      <c r="H70" s="13">
        <f t="shared" si="23"/>
        <v>0.25625000000582077</v>
      </c>
      <c r="I70" s="13">
        <f t="shared" si="2"/>
        <v>0</v>
      </c>
      <c r="J70" s="10">
        <f t="shared" si="5"/>
        <v>0.25972222222076702</v>
      </c>
      <c r="K70" s="13">
        <f t="shared" si="3"/>
        <v>0</v>
      </c>
      <c r="L70" s="13">
        <f t="shared" si="4"/>
        <v>0</v>
      </c>
      <c r="M70" s="13">
        <f t="shared" si="6"/>
        <v>0.25625000000582077</v>
      </c>
      <c r="N70" s="7">
        <f t="shared" si="7"/>
        <v>0.51041666666666663</v>
      </c>
      <c r="O70" s="8">
        <f t="shared" si="8"/>
        <v>0.84375</v>
      </c>
      <c r="P70" s="12">
        <v>0.88541666666666663</v>
      </c>
      <c r="Q70" s="152"/>
      <c r="R70" s="119"/>
      <c r="S70" s="30" t="s">
        <v>147</v>
      </c>
      <c r="T70" s="34">
        <f t="shared" si="28"/>
        <v>42253.04791666667</v>
      </c>
      <c r="U70" s="33">
        <f t="shared" si="71"/>
        <v>42253.17291666667</v>
      </c>
      <c r="V70" s="33">
        <f t="shared" si="40"/>
        <v>42253.780555555561</v>
      </c>
      <c r="W70" s="38">
        <f t="shared" si="16"/>
        <v>0.125</v>
      </c>
      <c r="X70" s="15">
        <f t="shared" si="9"/>
        <v>0.125</v>
      </c>
      <c r="Y70" s="35">
        <f t="shared" si="10"/>
        <v>0.60763888889050577</v>
      </c>
      <c r="Z70" s="9">
        <f t="shared" si="11"/>
        <v>1.616928813064078E-12</v>
      </c>
      <c r="AA70" s="9">
        <f t="shared" si="12"/>
        <v>0.60763888888888884</v>
      </c>
      <c r="AB70" s="11">
        <f t="shared" si="13"/>
        <v>0.73263888888888884</v>
      </c>
      <c r="AC70" s="131"/>
      <c r="AE70" s="32" t="s">
        <v>262</v>
      </c>
      <c r="AF70" s="32" t="s">
        <v>194</v>
      </c>
      <c r="AG70" s="34">
        <f>(V70+$AG$5)-TIME(1,0,0)</f>
        <v>42253.905555555561</v>
      </c>
      <c r="AH70" s="34">
        <f t="shared" ref="AH70" si="73">IF(AJ68&gt;AG70,AJ68,AG70+TIME(2,0,0))</f>
        <v>42253.988888888896</v>
      </c>
      <c r="AI70" s="34">
        <f t="shared" ref="AI70" si="74">AH70+$AH$5</f>
        <v>42254.655555555561</v>
      </c>
      <c r="AJ70" s="34">
        <f t="shared" ref="AJ70" si="75">AI70+$AI$5</f>
        <v>42254.863888888896</v>
      </c>
      <c r="AK70" s="34">
        <f>IF(AM68&gt;AI70,AM68+$AJ$5,AI70+$AJ$5)</f>
        <v>42255.322222222225</v>
      </c>
      <c r="AL70" s="34">
        <f t="shared" ref="AL70" si="76">AK70+$AK$5</f>
        <v>42256.113888888889</v>
      </c>
      <c r="AM70" s="34">
        <f t="shared" si="38"/>
        <v>42256.030555555561</v>
      </c>
      <c r="AN70" s="55"/>
      <c r="AO70" s="48"/>
      <c r="AP70" s="21">
        <f>AH70-AG70-TIME(2,0,0)</f>
        <v>2.4253238306570779E-12</v>
      </c>
      <c r="AQ70" s="21">
        <f t="shared" ref="AQ70" si="77">AM68-AI70</f>
        <v>0.16666666666424135</v>
      </c>
      <c r="AR70" s="20"/>
      <c r="AT70" s="40"/>
      <c r="AU70" s="41"/>
      <c r="AW70" s="63">
        <f t="shared" ref="AW70" si="78">AL70-AL68</f>
        <v>1.2083333333357587</v>
      </c>
      <c r="AX70" s="63">
        <f>P69+P70</f>
        <v>1.7708333333333333</v>
      </c>
      <c r="AY70" s="105">
        <f t="shared" ref="AY70" si="79">ABS(AX70-AW70)</f>
        <v>0.56249999999757461</v>
      </c>
      <c r="AZ70" s="64">
        <v>0.79166666666666663</v>
      </c>
      <c r="BA70" s="63">
        <f t="shared" si="15"/>
        <v>1.7708333333333333</v>
      </c>
    </row>
    <row r="71" spans="3:53" s="18" customFormat="1" ht="39.75" customHeight="1" x14ac:dyDescent="0.25">
      <c r="C71" s="17" t="s">
        <v>108</v>
      </c>
      <c r="D71" s="1" t="s">
        <v>234</v>
      </c>
      <c r="E71" s="2">
        <f>E70+P70</f>
        <v>42253.364583333328</v>
      </c>
      <c r="F71" s="34">
        <f t="shared" si="72"/>
        <v>42253.655555555561</v>
      </c>
      <c r="G71" s="1"/>
      <c r="H71" s="13">
        <f t="shared" si="23"/>
        <v>-2.1527777767914813E-2</v>
      </c>
      <c r="I71" s="13">
        <f t="shared" si="2"/>
        <v>0</v>
      </c>
      <c r="J71" s="10">
        <f t="shared" si="5"/>
        <v>-2.1527777771957024E-2</v>
      </c>
      <c r="K71" s="13">
        <f t="shared" si="3"/>
        <v>0.29097222223208519</v>
      </c>
      <c r="L71" s="13">
        <f t="shared" si="4"/>
        <v>0.3125</v>
      </c>
      <c r="M71" s="13">
        <f t="shared" si="6"/>
        <v>0.29097222223208519</v>
      </c>
      <c r="N71" s="7">
        <f t="shared" si="7"/>
        <v>0.51041666666424135</v>
      </c>
      <c r="O71" s="8">
        <f t="shared" si="8"/>
        <v>0.84374999999757461</v>
      </c>
      <c r="P71" s="12">
        <f t="shared" si="14"/>
        <v>0.88541666666424135</v>
      </c>
      <c r="Q71" s="118"/>
      <c r="R71" s="119" t="s">
        <v>234</v>
      </c>
      <c r="S71" s="30" t="s">
        <v>148</v>
      </c>
      <c r="T71" s="34">
        <f t="shared" si="28"/>
        <v>42253.968055555561</v>
      </c>
      <c r="U71" s="33">
        <f t="shared" si="71"/>
        <v>42253.968055555561</v>
      </c>
      <c r="V71" s="33">
        <f t="shared" si="40"/>
        <v>42254.575694444451</v>
      </c>
      <c r="W71" s="38">
        <f t="shared" si="16"/>
        <v>0</v>
      </c>
      <c r="X71" s="15">
        <f t="shared" si="9"/>
        <v>0.125</v>
      </c>
      <c r="Y71" s="35">
        <f t="shared" si="10"/>
        <v>0.60763888889050577</v>
      </c>
      <c r="Z71" s="9">
        <f t="shared" si="11"/>
        <v>1.616928813064078E-12</v>
      </c>
      <c r="AA71" s="9">
        <f t="shared" si="12"/>
        <v>0.60763888888888884</v>
      </c>
      <c r="AB71" s="11">
        <f t="shared" si="13"/>
        <v>0.60763888888888884</v>
      </c>
      <c r="AC71" s="131"/>
      <c r="AE71" s="32" t="s">
        <v>263</v>
      </c>
      <c r="AN71" s="55"/>
      <c r="AO71" s="48"/>
    </row>
    <row r="72" spans="3:53" s="18" customFormat="1" ht="39.75" customHeight="1" x14ac:dyDescent="0.25">
      <c r="C72" s="17" t="s">
        <v>109</v>
      </c>
      <c r="D72" s="1"/>
      <c r="E72" s="2">
        <f t="shared" si="32"/>
        <v>42254.249999999993</v>
      </c>
      <c r="F72" s="34">
        <f t="shared" si="72"/>
        <v>42254.322916666657</v>
      </c>
      <c r="G72" s="1"/>
      <c r="H72" s="13">
        <f t="shared" si="23"/>
        <v>0</v>
      </c>
      <c r="I72" s="13">
        <f t="shared" si="2"/>
        <v>0</v>
      </c>
      <c r="J72" s="10">
        <f t="shared" si="5"/>
        <v>-0.11180555554326732</v>
      </c>
      <c r="K72" s="13">
        <f t="shared" si="3"/>
        <v>0</v>
      </c>
      <c r="L72" s="13">
        <f t="shared" si="4"/>
        <v>0</v>
      </c>
      <c r="M72" s="13">
        <f t="shared" si="6"/>
        <v>0</v>
      </c>
      <c r="N72" s="7">
        <f t="shared" si="7"/>
        <v>0.51041666666424135</v>
      </c>
      <c r="O72" s="8">
        <f t="shared" si="8"/>
        <v>0.84374999999757461</v>
      </c>
      <c r="P72" s="12">
        <f t="shared" si="14"/>
        <v>0.88541666666424135</v>
      </c>
      <c r="Q72" s="118"/>
      <c r="R72" s="119"/>
      <c r="S72" s="30" t="s">
        <v>149</v>
      </c>
      <c r="T72" s="34">
        <f t="shared" si="28"/>
        <v>42254.635416666657</v>
      </c>
      <c r="U72" s="33">
        <f t="shared" si="71"/>
        <v>42254.635416666657</v>
      </c>
      <c r="V72" s="33">
        <f t="shared" si="40"/>
        <v>42255.243055555547</v>
      </c>
      <c r="W72" s="38">
        <f t="shared" si="16"/>
        <v>0</v>
      </c>
      <c r="X72" s="15">
        <f t="shared" si="9"/>
        <v>0.125</v>
      </c>
      <c r="Y72" s="35">
        <f t="shared" si="10"/>
        <v>0.60763888889050577</v>
      </c>
      <c r="Z72" s="9">
        <f t="shared" si="11"/>
        <v>1.616928813064078E-12</v>
      </c>
      <c r="AA72" s="9">
        <f t="shared" si="12"/>
        <v>0.60763888888888884</v>
      </c>
      <c r="AB72" s="11">
        <f t="shared" si="13"/>
        <v>0.60763888888888884</v>
      </c>
      <c r="AC72" s="131"/>
      <c r="AE72" s="32" t="s">
        <v>262</v>
      </c>
      <c r="AF72" s="32" t="s">
        <v>195</v>
      </c>
      <c r="AG72" s="34">
        <f>(V72+$AG$5)-TIME(1,0,0)</f>
        <v>42255.368055555547</v>
      </c>
      <c r="AH72" s="34">
        <f>IF(AJ70&gt;AG72,AJ70,AG72+TIME(2,0,0))</f>
        <v>42255.451388888883</v>
      </c>
      <c r="AI72" s="34">
        <f>AH72+$AH$5</f>
        <v>42256.118055555547</v>
      </c>
      <c r="AJ72" s="34">
        <f>AI72+$AI$5</f>
        <v>42256.326388888883</v>
      </c>
      <c r="AK72" s="34">
        <f>IF(AM70&gt;AI72,AM70+$AJ$5,AI72+$AJ$5)</f>
        <v>42256.618055555547</v>
      </c>
      <c r="AL72" s="34">
        <f>AK72+$AK$5</f>
        <v>42257.409722222212</v>
      </c>
      <c r="AM72" s="34">
        <f>AK72+$AN$5</f>
        <v>42257.326388888883</v>
      </c>
      <c r="AN72" s="55"/>
      <c r="AO72" s="71"/>
      <c r="AP72" s="21">
        <f>AH72-AG72-TIME(2,0,0)</f>
        <v>2.4253238306570779E-12</v>
      </c>
      <c r="AQ72" s="21">
        <f>AM70-AI72</f>
        <v>-8.7499999986903276E-2</v>
      </c>
      <c r="AR72" s="20"/>
      <c r="AT72" s="40"/>
      <c r="AU72" s="41"/>
      <c r="AW72" s="63">
        <f>AL72-AL70</f>
        <v>1.2958333333226619</v>
      </c>
      <c r="AX72" s="63">
        <f>P71+P72</f>
        <v>1.7708333333284827</v>
      </c>
      <c r="AY72" s="105">
        <f>ABS(AX72-AW72)</f>
        <v>0.47500000000582077</v>
      </c>
      <c r="AZ72" s="64">
        <v>0.79166666666666663</v>
      </c>
      <c r="BA72" s="63">
        <f>AX72</f>
        <v>1.7708333333284827</v>
      </c>
    </row>
    <row r="73" spans="3:53" s="18" customFormat="1" ht="39.75" customHeight="1" x14ac:dyDescent="0.25">
      <c r="C73" s="17" t="s">
        <v>110</v>
      </c>
      <c r="D73" s="1"/>
      <c r="E73" s="2">
        <f t="shared" si="32"/>
        <v>42255.135416666657</v>
      </c>
      <c r="F73" s="34">
        <f t="shared" si="72"/>
        <v>42255.208333333321</v>
      </c>
      <c r="G73" s="1"/>
      <c r="H73" s="13">
        <f t="shared" si="23"/>
        <v>0</v>
      </c>
      <c r="I73" s="13">
        <f t="shared" si="2"/>
        <v>0</v>
      </c>
      <c r="J73" s="10">
        <f t="shared" si="5"/>
        <v>-0.40277777777535251</v>
      </c>
      <c r="K73" s="13">
        <f t="shared" si="3"/>
        <v>0</v>
      </c>
      <c r="L73" s="13">
        <f t="shared" si="4"/>
        <v>0</v>
      </c>
      <c r="M73" s="13">
        <f t="shared" si="6"/>
        <v>0</v>
      </c>
      <c r="N73" s="7">
        <f t="shared" si="7"/>
        <v>0.51041666666424135</v>
      </c>
      <c r="O73" s="8">
        <f t="shared" si="8"/>
        <v>0.84374999999757461</v>
      </c>
      <c r="P73" s="12">
        <f t="shared" si="14"/>
        <v>0.88541666666424135</v>
      </c>
      <c r="Q73" s="118"/>
      <c r="R73" s="119" t="s">
        <v>234</v>
      </c>
      <c r="S73" s="30" t="s">
        <v>150</v>
      </c>
      <c r="T73" s="34">
        <f t="shared" si="28"/>
        <v>42255.520833333321</v>
      </c>
      <c r="U73" s="33">
        <f t="shared" si="71"/>
        <v>42255.520833333321</v>
      </c>
      <c r="V73" s="33">
        <f t="shared" si="40"/>
        <v>42256.128472222212</v>
      </c>
      <c r="W73" s="38">
        <f t="shared" si="16"/>
        <v>0</v>
      </c>
      <c r="X73" s="15">
        <f t="shared" si="9"/>
        <v>0.125</v>
      </c>
      <c r="Y73" s="35">
        <f t="shared" si="10"/>
        <v>0.60763888889050577</v>
      </c>
      <c r="Z73" s="9">
        <f t="shared" si="11"/>
        <v>1.616928813064078E-12</v>
      </c>
      <c r="AA73" s="9">
        <f t="shared" si="12"/>
        <v>0.60763888888888884</v>
      </c>
      <c r="AB73" s="11">
        <f t="shared" si="13"/>
        <v>0.60763888888888884</v>
      </c>
      <c r="AC73" s="131"/>
      <c r="AE73" s="32" t="s">
        <v>262</v>
      </c>
      <c r="AF73" s="54"/>
      <c r="AG73" s="55"/>
      <c r="AH73" s="132"/>
      <c r="AI73" s="132"/>
      <c r="AJ73" s="132"/>
      <c r="AK73" s="132"/>
      <c r="AL73" s="132"/>
      <c r="AM73" s="55"/>
      <c r="AN73" s="55"/>
      <c r="AO73" s="48"/>
      <c r="AZ73" s="64">
        <v>0.83333333333333304</v>
      </c>
      <c r="BA73" s="63">
        <f t="shared" si="15"/>
        <v>0</v>
      </c>
    </row>
    <row r="74" spans="3:53" s="18" customFormat="1" ht="39.75" customHeight="1" x14ac:dyDescent="0.25">
      <c r="C74" s="17" t="s">
        <v>111</v>
      </c>
      <c r="D74" s="1"/>
      <c r="E74" s="2">
        <v>42255.520833333336</v>
      </c>
      <c r="F74" s="34">
        <f t="shared" si="72"/>
        <v>42255.690972222212</v>
      </c>
      <c r="G74" s="1"/>
      <c r="H74" s="13">
        <f t="shared" si="23"/>
        <v>0.17013888887595385</v>
      </c>
      <c r="I74" s="13">
        <f t="shared" ref="I74:I75" si="80">IF(G74="x",$AA$2,0)</f>
        <v>0</v>
      </c>
      <c r="J74" s="10">
        <f t="shared" si="5"/>
        <v>-0.40277777777535251</v>
      </c>
      <c r="K74" s="13">
        <f t="shared" ref="K74:K75" si="81">IF(H74&lt;0,M74,M74-H74)</f>
        <v>0</v>
      </c>
      <c r="L74" s="13">
        <f t="shared" ref="L74:L75" si="82">IF(D74="x",((F74-(U73+$V$3))),($S$5))</f>
        <v>0</v>
      </c>
      <c r="M74" s="13">
        <f t="shared" si="6"/>
        <v>0.17013888887595385</v>
      </c>
      <c r="N74" s="7">
        <f t="shared" si="7"/>
        <v>1.0416666678793263E-2</v>
      </c>
      <c r="O74" s="8">
        <f t="shared" si="8"/>
        <v>0.34375000001212658</v>
      </c>
      <c r="P74" s="12">
        <f t="shared" si="14"/>
        <v>0.38541666667879326</v>
      </c>
      <c r="Q74" s="118"/>
      <c r="R74" s="119"/>
      <c r="S74" s="30" t="s">
        <v>151</v>
      </c>
      <c r="T74" s="34">
        <f t="shared" si="28"/>
        <v>42256.003472222212</v>
      </c>
      <c r="U74" s="33">
        <f t="shared" si="71"/>
        <v>42256.128472222212</v>
      </c>
      <c r="V74" s="33">
        <f>U74+$V$3+$V$4-TIME(2,30,0)</f>
        <v>42256.631944444438</v>
      </c>
      <c r="W74" s="38">
        <f t="shared" si="16"/>
        <v>0.125</v>
      </c>
      <c r="X74" s="15">
        <f t="shared" si="9"/>
        <v>0.125</v>
      </c>
      <c r="Y74" s="35">
        <f t="shared" si="10"/>
        <v>0.50347222222626442</v>
      </c>
      <c r="Z74" s="9">
        <f t="shared" si="11"/>
        <v>-0.10416666666262442</v>
      </c>
      <c r="AA74" s="9">
        <f t="shared" si="12"/>
        <v>0.60763888888888884</v>
      </c>
      <c r="AB74" s="11">
        <f t="shared" si="13"/>
        <v>0.73263888888888884</v>
      </c>
      <c r="AC74" s="131"/>
      <c r="AE74" s="32" t="s">
        <v>263</v>
      </c>
      <c r="AF74" s="32" t="s">
        <v>196</v>
      </c>
      <c r="AG74" s="34">
        <f>(V74+$AG$5)-TIME(1,0,0)</f>
        <v>42256.756944444438</v>
      </c>
      <c r="AH74" s="34">
        <f>IF(AJ72&gt;AG74,AJ72,AG74+TIME(2,0,0))</f>
        <v>42256.840277777774</v>
      </c>
      <c r="AI74" s="34">
        <f>AH74+$AH$5</f>
        <v>42257.506944444438</v>
      </c>
      <c r="AJ74" s="34">
        <f>AI74+$AI$5</f>
        <v>42257.715277777774</v>
      </c>
      <c r="AK74" s="34">
        <f>IF(AM72&gt;AI74,AM72+$AJ$5,AI74+$AJ$5)</f>
        <v>42258.006944444438</v>
      </c>
      <c r="AL74" s="34">
        <f t="shared" ref="AL74" si="83">AK74+$AK$5</f>
        <v>42258.798611111102</v>
      </c>
      <c r="AM74" s="34">
        <f>AK74+$AN$5</f>
        <v>42258.715277777774</v>
      </c>
      <c r="AN74" s="55"/>
      <c r="AO74" s="71"/>
      <c r="AP74" s="21">
        <f>AH74-AG74-TIME(2,0,0)</f>
        <v>2.4253238306570779E-12</v>
      </c>
      <c r="AQ74" s="21">
        <f>AM72-AI74</f>
        <v>-0.18055555555474712</v>
      </c>
      <c r="AR74" s="20"/>
      <c r="AT74" s="40"/>
      <c r="AU74" s="41"/>
      <c r="AW74" s="63">
        <f>AL74-AL72</f>
        <v>1.3888888888905058</v>
      </c>
      <c r="AX74" s="63">
        <f>P73+P74</f>
        <v>1.2708333333430346</v>
      </c>
      <c r="AY74" s="105">
        <f>ABS(AX74-AW74)</f>
        <v>0.11805555554747116</v>
      </c>
      <c r="AZ74" s="64">
        <v>0.875</v>
      </c>
      <c r="BA74" s="63">
        <f t="shared" si="15"/>
        <v>1.2708333333430346</v>
      </c>
    </row>
    <row r="75" spans="3:53" s="18" customFormat="1" ht="39.75" customHeight="1" x14ac:dyDescent="0.25">
      <c r="C75" s="17" t="s">
        <v>112</v>
      </c>
      <c r="D75" s="1"/>
      <c r="E75" s="2">
        <v>42256.333333333336</v>
      </c>
      <c r="F75" s="34">
        <f t="shared" ref="F75" si="84">IF(D75="x",(U74+$V$3+$V$2),IF((U74+$V$3)&lt;(E75+$T$3),(E75+$T$3),(U74+$V$3)))</f>
        <v>42256.40625</v>
      </c>
      <c r="G75" s="1"/>
      <c r="H75" s="13">
        <f t="shared" si="23"/>
        <v>0</v>
      </c>
      <c r="I75" s="13">
        <f t="shared" si="80"/>
        <v>0</v>
      </c>
      <c r="J75" s="10">
        <f t="shared" ref="J75" si="85">IF(W74&lt;=X74,(M74-((P74-($T$4+$V$3))-W74)),(M74-((P74-($T$4+$V$3)-X74))))</f>
        <v>0.39236111108604943</v>
      </c>
      <c r="K75" s="13">
        <f t="shared" si="81"/>
        <v>0</v>
      </c>
      <c r="L75" s="13">
        <f t="shared" si="82"/>
        <v>0</v>
      </c>
      <c r="M75" s="13">
        <f t="shared" ref="M75" si="86">IF((F75-E75)&lt;=$T$3,0,(F75-E75))</f>
        <v>0</v>
      </c>
      <c r="N75" s="7">
        <f t="shared" ref="N75" si="87">P75-($T$2+$X$3)</f>
        <v>0.4375</v>
      </c>
      <c r="O75" s="8">
        <f t="shared" ref="O75" si="88">N75+$X$4</f>
        <v>0.77083333333333326</v>
      </c>
      <c r="P75" s="12">
        <f t="shared" si="14"/>
        <v>0.8125</v>
      </c>
      <c r="Q75" s="118"/>
      <c r="R75" s="119" t="s">
        <v>234</v>
      </c>
      <c r="S75" s="30" t="s">
        <v>152</v>
      </c>
      <c r="T75" s="34">
        <f t="shared" si="28"/>
        <v>42256.71875</v>
      </c>
      <c r="U75" s="33">
        <f t="shared" si="71"/>
        <v>42256.71875</v>
      </c>
      <c r="V75" s="33">
        <f>U75+$V$3+$V$4-TIME(7,15,0)</f>
        <v>42257.024305555555</v>
      </c>
      <c r="W75" s="38">
        <f t="shared" si="16"/>
        <v>0</v>
      </c>
      <c r="X75" s="15">
        <f t="shared" ref="X75:X76" si="89">$V$4-$T$4</f>
        <v>0.125</v>
      </c>
      <c r="Y75" s="35">
        <f t="shared" ref="Y75" si="90">V75-U75</f>
        <v>0.30555555555474712</v>
      </c>
      <c r="Z75" s="9">
        <f t="shared" ref="Z75" si="91">Y75-AA75</f>
        <v>-0.30208333333414172</v>
      </c>
      <c r="AA75" s="9">
        <f t="shared" ref="AA75:AA76" si="92">$V$3+$V$4</f>
        <v>0.60763888888888884</v>
      </c>
      <c r="AB75" s="11">
        <f t="shared" ref="AB75" si="93">W75+AA75</f>
        <v>0.60763888888888884</v>
      </c>
      <c r="AC75" s="131"/>
      <c r="AF75" s="54"/>
      <c r="AG75" s="55"/>
      <c r="AH75" s="55"/>
      <c r="AI75" s="55"/>
      <c r="AJ75" s="55"/>
      <c r="AK75" s="55"/>
      <c r="AL75" s="55"/>
      <c r="AM75" s="55"/>
      <c r="AN75" s="55"/>
      <c r="AO75" s="71"/>
      <c r="AP75" s="29"/>
      <c r="AQ75" s="29"/>
      <c r="AR75" s="25"/>
      <c r="AY75"/>
      <c r="AZ75"/>
      <c r="BA75"/>
    </row>
    <row r="76" spans="3:53" s="18" customFormat="1" ht="49.5" customHeight="1" x14ac:dyDescent="0.25">
      <c r="C76" s="17" t="s">
        <v>290</v>
      </c>
      <c r="D76" s="1"/>
      <c r="E76" s="2">
        <v>42256.4375</v>
      </c>
      <c r="F76" s="34">
        <f>IF(D76="x",(U75+$V$3+$V$2),IF((U75+$V$3)&lt;(E76+$T$3),(E76+$T$3),(U75+$V$3)))</f>
        <v>42256.888888888891</v>
      </c>
      <c r="G76" s="1"/>
      <c r="H76" s="13">
        <f t="shared" ref="H76" si="94">IF(D76="x",((F76-E76)-$V$2),IF((F76-E76)&lt;=$T$3,0,(F76-E76)))</f>
        <v>0.45138888889050577</v>
      </c>
      <c r="I76" s="13">
        <f t="shared" ref="I76" si="95">IF(G76="x",$AA$2,0)</f>
        <v>0</v>
      </c>
      <c r="J76" s="10">
        <f t="shared" ref="J76" si="96">IF(W75&lt;=X75,(M75-((P75-($T$4+$V$3))-W75)),(M75-((P75-($T$4+$V$3)-X75))))</f>
        <v>-0.32986111111111116</v>
      </c>
      <c r="K76" s="13">
        <f t="shared" ref="K76" si="97">IF(H76&lt;0,M76,M76-H76)</f>
        <v>0</v>
      </c>
      <c r="L76" s="13">
        <f t="shared" ref="L76" si="98">IF(D76="x",((F76-(U75+$V$3))),($S$5))</f>
        <v>0</v>
      </c>
      <c r="M76" s="13">
        <f t="shared" ref="M76" si="99">IF((F76-E76)&lt;=$T$3,0,(F76-E76))</f>
        <v>0.45138888889050577</v>
      </c>
      <c r="N76" s="7">
        <f t="shared" ref="N76" si="100">P76-($T$2+$X$3)</f>
        <v>-0.27083333333575865</v>
      </c>
      <c r="O76" s="8">
        <f t="shared" ref="O76" si="101">N76+$X$4</f>
        <v>6.2499999997574662E-2</v>
      </c>
      <c r="P76" s="12">
        <f t="shared" ref="P76" si="102">E76-E75</f>
        <v>0.10416666666424135</v>
      </c>
      <c r="Q76" s="118"/>
      <c r="S76" s="158" t="s">
        <v>291</v>
      </c>
      <c r="T76" s="34">
        <v>42257.190972222219</v>
      </c>
      <c r="U76" s="33">
        <f>IF((U75+Y75)&lt;T76,T76,(U75+Y75))</f>
        <v>42257.190972222219</v>
      </c>
      <c r="V76" s="33">
        <f>U76+$V$3+$V$4-TIME(2,30,0)</f>
        <v>42257.694444444445</v>
      </c>
      <c r="W76" s="38">
        <f t="shared" ref="W76" si="103">U76-T76</f>
        <v>0</v>
      </c>
      <c r="X76" s="15">
        <f t="shared" si="89"/>
        <v>0.125</v>
      </c>
      <c r="Y76" s="35">
        <f t="shared" ref="Y76" si="104">V76-U76</f>
        <v>0.50347222222626442</v>
      </c>
      <c r="Z76" s="9">
        <f t="shared" ref="Z76" si="105">Y76-AA76</f>
        <v>-0.10416666666262442</v>
      </c>
      <c r="AA76" s="9">
        <f t="shared" si="92"/>
        <v>0.60763888888888884</v>
      </c>
      <c r="AB76" s="11">
        <f t="shared" ref="AB76" si="106">W76+AA76</f>
        <v>0.60763888888888884</v>
      </c>
      <c r="AC76" s="131"/>
      <c r="AE76" s="32" t="s">
        <v>262</v>
      </c>
      <c r="AF76" s="32" t="s">
        <v>289</v>
      </c>
      <c r="AG76" s="34">
        <f>(V76+$AG$5)-TIME(1,0,0)</f>
        <v>42257.819444444445</v>
      </c>
      <c r="AH76" s="34">
        <f>IF(AJ74&gt;AG76,AJ74,AG76+TIME(2,0,0))</f>
        <v>42257.902777777781</v>
      </c>
      <c r="AI76" s="34">
        <f>AH76+$AH$5</f>
        <v>42258.569444444445</v>
      </c>
      <c r="AJ76" s="34">
        <f>AI76+$AI$5</f>
        <v>42258.777777777781</v>
      </c>
      <c r="AK76" s="34">
        <f>IF(AM74&gt;AI76,AM74+$AJ$5,AI76+$AJ$5)</f>
        <v>42259.215277777774</v>
      </c>
      <c r="AL76" s="34">
        <f>AK76+$AK$5</f>
        <v>42260.006944444438</v>
      </c>
      <c r="AM76" s="34">
        <f>AK76+$AN$5</f>
        <v>42259.923611111109</v>
      </c>
      <c r="AN76" s="55"/>
      <c r="AO76" s="71"/>
      <c r="AP76" s="21">
        <f>AH76-AG76-TIME(2,0,0)</f>
        <v>2.4253238306570779E-12</v>
      </c>
      <c r="AQ76" s="21">
        <f>AM74-AI76</f>
        <v>0.14583333332848269</v>
      </c>
      <c r="AR76" s="20"/>
      <c r="AT76" s="40"/>
      <c r="AU76" s="41"/>
      <c r="AW76" s="63">
        <f>AL76-AL74</f>
        <v>1.2083333333357587</v>
      </c>
      <c r="AX76" s="63">
        <f>P75+P76</f>
        <v>0.91666666666424135</v>
      </c>
      <c r="AY76" s="105">
        <f>ABS(AX76-AW76)</f>
        <v>0.29166666667151731</v>
      </c>
      <c r="AZ76" s="64">
        <v>0.875</v>
      </c>
      <c r="BA76" s="63">
        <f t="shared" ref="BA76" si="107">AX76</f>
        <v>0.91666666666424135</v>
      </c>
    </row>
    <row r="77" spans="3:53" s="18" customFormat="1" x14ac:dyDescent="0.25"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AC77" s="121"/>
      <c r="AF77" s="54"/>
      <c r="AG77" s="55"/>
      <c r="AH77" s="55"/>
      <c r="AI77" s="55"/>
      <c r="AJ77" s="55"/>
      <c r="AK77" s="55"/>
      <c r="AL77" s="55"/>
      <c r="AM77" s="55"/>
      <c r="AN77" s="55"/>
      <c r="AO77" s="71"/>
      <c r="AP77" s="29"/>
      <c r="AQ77" s="29"/>
      <c r="AR77" s="56"/>
      <c r="AY77"/>
      <c r="AZ77"/>
      <c r="BA77"/>
    </row>
    <row r="78" spans="3:53" s="18" customFormat="1" x14ac:dyDescent="0.25"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AC78" s="121"/>
      <c r="AF78" s="54"/>
      <c r="AG78" s="55"/>
      <c r="AH78" s="55"/>
      <c r="AI78" s="55"/>
      <c r="AJ78" s="55"/>
      <c r="AK78" s="55"/>
      <c r="AL78" s="55"/>
      <c r="AM78" s="55"/>
      <c r="AN78" s="55"/>
      <c r="AO78" s="71"/>
      <c r="AP78" s="29"/>
      <c r="AQ78" s="29"/>
      <c r="AR78" s="56"/>
      <c r="AT78"/>
      <c r="AU78"/>
      <c r="AW78"/>
      <c r="AX78"/>
      <c r="AY78"/>
      <c r="AZ78"/>
      <c r="BA78"/>
    </row>
    <row r="79" spans="3:53" s="18" customFormat="1" x14ac:dyDescent="0.25"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AC79" s="121"/>
      <c r="AF79" s="54"/>
      <c r="AG79" s="55"/>
      <c r="AH79" s="55"/>
      <c r="AI79" s="55"/>
      <c r="AJ79" s="55"/>
      <c r="AK79" s="55"/>
      <c r="AL79" s="55"/>
      <c r="AM79" s="55"/>
      <c r="AN79" s="55"/>
      <c r="AO79" s="71"/>
      <c r="AP79" s="29"/>
      <c r="AQ79" s="29"/>
      <c r="AR79" s="56"/>
      <c r="AS79"/>
      <c r="AT79"/>
      <c r="AU79"/>
      <c r="AV79"/>
      <c r="AW79"/>
      <c r="AX79"/>
      <c r="AY79"/>
      <c r="AZ79"/>
      <c r="BA79"/>
    </row>
    <row r="80" spans="3:53" s="18" customFormat="1" x14ac:dyDescent="0.25"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AC80" s="121"/>
      <c r="AF80" s="54"/>
      <c r="AG80" s="55"/>
      <c r="AH80" s="55"/>
      <c r="AI80" s="55"/>
      <c r="AJ80" s="55"/>
      <c r="AK80" s="55"/>
      <c r="AL80" s="55"/>
      <c r="AM80" s="55"/>
      <c r="AN80" s="55"/>
      <c r="AO80" s="71"/>
      <c r="AP80" s="29"/>
      <c r="AQ80" s="29"/>
      <c r="AR80" s="56"/>
      <c r="AS80"/>
      <c r="AT80"/>
      <c r="AU80"/>
      <c r="AV80"/>
      <c r="AW80"/>
      <c r="AX80"/>
      <c r="AY80"/>
      <c r="AZ80"/>
      <c r="BA80"/>
    </row>
    <row r="81" spans="4:53" s="18" customFormat="1" x14ac:dyDescent="0.25"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AC81" s="121"/>
      <c r="AF81" s="54"/>
      <c r="AG81" s="55"/>
      <c r="AH81" s="55"/>
      <c r="AI81" s="55"/>
      <c r="AJ81" s="55"/>
      <c r="AK81" s="55"/>
      <c r="AL81" s="55"/>
      <c r="AM81" s="55"/>
      <c r="AN81" s="55"/>
      <c r="AO81" s="71"/>
      <c r="AP81" s="29"/>
      <c r="AQ81" s="29"/>
      <c r="AR81" s="56"/>
      <c r="AS81"/>
      <c r="AT81"/>
      <c r="AU81"/>
      <c r="AV81"/>
      <c r="AW81"/>
      <c r="AX81"/>
      <c r="AY81"/>
      <c r="AZ81"/>
      <c r="BA81"/>
    </row>
    <row r="82" spans="4:53" s="18" customFormat="1" x14ac:dyDescent="0.25"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AC82" s="121"/>
      <c r="AF82" s="54"/>
      <c r="AG82" s="55"/>
      <c r="AH82" s="55"/>
      <c r="AI82" s="55"/>
      <c r="AJ82" s="55"/>
      <c r="AK82" s="55"/>
      <c r="AL82" s="55"/>
      <c r="AM82" s="55"/>
      <c r="AN82" s="55"/>
      <c r="AO82" s="71"/>
      <c r="AP82" s="29"/>
      <c r="AQ82" s="29"/>
      <c r="AR82" s="56"/>
      <c r="AS82"/>
      <c r="AT82"/>
      <c r="AU82"/>
      <c r="AV82"/>
      <c r="AW82"/>
      <c r="AX82"/>
      <c r="AY82"/>
      <c r="AZ82"/>
      <c r="BA82"/>
    </row>
    <row r="83" spans="4:53" s="18" customFormat="1" x14ac:dyDescent="0.25"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AC83" s="121"/>
      <c r="AF83"/>
      <c r="AG83" s="49"/>
      <c r="AH83" s="49"/>
      <c r="AI83" s="49"/>
      <c r="AJ83" s="49"/>
      <c r="AK83" s="49"/>
      <c r="AL83" s="49"/>
      <c r="AM83" s="49"/>
      <c r="AN83" s="49"/>
      <c r="AO83" s="49"/>
      <c r="AP83"/>
      <c r="AQ83"/>
      <c r="AR83"/>
      <c r="AS83"/>
      <c r="AT83"/>
      <c r="AU83"/>
      <c r="AV83"/>
      <c r="AW83"/>
      <c r="AX83"/>
      <c r="AY83"/>
      <c r="AZ83"/>
      <c r="BA83"/>
    </row>
    <row r="84" spans="4:53" s="18" customFormat="1" x14ac:dyDescent="0.25"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AC84" s="121"/>
      <c r="AF84"/>
      <c r="AG84" s="49"/>
      <c r="AH84" s="49"/>
      <c r="AI84" s="49"/>
      <c r="AJ84" s="49"/>
      <c r="AK84" s="49"/>
      <c r="AL84" s="49"/>
      <c r="AM84" s="49"/>
      <c r="AN84" s="49"/>
      <c r="AO84" s="49"/>
      <c r="AP84"/>
      <c r="AQ84"/>
      <c r="AR84"/>
      <c r="AS84"/>
      <c r="AT84"/>
      <c r="AU84"/>
      <c r="AV84"/>
      <c r="AW84"/>
      <c r="AX84"/>
      <c r="AY84"/>
      <c r="AZ84"/>
      <c r="BA84"/>
    </row>
    <row r="85" spans="4:53" s="18" customFormat="1" x14ac:dyDescent="0.25"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AC85" s="121"/>
      <c r="AF85"/>
      <c r="AG85" s="49"/>
      <c r="AH85" s="49"/>
      <c r="AI85" s="49"/>
      <c r="AJ85" s="49"/>
      <c r="AK85" s="49"/>
      <c r="AL85" s="49"/>
      <c r="AM85" s="49"/>
      <c r="AN85" s="49"/>
      <c r="AO85" s="49"/>
      <c r="AP85"/>
      <c r="AQ85"/>
      <c r="AR85"/>
      <c r="AS85"/>
      <c r="AT85"/>
      <c r="AU85"/>
      <c r="AV85"/>
      <c r="AW85"/>
      <c r="AX85"/>
      <c r="AY85"/>
      <c r="AZ85"/>
      <c r="BA85"/>
    </row>
    <row r="86" spans="4:53" x14ac:dyDescent="0.25">
      <c r="AG86" s="49"/>
      <c r="AH86" s="49"/>
      <c r="AI86" s="49"/>
      <c r="AJ86" s="49"/>
      <c r="AK86" s="49"/>
      <c r="AL86" s="49"/>
      <c r="AM86" s="49"/>
      <c r="AN86" s="49"/>
      <c r="AO86" s="49"/>
    </row>
    <row r="87" spans="4:53" x14ac:dyDescent="0.25">
      <c r="AG87" s="49"/>
      <c r="AH87" s="49"/>
      <c r="AI87" s="49"/>
      <c r="AJ87" s="49"/>
      <c r="AK87" s="49"/>
      <c r="AL87" s="49"/>
      <c r="AM87" s="49"/>
      <c r="AN87" s="49"/>
      <c r="AO87" s="49"/>
    </row>
    <row r="88" spans="4:53" x14ac:dyDescent="0.25">
      <c r="AG88" s="49"/>
      <c r="AH88" s="49"/>
      <c r="AI88" s="49"/>
      <c r="AJ88" s="49"/>
      <c r="AK88" s="49"/>
      <c r="AL88" s="49"/>
      <c r="AM88" s="49"/>
      <c r="AN88" s="49"/>
      <c r="AO88" s="49"/>
    </row>
    <row r="89" spans="4:53" x14ac:dyDescent="0.25">
      <c r="AG89" s="49"/>
      <c r="AH89" s="49"/>
      <c r="AI89" s="49"/>
      <c r="AJ89" s="49"/>
      <c r="AK89" s="49"/>
      <c r="AL89" s="49"/>
      <c r="AM89" s="49"/>
      <c r="AN89" s="49"/>
      <c r="AO89" s="49"/>
    </row>
    <row r="90" spans="4:53" x14ac:dyDescent="0.25">
      <c r="AG90" s="49"/>
      <c r="AH90" s="49"/>
      <c r="AI90" s="49"/>
      <c r="AJ90" s="49"/>
      <c r="AK90" s="49"/>
      <c r="AL90" s="49"/>
      <c r="AM90" s="49"/>
      <c r="AN90" s="49"/>
      <c r="AO90" s="49"/>
    </row>
    <row r="91" spans="4:53" x14ac:dyDescent="0.25">
      <c r="AG91" s="49"/>
      <c r="AH91" s="49"/>
      <c r="AI91" s="49"/>
      <c r="AJ91" s="49"/>
      <c r="AK91" s="49"/>
      <c r="AL91" s="49"/>
      <c r="AM91" s="49"/>
      <c r="AN91" s="49"/>
      <c r="AO91" s="49"/>
    </row>
    <row r="116" spans="30:30" x14ac:dyDescent="0.25">
      <c r="AD116" s="18" t="s">
        <v>294</v>
      </c>
    </row>
  </sheetData>
  <mergeCells count="10">
    <mergeCell ref="AW8:AY8"/>
    <mergeCell ref="B9:B19"/>
    <mergeCell ref="R2:R4"/>
    <mergeCell ref="D5:P6"/>
    <mergeCell ref="A8:C8"/>
    <mergeCell ref="E8:F8"/>
    <mergeCell ref="H8:P8"/>
    <mergeCell ref="T8:V8"/>
    <mergeCell ref="W8:AA8"/>
    <mergeCell ref="AG8:AM8"/>
  </mergeCells>
  <conditionalFormatting sqref="H10:H75">
    <cfRule type="cellIs" dxfId="70" priority="287" operator="greaterThan">
      <formula>0.0416666666666667</formula>
    </cfRule>
  </conditionalFormatting>
  <conditionalFormatting sqref="Z10:Z75">
    <cfRule type="cellIs" dxfId="69" priority="285" operator="greaterThanOrEqual">
      <formula>0.0416666666666667</formula>
    </cfRule>
    <cfRule type="cellIs" dxfId="68" priority="286" operator="between">
      <formula>0.0104166666666667</formula>
      <formula>0.0409722222222222</formula>
    </cfRule>
  </conditionalFormatting>
  <conditionalFormatting sqref="Y10:Y75">
    <cfRule type="cellIs" dxfId="67" priority="284" operator="greaterThanOrEqual">
      <formula>0.65625</formula>
    </cfRule>
  </conditionalFormatting>
  <conditionalFormatting sqref="W10:W75">
    <cfRule type="cellIs" dxfId="66" priority="283" operator="greaterThan">
      <formula>$X$24</formula>
    </cfRule>
  </conditionalFormatting>
  <conditionalFormatting sqref="E15:F75 AE47:AE48 T15:V75 AF75:AN75 AF6:AN70 AN71:AN74 AF72:AM74 AE71 AF77:AN1048576">
    <cfRule type="timePeriod" dxfId="65" priority="282" timePeriod="today">
      <formula>FLOOR(E6,1)=TODAY()</formula>
    </cfRule>
  </conditionalFormatting>
  <conditionalFormatting sqref="L10:L75">
    <cfRule type="cellIs" dxfId="64" priority="281" operator="greaterThan">
      <formula>$V$2</formula>
    </cfRule>
  </conditionalFormatting>
  <conditionalFormatting sqref="L10:L75">
    <cfRule type="cellIs" dxfId="63" priority="280" operator="lessThanOrEqual">
      <formula>$V$2</formula>
    </cfRule>
  </conditionalFormatting>
  <conditionalFormatting sqref="R10:R11 R13 R15 R17 R19 R21:R75">
    <cfRule type="cellIs" dxfId="62" priority="279" operator="equal">
      <formula>"x"</formula>
    </cfRule>
  </conditionalFormatting>
  <conditionalFormatting sqref="Q10 Q15:Q29 Q32:Q50 Q52:Q75">
    <cfRule type="expression" dxfId="61" priority="278">
      <formula>OR(L10&gt;0.333,AND(H10&gt;0,H10&gt;J10+0.021))</formula>
    </cfRule>
  </conditionalFormatting>
  <conditionalFormatting sqref="AT10:AU10 AQ10:AQ64 AQ74:AQ75 AQ66:AQ70 AQ72 AQ77:AQ82">
    <cfRule type="cellIs" dxfId="60" priority="254" operator="lessThan">
      <formula>0</formula>
    </cfRule>
  </conditionalFormatting>
  <conditionalFormatting sqref="AQ8">
    <cfRule type="cellIs" dxfId="59" priority="77" operator="lessThan">
      <formula>0</formula>
    </cfRule>
  </conditionalFormatting>
  <conditionalFormatting sqref="AQ9">
    <cfRule type="cellIs" dxfId="58" priority="76" operator="lessThan">
      <formula>0</formula>
    </cfRule>
  </conditionalFormatting>
  <conditionalFormatting sqref="AQ4:AQ7">
    <cfRule type="cellIs" dxfId="57" priority="73" operator="lessThan">
      <formula>0</formula>
    </cfRule>
  </conditionalFormatting>
  <conditionalFormatting sqref="AT9:AU9">
    <cfRule type="cellIs" dxfId="56" priority="69" operator="lessThan">
      <formula>0</formula>
    </cfRule>
  </conditionalFormatting>
  <conditionalFormatting sqref="AF1:AN3 AF4:AM5">
    <cfRule type="timePeriod" dxfId="55" priority="63" timePeriod="today">
      <formula>FLOOR(AF1,1)=TODAY()</formula>
    </cfRule>
  </conditionalFormatting>
  <conditionalFormatting sqref="AR5">
    <cfRule type="cellIs" dxfId="54" priority="74" operator="greaterThanOrEqual">
      <formula>$AP$5</formula>
    </cfRule>
    <cfRule type="cellIs" dxfId="53" priority="75" operator="lessThan">
      <formula>$AP$5</formula>
    </cfRule>
  </conditionalFormatting>
  <conditionalFormatting sqref="AY74 AY11:AY70 AY72">
    <cfRule type="cellIs" dxfId="52" priority="71" operator="greaterThan">
      <formula>0</formula>
    </cfRule>
  </conditionalFormatting>
  <conditionalFormatting sqref="AY74 AY72 AY11:AY70">
    <cfRule type="expression" dxfId="51" priority="70" stopIfTrue="1">
      <formula>AW11&gt;AX11</formula>
    </cfRule>
  </conditionalFormatting>
  <conditionalFormatting sqref="AT74 AT11:AT70 AT72">
    <cfRule type="cellIs" dxfId="50" priority="68" operator="greaterThan">
      <formula>0.208333333333333</formula>
    </cfRule>
  </conditionalFormatting>
  <conditionalFormatting sqref="E10:F14">
    <cfRule type="timePeriod" dxfId="49" priority="66" timePeriod="today">
      <formula>FLOOR(E10,1)=TODAY()</formula>
    </cfRule>
  </conditionalFormatting>
  <conditionalFormatting sqref="Q11:Q14">
    <cfRule type="expression" dxfId="48" priority="65">
      <formula>OR(L11&gt;0.333,AND(H11&gt;0,H11&gt;J11+0.021))</formula>
    </cfRule>
  </conditionalFormatting>
  <conditionalFormatting sqref="T10:V14">
    <cfRule type="timePeriod" dxfId="47" priority="64" timePeriod="today">
      <formula>FLOOR(T10,1)=TODAY()</formula>
    </cfRule>
  </conditionalFormatting>
  <conditionalFormatting sqref="AG12:AH12">
    <cfRule type="timePeriod" dxfId="46" priority="72" timePeriod="today">
      <formula>FLOOR(AG12,1)=TODAY()</formula>
    </cfRule>
  </conditionalFormatting>
  <conditionalFormatting sqref="Q30">
    <cfRule type="expression" dxfId="45" priority="289">
      <formula>OR(L31&gt;0.333,AND(H31&gt;0,H31&gt;J31+0.021))</formula>
    </cfRule>
  </conditionalFormatting>
  <conditionalFormatting sqref="AE30:AE31">
    <cfRule type="timePeriod" dxfId="44" priority="62" timePeriod="today">
      <formula>FLOOR(AE30,1)=TODAY()</formula>
    </cfRule>
  </conditionalFormatting>
  <conditionalFormatting sqref="AE32">
    <cfRule type="timePeriod" dxfId="43" priority="61" timePeriod="today">
      <formula>FLOOR(AE32,1)=TODAY()</formula>
    </cfRule>
  </conditionalFormatting>
  <conditionalFormatting sqref="AE34">
    <cfRule type="timePeriod" dxfId="42" priority="60" timePeriod="today">
      <formula>FLOOR(AE34,1)=TODAY()</formula>
    </cfRule>
  </conditionalFormatting>
  <conditionalFormatting sqref="AE33">
    <cfRule type="timePeriod" dxfId="41" priority="59" timePeriod="today">
      <formula>FLOOR(AE33,1)=TODAY()</formula>
    </cfRule>
  </conditionalFormatting>
  <conditionalFormatting sqref="AE35">
    <cfRule type="timePeriod" dxfId="40" priority="58" timePeriod="today">
      <formula>FLOOR(AE35,1)=TODAY()</formula>
    </cfRule>
  </conditionalFormatting>
  <conditionalFormatting sqref="AE36">
    <cfRule type="timePeriod" dxfId="39" priority="57" timePeriod="today">
      <formula>FLOOR(AE36,1)=TODAY()</formula>
    </cfRule>
  </conditionalFormatting>
  <conditionalFormatting sqref="AE38">
    <cfRule type="timePeriod" dxfId="38" priority="56" timePeriod="today">
      <formula>FLOOR(AE38,1)=TODAY()</formula>
    </cfRule>
  </conditionalFormatting>
  <conditionalFormatting sqref="AE37">
    <cfRule type="timePeriod" dxfId="37" priority="55" timePeriod="today">
      <formula>FLOOR(AE37,1)=TODAY()</formula>
    </cfRule>
  </conditionalFormatting>
  <conditionalFormatting sqref="AE39">
    <cfRule type="timePeriod" dxfId="36" priority="54" timePeriod="today">
      <formula>FLOOR(AE39,1)=TODAY()</formula>
    </cfRule>
  </conditionalFormatting>
  <conditionalFormatting sqref="AE40">
    <cfRule type="timePeriod" dxfId="35" priority="53" timePeriod="today">
      <formula>FLOOR(AE40,1)=TODAY()</formula>
    </cfRule>
  </conditionalFormatting>
  <conditionalFormatting sqref="AE42">
    <cfRule type="timePeriod" dxfId="34" priority="52" timePeriod="today">
      <formula>FLOOR(AE42,1)=TODAY()</formula>
    </cfRule>
  </conditionalFormatting>
  <conditionalFormatting sqref="AE41">
    <cfRule type="timePeriod" dxfId="33" priority="51" timePeriod="today">
      <formula>FLOOR(AE41,1)=TODAY()</formula>
    </cfRule>
  </conditionalFormatting>
  <conditionalFormatting sqref="AE43">
    <cfRule type="timePeriod" dxfId="32" priority="50" timePeriod="today">
      <formula>FLOOR(AE43,1)=TODAY()</formula>
    </cfRule>
  </conditionalFormatting>
  <conditionalFormatting sqref="AE44">
    <cfRule type="timePeriod" dxfId="31" priority="49" timePeriod="today">
      <formula>FLOOR(AE44,1)=TODAY()</formula>
    </cfRule>
  </conditionalFormatting>
  <conditionalFormatting sqref="AE46">
    <cfRule type="timePeriod" dxfId="30" priority="48" timePeriod="today">
      <formula>FLOOR(AE46,1)=TODAY()</formula>
    </cfRule>
  </conditionalFormatting>
  <conditionalFormatting sqref="AE45">
    <cfRule type="timePeriod" dxfId="29" priority="47" timePeriod="today">
      <formula>FLOOR(AE45,1)=TODAY()</formula>
    </cfRule>
  </conditionalFormatting>
  <conditionalFormatting sqref="AE49:AE50">
    <cfRule type="timePeriod" dxfId="28" priority="45" timePeriod="today">
      <formula>FLOOR(AE49,1)=TODAY()</formula>
    </cfRule>
  </conditionalFormatting>
  <conditionalFormatting sqref="AE51:AE52">
    <cfRule type="timePeriod" dxfId="27" priority="44" timePeriod="today">
      <formula>FLOOR(AE51,1)=TODAY()</formula>
    </cfRule>
  </conditionalFormatting>
  <conditionalFormatting sqref="AE53:AE54">
    <cfRule type="timePeriod" dxfId="26" priority="43" timePeriod="today">
      <formula>FLOOR(AE53,1)=TODAY()</formula>
    </cfRule>
  </conditionalFormatting>
  <conditionalFormatting sqref="AE55:AE56">
    <cfRule type="timePeriod" dxfId="25" priority="42" timePeriod="today">
      <formula>FLOOR(AE55,1)=TODAY()</formula>
    </cfRule>
  </conditionalFormatting>
  <conditionalFormatting sqref="AE57:AE58">
    <cfRule type="timePeriod" dxfId="24" priority="41" timePeriod="today">
      <formula>FLOOR(AE57,1)=TODAY()</formula>
    </cfRule>
  </conditionalFormatting>
  <conditionalFormatting sqref="AE59:AE60">
    <cfRule type="timePeriod" dxfId="23" priority="40" timePeriod="today">
      <formula>FLOOR(AE59,1)=TODAY()</formula>
    </cfRule>
  </conditionalFormatting>
  <conditionalFormatting sqref="AE61:AE62">
    <cfRule type="timePeriod" dxfId="22" priority="39" timePeriod="today">
      <formula>FLOOR(AE61,1)=TODAY()</formula>
    </cfRule>
  </conditionalFormatting>
  <conditionalFormatting sqref="AE63:AE64">
    <cfRule type="timePeriod" dxfId="21" priority="38" timePeriod="today">
      <formula>FLOOR(AE63,1)=TODAY()</formula>
    </cfRule>
  </conditionalFormatting>
  <conditionalFormatting sqref="AE65:AE66">
    <cfRule type="timePeriod" dxfId="20" priority="37" timePeriod="today">
      <formula>FLOOR(AE65,1)=TODAY()</formula>
    </cfRule>
  </conditionalFormatting>
  <conditionalFormatting sqref="AE67:AE68">
    <cfRule type="timePeriod" dxfId="19" priority="36" timePeriod="today">
      <formula>FLOOR(AE67,1)=TODAY()</formula>
    </cfRule>
  </conditionalFormatting>
  <conditionalFormatting sqref="AE69:AE70">
    <cfRule type="timePeriod" dxfId="18" priority="35" timePeriod="today">
      <formula>FLOOR(AE69,1)=TODAY()</formula>
    </cfRule>
  </conditionalFormatting>
  <conditionalFormatting sqref="AE72:AE73">
    <cfRule type="timePeriod" dxfId="17" priority="33" timePeriod="today">
      <formula>FLOOR(AE72,1)=TODAY()</formula>
    </cfRule>
  </conditionalFormatting>
  <conditionalFormatting sqref="AE74">
    <cfRule type="timePeriod" dxfId="16" priority="32" timePeriod="today">
      <formula>FLOOR(AE74,1)=TODAY()</formula>
    </cfRule>
  </conditionalFormatting>
  <conditionalFormatting sqref="Q51">
    <cfRule type="expression" dxfId="15" priority="17">
      <formula>OR(L51&gt;0.333,AND(H51&gt;0,H51&gt;J51+0.021))</formula>
    </cfRule>
  </conditionalFormatting>
  <conditionalFormatting sqref="AF76:AN76">
    <cfRule type="timePeriod" dxfId="14" priority="16" timePeriod="today">
      <formula>FLOOR(AF76,1)=TODAY()</formula>
    </cfRule>
  </conditionalFormatting>
  <conditionalFormatting sqref="AQ76">
    <cfRule type="cellIs" dxfId="13" priority="15" operator="lessThan">
      <formula>0</formula>
    </cfRule>
  </conditionalFormatting>
  <conditionalFormatting sqref="AY76">
    <cfRule type="cellIs" dxfId="12" priority="14" operator="greaterThan">
      <formula>0</formula>
    </cfRule>
  </conditionalFormatting>
  <conditionalFormatting sqref="AY76">
    <cfRule type="expression" dxfId="11" priority="13" stopIfTrue="1">
      <formula>AW76&gt;AX76</formula>
    </cfRule>
  </conditionalFormatting>
  <conditionalFormatting sqref="AT76">
    <cfRule type="cellIs" dxfId="10" priority="12" operator="greaterThan">
      <formula>0.208333333333333</formula>
    </cfRule>
  </conditionalFormatting>
  <conditionalFormatting sqref="AE76">
    <cfRule type="timePeriod" dxfId="9" priority="11" timePeriod="today">
      <formula>FLOOR(AE76,1)=TODAY()</formula>
    </cfRule>
  </conditionalFormatting>
  <conditionalFormatting sqref="H76">
    <cfRule type="cellIs" dxfId="8" priority="10" operator="greaterThan">
      <formula>0.0416666666666667</formula>
    </cfRule>
  </conditionalFormatting>
  <conditionalFormatting sqref="Z76">
    <cfRule type="cellIs" dxfId="7" priority="8" operator="greaterThanOrEqual">
      <formula>0.0416666666666667</formula>
    </cfRule>
    <cfRule type="cellIs" dxfId="6" priority="9" operator="between">
      <formula>0.0104166666666667</formula>
      <formula>0.0409722222222222</formula>
    </cfRule>
  </conditionalFormatting>
  <conditionalFormatting sqref="Y76">
    <cfRule type="cellIs" dxfId="5" priority="7" operator="greaterThanOrEqual">
      <formula>0.65625</formula>
    </cfRule>
  </conditionalFormatting>
  <conditionalFormatting sqref="W76">
    <cfRule type="cellIs" dxfId="4" priority="6" operator="greaterThan">
      <formula>$X$24</formula>
    </cfRule>
  </conditionalFormatting>
  <conditionalFormatting sqref="E76:F76 T76:V76">
    <cfRule type="timePeriod" dxfId="3" priority="5" timePeriod="today">
      <formula>FLOOR(E76,1)=TODAY()</formula>
    </cfRule>
  </conditionalFormatting>
  <conditionalFormatting sqref="L76">
    <cfRule type="cellIs" dxfId="2" priority="4" operator="greaterThan">
      <formula>$V$2</formula>
    </cfRule>
  </conditionalFormatting>
  <conditionalFormatting sqref="L76">
    <cfRule type="cellIs" dxfId="1" priority="3" operator="lessThanOrEqual">
      <formula>$V$2</formula>
    </cfRule>
  </conditionalFormatting>
  <conditionalFormatting sqref="Q76">
    <cfRule type="expression" dxfId="0" priority="1">
      <formula>OR(L76&gt;0.333,AND(H76&gt;0,H76&gt;J76+0.021))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84"/>
  <sheetViews>
    <sheetView tabSelected="1" topLeftCell="C100" zoomScale="115" zoomScaleNormal="115" workbookViewId="0">
      <selection activeCell="G22" sqref="G22"/>
    </sheetView>
  </sheetViews>
  <sheetFormatPr baseColWidth="10" defaultColWidth="11.42578125" defaultRowHeight="15" x14ac:dyDescent="0.25"/>
  <cols>
    <col min="1" max="2" width="11.42578125" style="18" customWidth="1"/>
    <col min="3" max="3" width="11.42578125" style="70"/>
    <col min="4" max="4" width="17.7109375" style="18" bestFit="1" customWidth="1"/>
    <col min="5" max="5" width="24.28515625" style="18" customWidth="1"/>
    <col min="6" max="6" width="25.5703125" style="18" customWidth="1"/>
    <col min="7" max="7" width="17.5703125" style="18" customWidth="1"/>
    <col min="8" max="8" width="19.42578125" style="18" customWidth="1"/>
    <col min="9" max="9" width="17.7109375" style="18" bestFit="1" customWidth="1"/>
    <col min="10" max="10" width="20.140625" style="18" bestFit="1" customWidth="1"/>
    <col min="11" max="11" width="17.7109375" style="18" bestFit="1" customWidth="1"/>
    <col min="12" max="12" width="19.5703125" style="18" customWidth="1"/>
    <col min="13" max="13" width="18.85546875" style="18" customWidth="1"/>
    <col min="14" max="14" width="43.5703125" style="18" bestFit="1" customWidth="1"/>
    <col min="15" max="16384" width="11.42578125" style="18"/>
  </cols>
  <sheetData>
    <row r="1" spans="1:14" ht="15.75" thickBot="1" x14ac:dyDescent="0.3">
      <c r="M1" s="71"/>
    </row>
    <row r="2" spans="1:14" ht="15.75" thickBot="1" x14ac:dyDescent="0.3">
      <c r="A2" s="151">
        <f ca="1">TODAY()</f>
        <v>42252</v>
      </c>
      <c r="D2" s="72" t="s">
        <v>208</v>
      </c>
      <c r="E2" s="183" t="s">
        <v>209</v>
      </c>
      <c r="F2" s="184"/>
      <c r="G2" s="185" t="s">
        <v>210</v>
      </c>
      <c r="H2" s="186"/>
      <c r="I2" s="187" t="s">
        <v>211</v>
      </c>
      <c r="J2" s="188"/>
      <c r="K2" s="189" t="s">
        <v>212</v>
      </c>
      <c r="L2" s="190"/>
      <c r="M2" s="71"/>
    </row>
    <row r="3" spans="1:14" ht="15.75" thickBot="1" x14ac:dyDescent="0.3">
      <c r="D3" s="73" t="s">
        <v>213</v>
      </c>
      <c r="E3" s="74" t="s">
        <v>214</v>
      </c>
      <c r="F3" s="75" t="s">
        <v>215</v>
      </c>
      <c r="G3" s="74" t="s">
        <v>214</v>
      </c>
      <c r="H3" s="75" t="s">
        <v>216</v>
      </c>
      <c r="I3" s="76" t="s">
        <v>214</v>
      </c>
      <c r="J3" s="77" t="s">
        <v>216</v>
      </c>
      <c r="K3" s="77" t="s">
        <v>213</v>
      </c>
      <c r="L3" s="75" t="s">
        <v>216</v>
      </c>
      <c r="M3" s="71"/>
      <c r="N3" s="102" t="s">
        <v>217</v>
      </c>
    </row>
    <row r="4" spans="1:14" s="70" customFormat="1" ht="16.5" thickBot="1" x14ac:dyDescent="0.35">
      <c r="D4" s="78">
        <f t="array" aca="1" ref="D4" ca="1">MIN(IF(D7:D89&gt;TODAY(),D7:D89))</f>
        <v>42252.395138888882</v>
      </c>
      <c r="E4" s="79">
        <f t="array" aca="1" ref="E4" ca="1">MIN(IF(E7:E89&gt;TODAY(),E7:E89))</f>
        <v>42252.228472222218</v>
      </c>
      <c r="F4" s="79">
        <f t="array" aca="1" ref="F4" ca="1">MIN(IF(F7:F89&gt;TODAY(),F7:F89))</f>
        <v>42252.020138888889</v>
      </c>
      <c r="G4" s="80">
        <f t="array" aca="1" ref="G4" ca="1">MIN(IF(G7:G89&gt;TODAY(),G7:G89))</f>
        <v>42252.898611111115</v>
      </c>
      <c r="H4" s="80">
        <f t="array" aca="1" ref="H4" ca="1">MIN(IF(H7:H89&gt;TODAY(),H7:H89))</f>
        <v>42252.622916666667</v>
      </c>
      <c r="I4" s="81">
        <f t="array" aca="1" ref="I4" ca="1">MIN(IF(I7:I89&gt;TODAY(),I7:I89))</f>
        <v>42252.280555555553</v>
      </c>
      <c r="J4" s="81">
        <f t="array" aca="1" ref="J4" ca="1">MIN(IF(J7:J89&gt;TODAY(),J7:J89))</f>
        <v>42252.613888888889</v>
      </c>
      <c r="K4" s="82">
        <f t="array" aca="1" ref="K4" ca="1">MIN(IF(K7:K89&gt;TODAY(),K7:K89))</f>
        <v>42253.259722222218</v>
      </c>
      <c r="L4" s="82">
        <f t="array" aca="1" ref="L4" ca="1">MIN(IF(L7:L89&gt;TODAY(),L7:L89))</f>
        <v>42252.520833333336</v>
      </c>
      <c r="M4" s="71"/>
      <c r="N4" s="94">
        <v>1</v>
      </c>
    </row>
    <row r="5" spans="1:14" x14ac:dyDescent="0.25">
      <c r="D5" s="83"/>
      <c r="E5" s="84"/>
      <c r="F5" s="85"/>
      <c r="G5" s="84"/>
      <c r="H5" s="85"/>
      <c r="I5" s="86"/>
      <c r="J5" s="87"/>
      <c r="K5" s="87"/>
      <c r="L5" s="85"/>
      <c r="M5" s="71"/>
    </row>
    <row r="6" spans="1:14" x14ac:dyDescent="0.25">
      <c r="D6" s="83"/>
      <c r="E6" s="84"/>
      <c r="F6" s="85"/>
      <c r="G6" s="84"/>
      <c r="H6" s="85"/>
      <c r="I6" s="86"/>
      <c r="J6" s="87"/>
      <c r="K6" s="87"/>
      <c r="L6" s="85"/>
      <c r="M6" s="71"/>
    </row>
    <row r="7" spans="1:14" x14ac:dyDescent="0.25">
      <c r="A7" s="18" t="s">
        <v>218</v>
      </c>
      <c r="B7" s="18">
        <v>1</v>
      </c>
      <c r="C7" s="100" t="str">
        <f>A7&amp;B7</f>
        <v>J1</v>
      </c>
      <c r="D7" s="88" t="str">
        <f>IF(AND(ISODD($N$4),ISEVEN(B7)),E6+4/24,"")</f>
        <v/>
      </c>
      <c r="E7" s="89">
        <f>'lead timeLNB'!U10+4/24</f>
        <v>42211.534027777772</v>
      </c>
      <c r="F7" s="90">
        <f>'lead timeLNB'!U11-1/24</f>
        <v>42212.355555555558</v>
      </c>
      <c r="G7" s="89"/>
      <c r="H7" s="90"/>
      <c r="I7" s="91"/>
      <c r="J7" s="92"/>
      <c r="K7" s="92"/>
      <c r="L7" s="93"/>
      <c r="M7" s="71"/>
    </row>
    <row r="8" spans="1:14" x14ac:dyDescent="0.25">
      <c r="A8" s="18" t="s">
        <v>218</v>
      </c>
      <c r="B8" s="18">
        <v>2</v>
      </c>
      <c r="C8" s="100" t="str">
        <f>A8&amp;B8</f>
        <v>J2</v>
      </c>
      <c r="D8" s="88">
        <f>IF(AND(ISODD($N$4),ISEVEN(B8)),E7+4/24,"")</f>
        <v>42211.700694444437</v>
      </c>
      <c r="E8" s="89">
        <f>'lead timeLNB'!U11+4/24</f>
        <v>42212.563888888886</v>
      </c>
      <c r="F8" s="90">
        <f>'lead timeLNB'!U12-1/24</f>
        <v>42213.022222222222</v>
      </c>
      <c r="G8" s="95"/>
      <c r="H8" s="96"/>
      <c r="I8" s="97"/>
      <c r="J8" s="98"/>
      <c r="K8" s="98"/>
      <c r="L8" s="99"/>
      <c r="M8" s="71"/>
    </row>
    <row r="9" spans="1:14" x14ac:dyDescent="0.25">
      <c r="A9" s="18" t="s">
        <v>218</v>
      </c>
      <c r="B9" s="18">
        <v>3</v>
      </c>
      <c r="C9" s="100" t="str">
        <f t="shared" ref="C9:C72" si="0">A9&amp;B9</f>
        <v>J3</v>
      </c>
      <c r="D9" s="88" t="str">
        <f>IF(AND(ISEVEN($N$4),ISODD(B9)),E8+4/24,"")</f>
        <v/>
      </c>
      <c r="E9" s="89">
        <f>'lead timeLNB'!U12+4/24</f>
        <v>42213.23055555555</v>
      </c>
      <c r="F9" s="90">
        <f>'lead timeLNB'!U13-1/24</f>
        <v>42213.657638888893</v>
      </c>
      <c r="G9" s="95" t="str">
        <f>IF('lead timeLNB'!AG11="","",'lead timeLNB'!AG11+5/24)</f>
        <v/>
      </c>
      <c r="H9" s="96"/>
      <c r="I9" s="97"/>
      <c r="J9" s="98"/>
      <c r="K9" s="98"/>
      <c r="L9" s="99"/>
      <c r="M9" s="71"/>
    </row>
    <row r="10" spans="1:14" x14ac:dyDescent="0.25">
      <c r="A10" s="18" t="s">
        <v>218</v>
      </c>
      <c r="B10" s="18">
        <v>4</v>
      </c>
      <c r="C10" s="100" t="str">
        <f t="shared" si="0"/>
        <v>J4</v>
      </c>
      <c r="D10" s="88">
        <f>IF(AND(ISODD($N$4),ISEVEN(B10)),E9+4/24,"")</f>
        <v>42213.397222222215</v>
      </c>
      <c r="E10" s="89">
        <f>'lead timeLNB'!U13+4/24</f>
        <v>42213.865972222222</v>
      </c>
      <c r="F10" s="90">
        <f>'lead timeLNB'!U14-1/24</f>
        <v>42214.316666666666</v>
      </c>
      <c r="G10" s="95">
        <f>IF('lead timeLNB'!AG12="","",'lead timeLNB'!AG12+5/24)</f>
        <v>42214.034722222226</v>
      </c>
      <c r="H10" s="96">
        <f>IF(G10="","",G10+18/24)</f>
        <v>42214.784722222226</v>
      </c>
      <c r="I10" s="97">
        <f>IF('lead timeLNB'!AH12="","",'lead timeLNB'!AH12+13/24)</f>
        <v>42214.474999999999</v>
      </c>
      <c r="J10" s="96">
        <f>IF(I10="","",I10+8/24)</f>
        <v>42214.808333333334</v>
      </c>
      <c r="K10" s="98">
        <f>IF('lead timeLNB'!AK12="","",'lead timeLNB'!AK12+8.5/24)</f>
        <v>42215.206249999996</v>
      </c>
      <c r="L10" s="96">
        <f>IF(K10="","",K10+14/24)</f>
        <v>42215.789583333331</v>
      </c>
      <c r="M10" s="71"/>
    </row>
    <row r="11" spans="1:14" x14ac:dyDescent="0.25">
      <c r="A11" s="18" t="s">
        <v>218</v>
      </c>
      <c r="B11" s="18">
        <v>5</v>
      </c>
      <c r="C11" s="100" t="str">
        <f t="shared" si="0"/>
        <v>J5</v>
      </c>
      <c r="D11" s="88" t="str">
        <f t="shared" ref="D11" si="1">IF(AND(ISEVEN($N$4),ISODD(B11)),E10+4/24,"")</f>
        <v/>
      </c>
      <c r="E11" s="89">
        <f>'lead timeLNB'!U14+4/24</f>
        <v>42214.524999999994</v>
      </c>
      <c r="F11" s="90">
        <f>'lead timeLNB'!U15-1/24</f>
        <v>42214.979166666672</v>
      </c>
      <c r="G11" s="95" t="str">
        <f>IF('lead timeLNB'!AG13="","",'lead timeLNB'!AG13+5/24)</f>
        <v/>
      </c>
      <c r="H11" s="96" t="str">
        <f t="shared" ref="H11:H74" si="2">IF(G11="","",G11+18/24)</f>
        <v/>
      </c>
      <c r="I11" s="97" t="str">
        <f>IF('lead timeLNB'!AH13="","",'lead timeLNB'!AH13+13/24)</f>
        <v/>
      </c>
      <c r="J11" s="96" t="str">
        <f t="shared" ref="J11:J74" si="3">IF(I11="","",I11+8/24)</f>
        <v/>
      </c>
      <c r="K11" s="98" t="str">
        <f>IF('lead timeLNB'!AK13="","",'lead timeLNB'!AK13+8.5/24)</f>
        <v/>
      </c>
      <c r="L11" s="96" t="str">
        <f t="shared" ref="L11:L74" si="4">IF(K11="","",K11+14/24)</f>
        <v/>
      </c>
      <c r="M11" s="71"/>
    </row>
    <row r="12" spans="1:14" x14ac:dyDescent="0.25">
      <c r="A12" s="18" t="s">
        <v>218</v>
      </c>
      <c r="B12" s="18">
        <v>6</v>
      </c>
      <c r="C12" s="100" t="str">
        <f t="shared" si="0"/>
        <v>J6</v>
      </c>
      <c r="D12" s="88">
        <f t="shared" ref="D12" si="5">IF(AND(ISODD($N$4),ISEVEN(B12)),E11+4/24,"")</f>
        <v>42214.691666666658</v>
      </c>
      <c r="E12" s="89">
        <f>'lead timeLNB'!U15+4/24</f>
        <v>42215.1875</v>
      </c>
      <c r="F12" s="90">
        <f>'lead timeLNB'!U16-1/24</f>
        <v>42215.65625</v>
      </c>
      <c r="G12" s="95">
        <f>IF('lead timeLNB'!AG14="","",'lead timeLNB'!AG14+5/24)</f>
        <v>42215.299305555556</v>
      </c>
      <c r="H12" s="96">
        <f t="shared" si="2"/>
        <v>42216.049305555556</v>
      </c>
      <c r="I12" s="97">
        <f>IF('lead timeLNB'!AH14="","",'lead timeLNB'!AH14+13/24)</f>
        <v>42215.71597222222</v>
      </c>
      <c r="J12" s="96">
        <f t="shared" si="3"/>
        <v>42216.049305555556</v>
      </c>
      <c r="K12" s="98">
        <f>IF('lead timeLNB'!AK14="","",'lead timeLNB'!AK14+8.5/24)</f>
        <v>42216.561111111107</v>
      </c>
      <c r="L12" s="96">
        <f t="shared" si="4"/>
        <v>42217.144444444442</v>
      </c>
      <c r="M12" s="71"/>
    </row>
    <row r="13" spans="1:14" ht="15.75" x14ac:dyDescent="0.3">
      <c r="A13" s="18" t="s">
        <v>218</v>
      </c>
      <c r="B13" s="18">
        <v>7</v>
      </c>
      <c r="C13" s="100" t="str">
        <f t="shared" si="0"/>
        <v>J7</v>
      </c>
      <c r="D13" s="88" t="str">
        <f t="shared" ref="D13" si="6">IF(AND(ISEVEN($N$4),ISODD(B13)),E12+4/24,"")</f>
        <v/>
      </c>
      <c r="E13" s="89">
        <f>'lead timeLNB'!U16+4/24</f>
        <v>42215.864583333328</v>
      </c>
      <c r="F13" s="90">
        <f>'lead timeLNB'!U17-1/24</f>
        <v>42216.381944444445</v>
      </c>
      <c r="G13" s="95" t="str">
        <f>IF('lead timeLNB'!AG15="","",'lead timeLNB'!AG15+5/24)</f>
        <v/>
      </c>
      <c r="H13" s="96" t="str">
        <f t="shared" si="2"/>
        <v/>
      </c>
      <c r="I13" s="97" t="str">
        <f>IF('lead timeLNB'!AH15="","",'lead timeLNB'!AH15+13/24)</f>
        <v/>
      </c>
      <c r="J13" s="96" t="str">
        <f t="shared" si="3"/>
        <v/>
      </c>
      <c r="K13" s="98" t="str">
        <f>IF('lead timeLNB'!AK15="","",'lead timeLNB'!AK15+8.5/24)</f>
        <v/>
      </c>
      <c r="L13" s="96" t="str">
        <f t="shared" si="4"/>
        <v/>
      </c>
      <c r="M13" s="71"/>
      <c r="N13" s="101">
        <f t="array" aca="1" ref="N13" ca="1">MIN(IF(G8:G84&gt;TODAY(),G8:G84))</f>
        <v>42252.898611111115</v>
      </c>
    </row>
    <row r="14" spans="1:14" x14ac:dyDescent="0.25">
      <c r="A14" s="18" t="s">
        <v>218</v>
      </c>
      <c r="B14" s="18">
        <v>8</v>
      </c>
      <c r="C14" s="100" t="str">
        <f t="shared" si="0"/>
        <v>J8</v>
      </c>
      <c r="D14" s="88">
        <f t="shared" ref="D14" si="7">IF(AND(ISODD($N$4),ISEVEN(B14)),E13+4/24,"")</f>
        <v>42216.031249999993</v>
      </c>
      <c r="E14" s="89">
        <f>'lead timeLNB'!U17+4/24</f>
        <v>42216.590277777774</v>
      </c>
      <c r="F14" s="90">
        <f>'lead timeLNB'!U18-1/24</f>
        <v>42217.000694444447</v>
      </c>
      <c r="G14" s="95">
        <f>IF('lead timeLNB'!AG16="","",'lead timeLNB'!AG16+5/24)</f>
        <v>42216.665277777778</v>
      </c>
      <c r="H14" s="96">
        <f t="shared" si="2"/>
        <v>42217.415277777778</v>
      </c>
      <c r="I14" s="97">
        <f>IF('lead timeLNB'!AH16="","",'lead timeLNB'!AH16+13/24)</f>
        <v>42217.090277777774</v>
      </c>
      <c r="J14" s="96">
        <f t="shared" si="3"/>
        <v>42217.423611111109</v>
      </c>
      <c r="K14" s="98">
        <f>IF('lead timeLNB'!AK16="","",'lead timeLNB'!AK16+8.5/24)</f>
        <v>42217.788888888885</v>
      </c>
      <c r="L14" s="96">
        <f t="shared" si="4"/>
        <v>42218.37222222222</v>
      </c>
      <c r="M14" s="71"/>
    </row>
    <row r="15" spans="1:14" x14ac:dyDescent="0.25">
      <c r="A15" s="18" t="s">
        <v>218</v>
      </c>
      <c r="B15" s="18">
        <v>9</v>
      </c>
      <c r="C15" s="100" t="str">
        <f t="shared" si="0"/>
        <v>J9</v>
      </c>
      <c r="D15" s="88" t="str">
        <f t="shared" ref="D15" si="8">IF(AND(ISEVEN($N$4),ISODD(B15)),E14+4/24,"")</f>
        <v/>
      </c>
      <c r="E15" s="89">
        <f>'lead timeLNB'!U18+4/24</f>
        <v>42217.209027777775</v>
      </c>
      <c r="F15" s="90">
        <f>'lead timeLNB'!U19-1/24</f>
        <v>42217.878472222226</v>
      </c>
      <c r="G15" s="95" t="str">
        <f>IF('lead timeLNB'!AG17="","",'lead timeLNB'!AG17+5/24)</f>
        <v/>
      </c>
      <c r="H15" s="96" t="str">
        <f t="shared" si="2"/>
        <v/>
      </c>
      <c r="I15" s="97" t="str">
        <f>IF('lead timeLNB'!AH17="","",'lead timeLNB'!AH17+13/24)</f>
        <v/>
      </c>
      <c r="J15" s="96" t="str">
        <f t="shared" si="3"/>
        <v/>
      </c>
      <c r="K15" s="98" t="str">
        <f>IF('lead timeLNB'!AK17="","",'lead timeLNB'!AK17+8.5/24)</f>
        <v/>
      </c>
      <c r="L15" s="96" t="str">
        <f t="shared" si="4"/>
        <v/>
      </c>
      <c r="M15" s="71"/>
    </row>
    <row r="16" spans="1:14" x14ac:dyDescent="0.25">
      <c r="A16" s="18" t="s">
        <v>218</v>
      </c>
      <c r="B16" s="18">
        <v>10</v>
      </c>
      <c r="C16" s="100" t="str">
        <f>A16&amp;B16</f>
        <v>J10</v>
      </c>
      <c r="D16" s="88">
        <f t="shared" ref="D16" si="9">IF(AND(ISODD($N$4),ISEVEN(B16)),E15+4/24,"")</f>
        <v>42217.375694444439</v>
      </c>
      <c r="E16" s="89">
        <f>'lead timeLNB'!U19+4/24</f>
        <v>42218.086805555555</v>
      </c>
      <c r="F16" s="90">
        <f>'lead timeLNB'!U20-1/24</f>
        <v>42218.478472222225</v>
      </c>
      <c r="G16" s="95">
        <f>IF('lead timeLNB'!AG18="","",'lead timeLNB'!AG18+5/24)</f>
        <v>42218.018750000003</v>
      </c>
      <c r="H16" s="96">
        <f t="shared" si="2"/>
        <v>42218.768750000003</v>
      </c>
      <c r="I16" s="97">
        <f>IF('lead timeLNB'!AH18="","",'lead timeLNB'!AH18+13/24)</f>
        <v>42218.371527777774</v>
      </c>
      <c r="J16" s="96">
        <f t="shared" si="3"/>
        <v>42218.704861111109</v>
      </c>
      <c r="K16" s="98">
        <f>IF('lead timeLNB'!AK18="","",'lead timeLNB'!AK18+8.5/24)</f>
        <v>42219.081249999996</v>
      </c>
      <c r="L16" s="96">
        <f t="shared" si="4"/>
        <v>42219.664583333331</v>
      </c>
      <c r="M16" s="71"/>
    </row>
    <row r="17" spans="1:13" x14ac:dyDescent="0.25">
      <c r="A17" s="18" t="s">
        <v>218</v>
      </c>
      <c r="B17" s="18">
        <v>11</v>
      </c>
      <c r="C17" s="100" t="str">
        <f>A17&amp;B17</f>
        <v>J11</v>
      </c>
      <c r="D17" s="88" t="str">
        <f t="shared" ref="D17" si="10">IF(AND(ISEVEN($N$4),ISODD(B17)),E16+4/24,"")</f>
        <v/>
      </c>
      <c r="E17" s="89">
        <f>'lead timeLNB'!U20+4/24</f>
        <v>42218.686805555553</v>
      </c>
      <c r="F17" s="90">
        <f>'lead timeLNB'!U21-1/24</f>
        <v>42219.070833333339</v>
      </c>
      <c r="G17" s="95" t="str">
        <f>IF('lead timeLNB'!AG19="","",'lead timeLNB'!AG19+5/24)</f>
        <v/>
      </c>
      <c r="H17" s="96" t="str">
        <f t="shared" si="2"/>
        <v/>
      </c>
      <c r="I17" s="97" t="str">
        <f>IF('lead timeLNB'!AH19="","",'lead timeLNB'!AH19+13/24)</f>
        <v/>
      </c>
      <c r="J17" s="96" t="str">
        <f t="shared" si="3"/>
        <v/>
      </c>
      <c r="K17" s="98" t="str">
        <f>IF('lead timeLNB'!AK19="","",'lead timeLNB'!AK19+8.5/24)</f>
        <v/>
      </c>
      <c r="L17" s="96" t="str">
        <f t="shared" si="4"/>
        <v/>
      </c>
      <c r="M17" s="71"/>
    </row>
    <row r="18" spans="1:13" x14ac:dyDescent="0.25">
      <c r="A18" s="18" t="s">
        <v>218</v>
      </c>
      <c r="B18" s="18">
        <v>12</v>
      </c>
      <c r="C18" s="100" t="str">
        <f t="shared" si="0"/>
        <v>J12</v>
      </c>
      <c r="D18" s="88">
        <f t="shared" ref="D18" si="11">IF(AND(ISODD($N$4),ISEVEN(B18)),E17+4/24,"")</f>
        <v>42218.853472222218</v>
      </c>
      <c r="E18" s="89">
        <f>'lead timeLNB'!U21+4/24</f>
        <v>42219.279166666667</v>
      </c>
      <c r="F18" s="90">
        <f>'lead timeLNB'!U22-1/24</f>
        <v>42219.786805555559</v>
      </c>
      <c r="G18" s="95">
        <f>IF('lead timeLNB'!AG20="","",'lead timeLNB'!AG20+5/24)</f>
        <v>42219.48541666667</v>
      </c>
      <c r="H18" s="96">
        <f t="shared" si="2"/>
        <v>42220.23541666667</v>
      </c>
      <c r="I18" s="97">
        <f>IF('lead timeLNB'!AH20="","",'lead timeLNB'!AH20+13/24)</f>
        <v>42219.943749999999</v>
      </c>
      <c r="J18" s="96">
        <f t="shared" si="3"/>
        <v>42220.277083333334</v>
      </c>
      <c r="K18" s="98">
        <f>IF('lead timeLNB'!AK20="","",'lead timeLNB'!AK20+8.5/24)</f>
        <v>42220.67083333333</v>
      </c>
      <c r="L18" s="96">
        <f t="shared" si="4"/>
        <v>42221.254166666666</v>
      </c>
      <c r="M18" s="71"/>
    </row>
    <row r="19" spans="1:13" x14ac:dyDescent="0.25">
      <c r="A19" s="18" t="s">
        <v>218</v>
      </c>
      <c r="B19" s="18">
        <v>13</v>
      </c>
      <c r="C19" s="100" t="str">
        <f t="shared" si="0"/>
        <v>J13</v>
      </c>
      <c r="D19" s="88" t="str">
        <f t="shared" ref="D19" si="12">IF(AND(ISEVEN($N$4),ISODD(B19)),E18+4/24,"")</f>
        <v/>
      </c>
      <c r="E19" s="89">
        <f>'lead timeLNB'!U22+4/24</f>
        <v>42219.995138888888</v>
      </c>
      <c r="F19" s="90">
        <f>'lead timeLNB'!U23-1/24</f>
        <v>42220.45416666667</v>
      </c>
      <c r="G19" s="95" t="str">
        <f>IF('lead timeLNB'!AG21="","",'lead timeLNB'!AG21+5/24)</f>
        <v/>
      </c>
      <c r="H19" s="96" t="str">
        <f t="shared" si="2"/>
        <v/>
      </c>
      <c r="I19" s="97" t="str">
        <f>IF('lead timeLNB'!AH21="","",'lead timeLNB'!AH21+13/24)</f>
        <v/>
      </c>
      <c r="J19" s="96" t="str">
        <f t="shared" si="3"/>
        <v/>
      </c>
      <c r="K19" s="98" t="str">
        <f>IF('lead timeLNB'!AK21="","",'lead timeLNB'!AK21+8.5/24)</f>
        <v/>
      </c>
      <c r="L19" s="96" t="str">
        <f t="shared" si="4"/>
        <v/>
      </c>
      <c r="M19" s="71"/>
    </row>
    <row r="20" spans="1:13" x14ac:dyDescent="0.25">
      <c r="A20" s="18" t="s">
        <v>218</v>
      </c>
      <c r="B20" s="18">
        <v>14</v>
      </c>
      <c r="C20" s="100" t="str">
        <f t="shared" si="0"/>
        <v>J14</v>
      </c>
      <c r="D20" s="88">
        <f t="shared" ref="D20" si="13">IF(AND(ISODD($N$4),ISEVEN(B20)),E19+4/24,"")</f>
        <v>42220.161805555552</v>
      </c>
      <c r="E20" s="89">
        <f>'lead timeLNB'!U23+4/24</f>
        <v>42220.662499999999</v>
      </c>
      <c r="F20" s="90">
        <f>'lead timeLNB'!U24-1/24</f>
        <v>42221.130555555559</v>
      </c>
      <c r="G20" s="95">
        <f>IF('lead timeLNB'!AG22="","",'lead timeLNB'!AG22+5/24)</f>
        <v>42220.78402777778</v>
      </c>
      <c r="H20" s="96">
        <f t="shared" si="2"/>
        <v>42221.53402777778</v>
      </c>
      <c r="I20" s="97">
        <f>IF('lead timeLNB'!AH22="","",'lead timeLNB'!AH22+13/24)</f>
        <v>42221.190277777772</v>
      </c>
      <c r="J20" s="96">
        <f t="shared" si="3"/>
        <v>42221.523611111108</v>
      </c>
      <c r="K20" s="98">
        <f>IF('lead timeLNB'!AK22="","",'lead timeLNB'!AK22+8.5/24)</f>
        <v>42221.862499999996</v>
      </c>
      <c r="L20" s="96">
        <f t="shared" si="4"/>
        <v>42222.445833333331</v>
      </c>
      <c r="M20" s="71"/>
    </row>
    <row r="21" spans="1:13" x14ac:dyDescent="0.25">
      <c r="A21" s="18" t="s">
        <v>218</v>
      </c>
      <c r="B21" s="18">
        <v>15</v>
      </c>
      <c r="C21" s="100" t="str">
        <f t="shared" si="0"/>
        <v>J15</v>
      </c>
      <c r="D21" s="88" t="str">
        <f t="shared" ref="D21" si="14">IF(AND(ISEVEN($N$4),ISODD(B21)),E20+4/24,"")</f>
        <v/>
      </c>
      <c r="E21" s="89">
        <f>'lead timeLNB'!U24+4/24</f>
        <v>42221.338888888888</v>
      </c>
      <c r="F21" s="90">
        <f>'lead timeLNB'!U25-1/24</f>
        <v>42221.761805555558</v>
      </c>
      <c r="G21" s="95" t="str">
        <f>IF('lead timeLNB'!AG23="","",'lead timeLNB'!AG23+5/24)</f>
        <v/>
      </c>
      <c r="H21" s="96" t="str">
        <f t="shared" si="2"/>
        <v/>
      </c>
      <c r="I21" s="97" t="str">
        <f>IF('lead timeLNB'!AH23="","",'lead timeLNB'!AH23+13/24)</f>
        <v/>
      </c>
      <c r="J21" s="96" t="str">
        <f t="shared" si="3"/>
        <v/>
      </c>
      <c r="K21" s="98" t="str">
        <f>IF('lead timeLNB'!AK23="","",'lead timeLNB'!AK23+8.5/24)</f>
        <v/>
      </c>
      <c r="L21" s="96" t="str">
        <f t="shared" si="4"/>
        <v/>
      </c>
      <c r="M21" s="71"/>
    </row>
    <row r="22" spans="1:13" x14ac:dyDescent="0.25">
      <c r="A22" s="18" t="s">
        <v>218</v>
      </c>
      <c r="B22" s="18">
        <v>16</v>
      </c>
      <c r="C22" s="100" t="str">
        <f t="shared" si="0"/>
        <v>J16</v>
      </c>
      <c r="D22" s="88">
        <f t="shared" ref="D22" si="15">IF(AND(ISODD($N$4),ISEVEN(B22)),E21+4/24,"")</f>
        <v>42221.505555555552</v>
      </c>
      <c r="E22" s="89">
        <f>'lead timeLNB'!U25+4/24</f>
        <v>42221.970138888886</v>
      </c>
      <c r="F22" s="90">
        <f>'lead timeLNB'!U26-1/24</f>
        <v>42222.419444444444</v>
      </c>
      <c r="G22" s="95">
        <f>IF('lead timeLNB'!AG24="","",'lead timeLNB'!AG24+5/24)</f>
        <v>42222.15902777778</v>
      </c>
      <c r="H22" s="96">
        <f t="shared" si="2"/>
        <v>42222.90902777778</v>
      </c>
      <c r="I22" s="97">
        <f>IF('lead timeLNB'!AH24="","",'lead timeLNB'!AH24+13/24)</f>
        <v>42222.57430555555</v>
      </c>
      <c r="J22" s="96">
        <f t="shared" si="3"/>
        <v>42222.907638888886</v>
      </c>
      <c r="K22" s="98">
        <f>IF('lead timeLNB'!AK24="","",'lead timeLNB'!AK24+8.5/24)</f>
        <v>42223.546527777777</v>
      </c>
      <c r="L22" s="96">
        <f t="shared" si="4"/>
        <v>42224.129861111112</v>
      </c>
      <c r="M22" s="71"/>
    </row>
    <row r="23" spans="1:13" x14ac:dyDescent="0.25">
      <c r="A23" s="18" t="s">
        <v>218</v>
      </c>
      <c r="B23" s="18">
        <v>17</v>
      </c>
      <c r="C23" s="100" t="str">
        <f t="shared" si="0"/>
        <v>J17</v>
      </c>
      <c r="D23" s="88" t="str">
        <f t="shared" ref="D23" si="16">IF(AND(ISEVEN($N$4),ISODD(B23)),E22+4/24,"")</f>
        <v/>
      </c>
      <c r="E23" s="89">
        <f>'lead timeLNB'!U26+4/24</f>
        <v>42222.627777777772</v>
      </c>
      <c r="F23" s="90">
        <f>'lead timeLNB'!U27-1/24</f>
        <v>42223.080555555556</v>
      </c>
      <c r="G23" s="95" t="str">
        <f>IF('lead timeLNB'!AG25="","",'lead timeLNB'!AG25+5/24)</f>
        <v/>
      </c>
      <c r="H23" s="96" t="str">
        <f t="shared" si="2"/>
        <v/>
      </c>
      <c r="I23" s="97" t="str">
        <f>IF('lead timeLNB'!AH25="","",'lead timeLNB'!AH25+13/24)</f>
        <v/>
      </c>
      <c r="J23" s="96" t="str">
        <f t="shared" si="3"/>
        <v/>
      </c>
      <c r="K23" s="98" t="str">
        <f>IF('lead timeLNB'!AK25="","",'lead timeLNB'!AK25+8.5/24)</f>
        <v/>
      </c>
      <c r="L23" s="96" t="str">
        <f t="shared" si="4"/>
        <v/>
      </c>
      <c r="M23" s="71"/>
    </row>
    <row r="24" spans="1:13" x14ac:dyDescent="0.25">
      <c r="A24" s="18" t="s">
        <v>218</v>
      </c>
      <c r="B24" s="18">
        <v>18</v>
      </c>
      <c r="C24" s="100" t="str">
        <f t="shared" si="0"/>
        <v>J18</v>
      </c>
      <c r="D24" s="88">
        <f t="shared" ref="D24" si="17">IF(AND(ISODD($N$4),ISEVEN(B24)),E23+4/24,"")</f>
        <v>42222.794444444437</v>
      </c>
      <c r="E24" s="89">
        <f>'lead timeLNB'!U27+4/24</f>
        <v>42223.288888888885</v>
      </c>
      <c r="F24" s="90">
        <f>'lead timeLNB'!U28-1/24</f>
        <v>42223.720138888893</v>
      </c>
      <c r="G24" s="95">
        <f>IF('lead timeLNB'!AG26="","",'lead timeLNB'!AG26+5/24)</f>
        <v>42223.456250000003</v>
      </c>
      <c r="H24" s="96">
        <f t="shared" si="2"/>
        <v>42224.206250000003</v>
      </c>
      <c r="I24" s="97">
        <f>IF('lead timeLNB'!AH26="","",'lead timeLNB'!AH26+13/24)</f>
        <v>42223.868749999994</v>
      </c>
      <c r="J24" s="96">
        <f t="shared" si="3"/>
        <v>42224.20208333333</v>
      </c>
      <c r="K24" s="98">
        <f>IF('lead timeLNB'!AK26="","",'lead timeLNB'!AK26+8.5/24)</f>
        <v>42224.79583333333</v>
      </c>
      <c r="L24" s="96">
        <f t="shared" si="4"/>
        <v>42225.379166666666</v>
      </c>
      <c r="M24" s="71"/>
    </row>
    <row r="25" spans="1:13" x14ac:dyDescent="0.25">
      <c r="A25" s="18" t="s">
        <v>218</v>
      </c>
      <c r="B25" s="18">
        <v>19</v>
      </c>
      <c r="C25" s="100" t="str">
        <f t="shared" si="0"/>
        <v>J19</v>
      </c>
      <c r="D25" s="88" t="str">
        <f t="shared" ref="D25" si="18">IF(AND(ISEVEN($N$4),ISODD(B25)),E24+4/24,"")</f>
        <v/>
      </c>
      <c r="E25" s="89">
        <f>'lead timeLNB'!U28+4/24</f>
        <v>42223.928472222222</v>
      </c>
      <c r="F25" s="90">
        <f>'lead timeLNB'!U29-1/24</f>
        <v>42224.585416666669</v>
      </c>
      <c r="G25" s="95" t="str">
        <f>IF('lead timeLNB'!AG27="","",'lead timeLNB'!AG27+5/24)</f>
        <v/>
      </c>
      <c r="H25" s="96" t="str">
        <f t="shared" si="2"/>
        <v/>
      </c>
      <c r="I25" s="97" t="str">
        <f>IF('lead timeLNB'!AH27="","",'lead timeLNB'!AH27+13/24)</f>
        <v/>
      </c>
      <c r="J25" s="96" t="str">
        <f t="shared" si="3"/>
        <v/>
      </c>
      <c r="K25" s="98" t="str">
        <f>IF('lead timeLNB'!AK27="","",'lead timeLNB'!AK27+8.5/24)</f>
        <v/>
      </c>
      <c r="L25" s="96" t="str">
        <f t="shared" si="4"/>
        <v/>
      </c>
      <c r="M25" s="71"/>
    </row>
    <row r="26" spans="1:13" x14ac:dyDescent="0.25">
      <c r="A26" s="18" t="s">
        <v>218</v>
      </c>
      <c r="B26" s="18">
        <v>20</v>
      </c>
      <c r="C26" s="100" t="str">
        <f t="shared" si="0"/>
        <v>J20</v>
      </c>
      <c r="D26" s="88">
        <f t="shared" ref="D26" si="19">IF(AND(ISODD($N$4),ISEVEN(B26)),E25+4/24,"")</f>
        <v>42224.095138888886</v>
      </c>
      <c r="E26" s="89">
        <f>'lead timeLNB'!U29+4/24</f>
        <v>42224.793749999997</v>
      </c>
      <c r="F26" s="90">
        <f>'lead timeLNB'!U30-1/24</f>
        <v>42225.181944444448</v>
      </c>
      <c r="G26" s="95">
        <f>IF('lead timeLNB'!AG28="","",'lead timeLNB'!AG28+5/24)</f>
        <v>42224.782638888893</v>
      </c>
      <c r="H26" s="96">
        <f t="shared" si="2"/>
        <v>42225.532638888893</v>
      </c>
      <c r="I26" s="97">
        <f>IF('lead timeLNB'!AH28="","",'lead timeLNB'!AH28+13/24)</f>
        <v>42225.159027777772</v>
      </c>
      <c r="J26" s="96">
        <f t="shared" si="3"/>
        <v>42225.492361111108</v>
      </c>
      <c r="K26" s="98">
        <f>IF('lead timeLNB'!AK28="","",'lead timeLNB'!AK28+8.5/24)</f>
        <v>42226.18472222222</v>
      </c>
      <c r="L26" s="96">
        <f t="shared" si="4"/>
        <v>42226.768055555556</v>
      </c>
      <c r="M26" s="71"/>
    </row>
    <row r="27" spans="1:13" x14ac:dyDescent="0.25">
      <c r="A27" s="18" t="s">
        <v>218</v>
      </c>
      <c r="B27" s="18">
        <v>21</v>
      </c>
      <c r="C27" s="100" t="str">
        <f t="shared" si="0"/>
        <v>J21</v>
      </c>
      <c r="D27" s="88" t="str">
        <f t="shared" ref="D27" si="20">IF(AND(ISEVEN($N$4),ISODD(B27)),E26+4/24,"")</f>
        <v/>
      </c>
      <c r="E27" s="89">
        <f>'lead timeLNB'!U30+4/24</f>
        <v>42225.390277777777</v>
      </c>
      <c r="F27" s="90">
        <f>'lead timeLNB'!U31-1/24</f>
        <v>42225.780555555561</v>
      </c>
      <c r="G27" s="95" t="str">
        <f>IF('lead timeLNB'!AG29="","",'lead timeLNB'!AG29+5/24)</f>
        <v/>
      </c>
      <c r="H27" s="96" t="str">
        <f t="shared" si="2"/>
        <v/>
      </c>
      <c r="I27" s="97" t="str">
        <f>IF('lead timeLNB'!AH29="","",'lead timeLNB'!AH29+13/24)</f>
        <v/>
      </c>
      <c r="J27" s="96" t="str">
        <f t="shared" si="3"/>
        <v/>
      </c>
      <c r="K27" s="98" t="str">
        <f>IF('lead timeLNB'!AK29="","",'lead timeLNB'!AK29+8.5/24)</f>
        <v/>
      </c>
      <c r="L27" s="96" t="str">
        <f t="shared" si="4"/>
        <v/>
      </c>
      <c r="M27" s="71"/>
    </row>
    <row r="28" spans="1:13" x14ac:dyDescent="0.25">
      <c r="A28" s="18" t="s">
        <v>218</v>
      </c>
      <c r="B28" s="18">
        <v>22</v>
      </c>
      <c r="C28" s="100" t="str">
        <f t="shared" si="0"/>
        <v>J22</v>
      </c>
      <c r="D28" s="88">
        <f t="shared" ref="D28" si="21">IF(AND(ISODD($N$4),ISEVEN(B28)),E27+4/24,"")</f>
        <v>42225.556944444441</v>
      </c>
      <c r="E28" s="89">
        <f>'lead timeLNB'!U31+4/24</f>
        <v>42225.988888888889</v>
      </c>
      <c r="F28" s="90">
        <f>'lead timeLNB'!U32-1/24</f>
        <v>42226.381250000006</v>
      </c>
      <c r="G28" s="95">
        <f>IF('lead timeLNB'!AG30="","",'lead timeLNB'!AG30+5/24)</f>
        <v>42226.212500000001</v>
      </c>
      <c r="H28" s="96">
        <f t="shared" si="2"/>
        <v>42226.962500000001</v>
      </c>
      <c r="I28" s="97">
        <f>IF('lead timeLNB'!AH30="","",'lead timeLNB'!AH30+13/24)</f>
        <v>42226.595138888886</v>
      </c>
      <c r="J28" s="96">
        <f t="shared" si="3"/>
        <v>42226.928472222222</v>
      </c>
      <c r="K28" s="98">
        <f>IF('lead timeLNB'!AK30="","",'lead timeLNB'!AK30+8.5/24)</f>
        <v>42227.504861111105</v>
      </c>
      <c r="L28" s="96">
        <f t="shared" si="4"/>
        <v>42228.088194444441</v>
      </c>
      <c r="M28" s="71"/>
    </row>
    <row r="29" spans="1:13" x14ac:dyDescent="0.25">
      <c r="A29" s="18" t="s">
        <v>218</v>
      </c>
      <c r="B29" s="18">
        <v>23</v>
      </c>
      <c r="C29" s="100" t="str">
        <f t="shared" si="0"/>
        <v>J23</v>
      </c>
      <c r="D29" s="88" t="str">
        <f t="shared" ref="D29" si="22">IF(AND(ISEVEN($N$4),ISODD(B29)),E28+4/24,"")</f>
        <v/>
      </c>
      <c r="E29" s="89">
        <f>'lead timeLNB'!U32+4/24</f>
        <v>42226.589583333334</v>
      </c>
      <c r="F29" s="90">
        <f>'lead timeLNB'!U33-1/24</f>
        <v>42226.98541666667</v>
      </c>
      <c r="G29" s="95" t="str">
        <f>IF('lead timeLNB'!AG31="","",'lead timeLNB'!AG31+5/24)</f>
        <v/>
      </c>
      <c r="H29" s="96" t="str">
        <f t="shared" si="2"/>
        <v/>
      </c>
      <c r="I29" s="97" t="str">
        <f>IF('lead timeLNB'!AH31="","",'lead timeLNB'!AH31+13/24)</f>
        <v/>
      </c>
      <c r="J29" s="96" t="str">
        <f t="shared" si="3"/>
        <v/>
      </c>
      <c r="K29" s="98" t="str">
        <f>IF('lead timeLNB'!AK31="","",'lead timeLNB'!AK31+8.5/24)</f>
        <v/>
      </c>
      <c r="L29" s="96" t="str">
        <f t="shared" si="4"/>
        <v/>
      </c>
      <c r="M29" s="71"/>
    </row>
    <row r="30" spans="1:13" x14ac:dyDescent="0.25">
      <c r="A30" s="18" t="s">
        <v>218</v>
      </c>
      <c r="B30" s="18">
        <v>24</v>
      </c>
      <c r="C30" s="100" t="str">
        <f t="shared" si="0"/>
        <v>J24</v>
      </c>
      <c r="D30" s="88">
        <f t="shared" ref="D30" si="23">IF(AND(ISODD($N$4),ISEVEN(B30)),E29+4/24,"")</f>
        <v>42226.756249999999</v>
      </c>
      <c r="E30" s="89">
        <f>'lead timeLNB'!U33+4/24</f>
        <v>42227.193749999999</v>
      </c>
      <c r="F30" s="90">
        <f>'lead timeLNB'!U34-1/24</f>
        <v>42227.631250000006</v>
      </c>
      <c r="G30" s="95">
        <f>IF('lead timeLNB'!AG32="","",'lead timeLNB'!AG32+5/24)</f>
        <v>42227.395138888889</v>
      </c>
      <c r="H30" s="96">
        <f t="shared" si="2"/>
        <v>42228.145138888889</v>
      </c>
      <c r="I30" s="97">
        <f>IF('lead timeLNB'!AH32="","",'lead timeLNB'!AH32+13/24)</f>
        <v>42227.815277777772</v>
      </c>
      <c r="J30" s="96">
        <f t="shared" si="3"/>
        <v>42228.148611111108</v>
      </c>
      <c r="K30" s="98">
        <f>IF('lead timeLNB'!AK32="","",'lead timeLNB'!AK32+8.5/24)</f>
        <v>42228.738888888889</v>
      </c>
      <c r="L30" s="96">
        <f t="shared" si="4"/>
        <v>42229.322222222225</v>
      </c>
      <c r="M30" s="71"/>
    </row>
    <row r="31" spans="1:13" x14ac:dyDescent="0.25">
      <c r="A31" s="18" t="s">
        <v>218</v>
      </c>
      <c r="B31" s="18">
        <v>25</v>
      </c>
      <c r="C31" s="100" t="str">
        <f t="shared" si="0"/>
        <v>J25</v>
      </c>
      <c r="D31" s="88" t="str">
        <f t="shared" ref="D31" si="24">IF(AND(ISEVEN($N$4),ISODD(B31)),E30+4/24,"")</f>
        <v/>
      </c>
      <c r="E31" s="89">
        <f>'lead timeLNB'!U34+4/24</f>
        <v>42227.839583333334</v>
      </c>
      <c r="F31" s="90">
        <f>'lead timeLNB'!U35-1/24</f>
        <v>42228.309722222228</v>
      </c>
      <c r="G31" s="95" t="str">
        <f>IF('lead timeLNB'!AG33="","",'lead timeLNB'!AG33+5/24)</f>
        <v/>
      </c>
      <c r="H31" s="96" t="str">
        <f t="shared" si="2"/>
        <v/>
      </c>
      <c r="I31" s="97" t="str">
        <f>IF('lead timeLNB'!AH33="","",'lead timeLNB'!AH33+13/24)</f>
        <v/>
      </c>
      <c r="J31" s="96" t="str">
        <f t="shared" si="3"/>
        <v/>
      </c>
      <c r="K31" s="98" t="str">
        <f>IF('lead timeLNB'!AK33="","",'lead timeLNB'!AK33+8.5/24)</f>
        <v/>
      </c>
      <c r="L31" s="96" t="str">
        <f t="shared" si="4"/>
        <v/>
      </c>
      <c r="M31" s="71"/>
    </row>
    <row r="32" spans="1:13" x14ac:dyDescent="0.25">
      <c r="A32" s="18" t="s">
        <v>218</v>
      </c>
      <c r="B32" s="18">
        <v>26</v>
      </c>
      <c r="C32" s="100" t="str">
        <f t="shared" si="0"/>
        <v>J26</v>
      </c>
      <c r="D32" s="88">
        <f t="shared" ref="D32" si="25">IF(AND(ISODD($N$4),ISEVEN(B32)),E31+4/24,"")</f>
        <v>42228.006249999999</v>
      </c>
      <c r="E32" s="89">
        <f>'lead timeLNB'!U35+4/24</f>
        <v>42228.518055555556</v>
      </c>
      <c r="F32" s="90">
        <f>'lead timeLNB'!U36-1/24</f>
        <v>42228.940972222226</v>
      </c>
      <c r="G32" s="95">
        <f>IF('lead timeLNB'!AG34="","",'lead timeLNB'!AG34+5/24)</f>
        <v>42228.623611111114</v>
      </c>
      <c r="H32" s="96">
        <f t="shared" si="2"/>
        <v>42229.373611111114</v>
      </c>
      <c r="I32" s="97">
        <f>IF('lead timeLNB'!AH34="","",'lead timeLNB'!AH34+13/24)</f>
        <v>42229.071527777778</v>
      </c>
      <c r="J32" s="96">
        <f t="shared" si="3"/>
        <v>42229.404861111114</v>
      </c>
      <c r="K32" s="98">
        <f>IF('lead timeLNB'!AK34="","",'lead timeLNB'!AK34+8.5/24)</f>
        <v>42230.075694444444</v>
      </c>
      <c r="L32" s="96">
        <f t="shared" si="4"/>
        <v>42230.65902777778</v>
      </c>
      <c r="M32" s="71"/>
    </row>
    <row r="33" spans="1:13" x14ac:dyDescent="0.25">
      <c r="A33" s="18" t="s">
        <v>218</v>
      </c>
      <c r="B33" s="18">
        <v>27</v>
      </c>
      <c r="C33" s="100" t="str">
        <f t="shared" si="0"/>
        <v>J27</v>
      </c>
      <c r="D33" s="88" t="str">
        <f t="shared" ref="D33" si="26">IF(AND(ISEVEN($N$4),ISODD(B33)),E32+4/24,"")</f>
        <v/>
      </c>
      <c r="E33" s="89">
        <f>'lead timeLNB'!U36+4/24</f>
        <v>42229.149305555555</v>
      </c>
      <c r="F33" s="90">
        <f>'lead timeLNB'!U37-1/24</f>
        <v>42229.609722222223</v>
      </c>
      <c r="G33" s="95" t="str">
        <f>IF('lead timeLNB'!AG35="","",'lead timeLNB'!AG35+5/24)</f>
        <v/>
      </c>
      <c r="H33" s="96" t="str">
        <f t="shared" si="2"/>
        <v/>
      </c>
      <c r="I33" s="97" t="str">
        <f>IF('lead timeLNB'!AH35="","",'lead timeLNB'!AH35+13/24)</f>
        <v/>
      </c>
      <c r="J33" s="96" t="str">
        <f t="shared" si="3"/>
        <v/>
      </c>
      <c r="K33" s="98" t="str">
        <f>IF('lead timeLNB'!AK35="","",'lead timeLNB'!AK35+8.5/24)</f>
        <v/>
      </c>
      <c r="L33" s="96" t="str">
        <f t="shared" si="4"/>
        <v/>
      </c>
      <c r="M33" s="71"/>
    </row>
    <row r="34" spans="1:13" x14ac:dyDescent="0.25">
      <c r="A34" s="18" t="s">
        <v>218</v>
      </c>
      <c r="B34" s="18">
        <v>28</v>
      </c>
      <c r="C34" s="100" t="str">
        <f t="shared" si="0"/>
        <v>J28</v>
      </c>
      <c r="D34" s="88">
        <f t="shared" ref="D34" si="27">IF(AND(ISODD($N$4),ISEVEN(B34)),E33+4/24,"")</f>
        <v>42229.315972222219</v>
      </c>
      <c r="E34" s="89">
        <f>'lead timeLNB'!U37+4/24</f>
        <v>42229.818055555552</v>
      </c>
      <c r="F34" s="90">
        <f>'lead timeLNB'!U38-1/24</f>
        <v>42230.279861111114</v>
      </c>
      <c r="G34" s="95">
        <f>IF('lead timeLNB'!AG36="","",'lead timeLNB'!AG36+5/24)</f>
        <v>42229.942361111112</v>
      </c>
      <c r="H34" s="96">
        <f t="shared" si="2"/>
        <v>42230.692361111112</v>
      </c>
      <c r="I34" s="97">
        <f>IF('lead timeLNB'!AH36="","",'lead timeLNB'!AH36+13/24)</f>
        <v>42230.326388888883</v>
      </c>
      <c r="J34" s="96">
        <f t="shared" si="3"/>
        <v>42230.659722222219</v>
      </c>
      <c r="K34" s="98">
        <f>IF('lead timeLNB'!AK36="","",'lead timeLNB'!AK36+8.5/24)</f>
        <v>42231.486805555556</v>
      </c>
      <c r="L34" s="96">
        <f t="shared" si="4"/>
        <v>42232.070138888892</v>
      </c>
      <c r="M34" s="71"/>
    </row>
    <row r="35" spans="1:13" x14ac:dyDescent="0.25">
      <c r="A35" s="18" t="s">
        <v>218</v>
      </c>
      <c r="B35" s="18">
        <v>29</v>
      </c>
      <c r="C35" s="100" t="str">
        <f t="shared" si="0"/>
        <v>J29</v>
      </c>
      <c r="D35" s="88" t="str">
        <f t="shared" ref="D35" si="28">IF(AND(ISEVEN($N$4),ISODD(B35)),E34+4/24,"")</f>
        <v/>
      </c>
      <c r="E35" s="89">
        <f>'lead timeLNB'!U38+4/24</f>
        <v>42230.488194444442</v>
      </c>
      <c r="F35" s="90">
        <f>'lead timeLNB'!U39-1/24</f>
        <v>42231.112500000003</v>
      </c>
      <c r="G35" s="95" t="str">
        <f>IF('lead timeLNB'!AG37="","",'lead timeLNB'!AG37+5/24)</f>
        <v/>
      </c>
      <c r="H35" s="96" t="str">
        <f t="shared" si="2"/>
        <v/>
      </c>
      <c r="I35" s="97" t="str">
        <f>IF('lead timeLNB'!AH37="","",'lead timeLNB'!AH37+13/24)</f>
        <v/>
      </c>
      <c r="J35" s="96" t="str">
        <f t="shared" si="3"/>
        <v/>
      </c>
      <c r="K35" s="98" t="str">
        <f>IF('lead timeLNB'!AK37="","",'lead timeLNB'!AK37+8.5/24)</f>
        <v/>
      </c>
      <c r="L35" s="96" t="str">
        <f t="shared" si="4"/>
        <v/>
      </c>
      <c r="M35" s="71"/>
    </row>
    <row r="36" spans="1:13" x14ac:dyDescent="0.25">
      <c r="A36" s="18" t="s">
        <v>218</v>
      </c>
      <c r="B36" s="18">
        <v>30</v>
      </c>
      <c r="C36" s="100" t="str">
        <f t="shared" si="0"/>
        <v>J30</v>
      </c>
      <c r="D36" s="88">
        <f t="shared" ref="D36" si="29">IF(AND(ISODD($N$4),ISEVEN(B36)),E35+4/24,"")</f>
        <v>42230.654861111107</v>
      </c>
      <c r="E36" s="89">
        <f>'lead timeLNB'!U39+4/24</f>
        <v>42231.320833333331</v>
      </c>
      <c r="F36" s="90">
        <f>'lead timeLNB'!U40-1/24</f>
        <v>42231.716666666667</v>
      </c>
      <c r="G36" s="95">
        <f>IF('lead timeLNB'!AG38="","",'lead timeLNB'!AG38+5/24)</f>
        <v>42231.423611111117</v>
      </c>
      <c r="H36" s="96">
        <f t="shared" si="2"/>
        <v>42232.173611111117</v>
      </c>
      <c r="I36" s="97">
        <f>IF('lead timeLNB'!AH38="","",'lead timeLNB'!AH38+13/24)</f>
        <v>42232.074999999997</v>
      </c>
      <c r="J36" s="96">
        <f t="shared" si="3"/>
        <v>42232.408333333333</v>
      </c>
      <c r="K36" s="98">
        <f>IF('lead timeLNB'!AK38="","",'lead timeLNB'!AK38+8.5/24)</f>
        <v>42233.061111111107</v>
      </c>
      <c r="L36" s="96">
        <f t="shared" si="4"/>
        <v>42233.644444444442</v>
      </c>
      <c r="M36" s="71"/>
    </row>
    <row r="37" spans="1:13" x14ac:dyDescent="0.25">
      <c r="A37" s="18" t="s">
        <v>218</v>
      </c>
      <c r="B37" s="18">
        <v>31</v>
      </c>
      <c r="C37" s="100" t="str">
        <f t="shared" si="0"/>
        <v>J31</v>
      </c>
      <c r="D37" s="88" t="str">
        <f t="shared" ref="D37" si="30">IF(AND(ISEVEN($N$4),ISODD(B37)),E36+4/24,"")</f>
        <v/>
      </c>
      <c r="E37" s="89">
        <f>'lead timeLNB'!U40+4/24</f>
        <v>42231.924999999996</v>
      </c>
      <c r="F37" s="90">
        <f>'lead timeLNB'!U41-1/24</f>
        <v>42232.303472222222</v>
      </c>
      <c r="G37" s="95" t="str">
        <f>IF('lead timeLNB'!AG39="","",'lead timeLNB'!AG39+5/24)</f>
        <v/>
      </c>
      <c r="H37" s="96" t="str">
        <f t="shared" si="2"/>
        <v/>
      </c>
      <c r="I37" s="97" t="str">
        <f>IF('lead timeLNB'!AH39="","",'lead timeLNB'!AH39+13/24)</f>
        <v/>
      </c>
      <c r="J37" s="96" t="str">
        <f t="shared" si="3"/>
        <v/>
      </c>
      <c r="K37" s="98" t="str">
        <f>IF('lead timeLNB'!AK39="","",'lead timeLNB'!AK39+8.5/24)</f>
        <v/>
      </c>
      <c r="L37" s="96" t="str">
        <f t="shared" si="4"/>
        <v/>
      </c>
      <c r="M37" s="71"/>
    </row>
    <row r="38" spans="1:13" x14ac:dyDescent="0.25">
      <c r="A38" s="18" t="s">
        <v>218</v>
      </c>
      <c r="B38" s="18">
        <v>32</v>
      </c>
      <c r="C38" s="100" t="str">
        <f t="shared" si="0"/>
        <v>J32</v>
      </c>
      <c r="D38" s="88">
        <f t="shared" ref="D38" si="31">IF(AND(ISODD($N$4),ISEVEN(B38)),E37+4/24,"")</f>
        <v>42232.09166666666</v>
      </c>
      <c r="E38" s="89">
        <f>'lead timeLNB'!U41+4/24</f>
        <v>42232.51180555555</v>
      </c>
      <c r="F38" s="90">
        <f>'lead timeLNB'!U42-1/24</f>
        <v>42232.901388888895</v>
      </c>
      <c r="G38" s="95">
        <f>IF('lead timeLNB'!AG40="","",'lead timeLNB'!AG40+5/24)</f>
        <v>42232.715277777781</v>
      </c>
      <c r="H38" s="96">
        <f t="shared" si="2"/>
        <v>42233.465277777781</v>
      </c>
      <c r="I38" s="97">
        <f>IF('lead timeLNB'!AH40="","",'lead timeLNB'!AH40+13/24)</f>
        <v>42233.098611111105</v>
      </c>
      <c r="J38" s="96">
        <f t="shared" si="3"/>
        <v>42233.431944444441</v>
      </c>
      <c r="K38" s="98">
        <f>IF('lead timeLNB'!AK40="","",'lead timeLNB'!AK40+8.5/24)</f>
        <v>42234.197916666664</v>
      </c>
      <c r="L38" s="96">
        <f t="shared" si="4"/>
        <v>42234.78125</v>
      </c>
      <c r="M38" s="71"/>
    </row>
    <row r="39" spans="1:13" x14ac:dyDescent="0.25">
      <c r="A39" s="18" t="s">
        <v>218</v>
      </c>
      <c r="B39" s="18">
        <v>33</v>
      </c>
      <c r="C39" s="100" t="str">
        <f t="shared" si="0"/>
        <v>J33</v>
      </c>
      <c r="D39" s="88" t="str">
        <f t="shared" ref="D39" si="32">IF(AND(ISEVEN($N$4),ISODD(B39)),E38+4/24,"")</f>
        <v/>
      </c>
      <c r="E39" s="89">
        <f>'lead timeLNB'!U42+4/24</f>
        <v>42233.109722222223</v>
      </c>
      <c r="F39" s="90">
        <f>'lead timeLNB'!U43-1/24</f>
        <v>42233.566666666666</v>
      </c>
      <c r="G39" s="95" t="str">
        <f>IF('lead timeLNB'!AG41="","",'lead timeLNB'!AG41+5/24)</f>
        <v/>
      </c>
      <c r="H39" s="96" t="str">
        <f t="shared" si="2"/>
        <v/>
      </c>
      <c r="I39" s="97" t="str">
        <f>IF('lead timeLNB'!AH41="","",'lead timeLNB'!AH41+13/24)</f>
        <v/>
      </c>
      <c r="J39" s="96" t="str">
        <f t="shared" si="3"/>
        <v/>
      </c>
      <c r="K39" s="98" t="str">
        <f>IF('lead timeLNB'!AK41="","",'lead timeLNB'!AK41+8.5/24)</f>
        <v/>
      </c>
      <c r="L39" s="96" t="str">
        <f t="shared" si="4"/>
        <v/>
      </c>
      <c r="M39" s="71"/>
    </row>
    <row r="40" spans="1:13" x14ac:dyDescent="0.25">
      <c r="A40" s="18" t="s">
        <v>218</v>
      </c>
      <c r="B40" s="18">
        <v>34</v>
      </c>
      <c r="C40" s="100" t="str">
        <f t="shared" si="0"/>
        <v>J34</v>
      </c>
      <c r="D40" s="88">
        <f t="shared" ref="D40" si="33">IF(AND(ISODD($N$4),ISEVEN(B40)),E39+4/24,"")</f>
        <v>42233.276388888888</v>
      </c>
      <c r="E40" s="89">
        <f>'lead timeLNB'!U43+4/24</f>
        <v>42233.774999999994</v>
      </c>
      <c r="F40" s="90">
        <f>'lead timeLNB'!U44-1/24</f>
        <v>42234.213888888895</v>
      </c>
      <c r="G40" s="95">
        <f>IF('lead timeLNB'!AG42="","",'lead timeLNB'!AG42+5/24)</f>
        <v>42233.878472222226</v>
      </c>
      <c r="H40" s="96">
        <f t="shared" si="2"/>
        <v>42234.628472222226</v>
      </c>
      <c r="I40" s="97">
        <f>IF('lead timeLNB'!AH42="","",'lead timeLNB'!AH42+13/24)</f>
        <v>42234.318055555552</v>
      </c>
      <c r="J40" s="96">
        <f t="shared" si="3"/>
        <v>42234.651388888888</v>
      </c>
      <c r="K40" s="98">
        <f>IF('lead timeLNB'!AK42="","",'lead timeLNB'!AK42+8.5/24)</f>
        <v>42235.461111111108</v>
      </c>
      <c r="L40" s="96">
        <f t="shared" si="4"/>
        <v>42236.044444444444</v>
      </c>
      <c r="M40" s="71"/>
    </row>
    <row r="41" spans="1:13" x14ac:dyDescent="0.25">
      <c r="A41" s="18" t="s">
        <v>218</v>
      </c>
      <c r="B41" s="18">
        <v>35</v>
      </c>
      <c r="C41" s="100" t="str">
        <f t="shared" si="0"/>
        <v>J35</v>
      </c>
      <c r="D41" s="88" t="str">
        <f t="shared" ref="D41" si="34">IF(AND(ISEVEN($N$4),ISODD(B41)),E40+4/24,"")</f>
        <v/>
      </c>
      <c r="E41" s="89">
        <f>'lead timeLNB'!U44+4/24</f>
        <v>42234.422222222223</v>
      </c>
      <c r="F41" s="90">
        <f>'lead timeLNB'!U45-1/24</f>
        <v>42235.495833333334</v>
      </c>
      <c r="G41" s="95" t="str">
        <f>IF('lead timeLNB'!AG43="","",'lead timeLNB'!AG43+5/24)</f>
        <v/>
      </c>
      <c r="H41" s="96" t="str">
        <f t="shared" si="2"/>
        <v/>
      </c>
      <c r="I41" s="97" t="str">
        <f>IF('lead timeLNB'!AH43="","",'lead timeLNB'!AH43+13/24)</f>
        <v/>
      </c>
      <c r="J41" s="96" t="str">
        <f t="shared" si="3"/>
        <v/>
      </c>
      <c r="K41" s="98" t="str">
        <f>IF('lead timeLNB'!AK43="","",'lead timeLNB'!AK43+8.5/24)</f>
        <v/>
      </c>
      <c r="L41" s="96" t="str">
        <f t="shared" si="4"/>
        <v/>
      </c>
      <c r="M41" s="71"/>
    </row>
    <row r="42" spans="1:13" x14ac:dyDescent="0.25">
      <c r="A42" s="18" t="s">
        <v>218</v>
      </c>
      <c r="B42" s="18">
        <v>36</v>
      </c>
      <c r="C42" s="100" t="str">
        <f t="shared" si="0"/>
        <v>J36</v>
      </c>
      <c r="D42" s="88">
        <f t="shared" ref="D42" si="35">IF(AND(ISODD($N$4),ISEVEN(B42)),E41+4/24,"")</f>
        <v>42234.588888888888</v>
      </c>
      <c r="E42" s="89">
        <f>'lead timeLNB'!U45+4/24</f>
        <v>42235.704166666663</v>
      </c>
      <c r="F42" s="90">
        <f>'lead timeLNB'!U46-1/24</f>
        <v>42235.953472222223</v>
      </c>
      <c r="G42" s="95">
        <f>IF('lead timeLNB'!AG44="","",'lead timeLNB'!AG44+5/24)</f>
        <v>42235.196527777785</v>
      </c>
      <c r="H42" s="96">
        <f t="shared" si="2"/>
        <v>42235.946527777785</v>
      </c>
      <c r="I42" s="97">
        <f>IF('lead timeLNB'!AH44="","",'lead timeLNB'!AH44+13/24)</f>
        <v>42235.61319444445</v>
      </c>
      <c r="J42" s="96">
        <f t="shared" si="3"/>
        <v>42235.946527777785</v>
      </c>
      <c r="K42" s="98">
        <f>IF('lead timeLNB'!AK44="","",'lead timeLNB'!AK44+8.5/24)</f>
        <v>42236.762499999997</v>
      </c>
      <c r="L42" s="96">
        <f t="shared" si="4"/>
        <v>42237.345833333333</v>
      </c>
      <c r="M42" s="71"/>
    </row>
    <row r="43" spans="1:13" x14ac:dyDescent="0.25">
      <c r="A43" s="18" t="s">
        <v>218</v>
      </c>
      <c r="B43" s="18">
        <v>37</v>
      </c>
      <c r="C43" s="100" t="str">
        <f t="shared" si="0"/>
        <v>J37</v>
      </c>
      <c r="D43" s="88" t="str">
        <f t="shared" ref="D43" si="36">IF(AND(ISEVEN($N$4),ISODD(B43)),E42+4/24,"")</f>
        <v/>
      </c>
      <c r="E43" s="89">
        <f>'lead timeLNB'!U46+4/24</f>
        <v>42236.161805555552</v>
      </c>
      <c r="F43" s="90">
        <f>'lead timeLNB'!U47-1/24</f>
        <v>42236.395138888889</v>
      </c>
      <c r="G43" s="95" t="str">
        <f>IF('lead timeLNB'!AG45="","",'lead timeLNB'!AG45+5/24)</f>
        <v/>
      </c>
      <c r="H43" s="96" t="str">
        <f t="shared" si="2"/>
        <v/>
      </c>
      <c r="I43" s="97" t="str">
        <f>IF('lead timeLNB'!AH45="","",'lead timeLNB'!AH45+13/24)</f>
        <v/>
      </c>
      <c r="J43" s="96" t="str">
        <f t="shared" si="3"/>
        <v/>
      </c>
      <c r="K43" s="98" t="str">
        <f>IF('lead timeLNB'!AK45="","",'lead timeLNB'!AK45+8.5/24)</f>
        <v/>
      </c>
      <c r="L43" s="96" t="str">
        <f t="shared" si="4"/>
        <v/>
      </c>
      <c r="M43" s="71"/>
    </row>
    <row r="44" spans="1:13" x14ac:dyDescent="0.25">
      <c r="A44" s="18" t="s">
        <v>218</v>
      </c>
      <c r="B44" s="18">
        <v>38</v>
      </c>
      <c r="C44" s="100" t="str">
        <f t="shared" si="0"/>
        <v>J38</v>
      </c>
      <c r="D44" s="88">
        <f t="shared" ref="D44" si="37">IF(AND(ISODD($N$4),ISEVEN(B44)),E43+4/24,"")</f>
        <v>42236.328472222216</v>
      </c>
      <c r="E44" s="89">
        <f>'lead timeLNB'!U47+4/24</f>
        <v>42236.603472222218</v>
      </c>
      <c r="F44" s="90">
        <f>'lead timeLNB'!U48-1/24</f>
        <v>42237.176388888889</v>
      </c>
      <c r="G44" s="95">
        <f>IF('lead timeLNB'!AG46="","",'lead timeLNB'!AG46+5/24)</f>
        <v>42236.802777777782</v>
      </c>
      <c r="H44" s="96">
        <f t="shared" si="2"/>
        <v>42237.552777777782</v>
      </c>
      <c r="I44" s="97">
        <f>IF('lead timeLNB'!AH46="","",'lead timeLNB'!AH46+13/24)</f>
        <v>42237.271527777775</v>
      </c>
      <c r="J44" s="96">
        <f t="shared" si="3"/>
        <v>42237.604861111111</v>
      </c>
      <c r="K44" s="98">
        <f>IF('lead timeLNB'!AK46="","",'lead timeLNB'!AK46+8.5/24)</f>
        <v>42238.164583333331</v>
      </c>
      <c r="L44" s="96">
        <f t="shared" si="4"/>
        <v>42238.747916666667</v>
      </c>
      <c r="M44" s="71"/>
    </row>
    <row r="45" spans="1:13" x14ac:dyDescent="0.25">
      <c r="A45" s="18" t="s">
        <v>218</v>
      </c>
      <c r="B45" s="18">
        <v>39</v>
      </c>
      <c r="C45" s="100" t="str">
        <f t="shared" si="0"/>
        <v>J39</v>
      </c>
      <c r="D45" s="88" t="str">
        <f t="shared" ref="D45" si="38">IF(AND(ISEVEN($N$4),ISODD(B45)),E44+4/24,"")</f>
        <v/>
      </c>
      <c r="E45" s="89">
        <f>'lead timeLNB'!U48+4/24</f>
        <v>42237.384722222218</v>
      </c>
      <c r="F45" s="90">
        <f>'lead timeLNB'!U49-1/24</f>
        <v>42238.104861111111</v>
      </c>
      <c r="G45" s="95" t="str">
        <f>IF('lead timeLNB'!AG47="","",'lead timeLNB'!AG47+5/24)</f>
        <v/>
      </c>
      <c r="H45" s="96" t="str">
        <f t="shared" si="2"/>
        <v/>
      </c>
      <c r="I45" s="97" t="str">
        <f>IF('lead timeLNB'!AH47="","",'lead timeLNB'!AH47+13/24)</f>
        <v/>
      </c>
      <c r="J45" s="96" t="str">
        <f t="shared" si="3"/>
        <v/>
      </c>
      <c r="K45" s="98" t="str">
        <f>IF('lead timeLNB'!AK47="","",'lead timeLNB'!AK47+8.5/24)</f>
        <v/>
      </c>
      <c r="L45" s="96" t="str">
        <f t="shared" si="4"/>
        <v/>
      </c>
      <c r="M45" s="71"/>
    </row>
    <row r="46" spans="1:13" x14ac:dyDescent="0.25">
      <c r="A46" s="18" t="s">
        <v>218</v>
      </c>
      <c r="B46" s="18">
        <v>40</v>
      </c>
      <c r="C46" s="100" t="str">
        <f t="shared" si="0"/>
        <v>J40</v>
      </c>
      <c r="D46" s="88">
        <f t="shared" ref="D46" si="39">IF(AND(ISODD($N$4),ISEVEN(B46)),E45+4/24,"")</f>
        <v>42237.551388888882</v>
      </c>
      <c r="E46" s="89">
        <f>'lead timeLNB'!U49+4/24</f>
        <v>42238.313194444439</v>
      </c>
      <c r="F46" s="90">
        <f>'lead timeLNB'!U50-1/24</f>
        <v>42239.259722222225</v>
      </c>
      <c r="G46" s="95">
        <f>IF('lead timeLNB'!AG48="","",'lead timeLNB'!AG48+5/24)</f>
        <v>42238.20694444445</v>
      </c>
      <c r="H46" s="96">
        <f t="shared" si="2"/>
        <v>42238.95694444445</v>
      </c>
      <c r="I46" s="97">
        <f>IF('lead timeLNB'!AH48="","",'lead timeLNB'!AH48+13/24)</f>
        <v>42238.586111111108</v>
      </c>
      <c r="J46" s="96">
        <f t="shared" si="3"/>
        <v>42238.919444444444</v>
      </c>
      <c r="K46" s="98">
        <f>IF('lead timeLNB'!AK48="","",'lead timeLNB'!AK48+8.5/24)</f>
        <v>42239.472916666666</v>
      </c>
      <c r="L46" s="96">
        <f t="shared" si="4"/>
        <v>42240.056250000001</v>
      </c>
      <c r="M46" s="71"/>
    </row>
    <row r="47" spans="1:13" x14ac:dyDescent="0.25">
      <c r="A47" s="18" t="s">
        <v>218</v>
      </c>
      <c r="B47" s="18">
        <v>41</v>
      </c>
      <c r="C47" s="100" t="str">
        <f t="shared" si="0"/>
        <v>J41</v>
      </c>
      <c r="D47" s="88" t="str">
        <f t="shared" ref="D47" si="40">IF(AND(ISEVEN($N$4),ISODD(B47)),E46+4/24,"")</f>
        <v/>
      </c>
      <c r="E47" s="89">
        <f>'lead timeLNB'!U50+4/24</f>
        <v>42239.468055555553</v>
      </c>
      <c r="F47" s="90">
        <f>'lead timeLNB'!U51-1/24</f>
        <v>42240.154861111114</v>
      </c>
      <c r="G47" s="95" t="str">
        <f>IF('lead timeLNB'!AG49="","",'lead timeLNB'!AG49+5/24)</f>
        <v/>
      </c>
      <c r="H47" s="96" t="str">
        <f t="shared" si="2"/>
        <v/>
      </c>
      <c r="I47" s="97" t="str">
        <f>IF('lead timeLNB'!AH49="","",'lead timeLNB'!AH49+13/24)</f>
        <v/>
      </c>
      <c r="J47" s="96" t="str">
        <f t="shared" si="3"/>
        <v/>
      </c>
      <c r="K47" s="98" t="str">
        <f>IF('lead timeLNB'!AK49="","",'lead timeLNB'!AK49+8.5/24)</f>
        <v/>
      </c>
      <c r="L47" s="96" t="str">
        <f t="shared" si="4"/>
        <v/>
      </c>
      <c r="M47" s="71"/>
    </row>
    <row r="48" spans="1:13" x14ac:dyDescent="0.25">
      <c r="A48" s="18" t="s">
        <v>218</v>
      </c>
      <c r="B48" s="18">
        <v>42</v>
      </c>
      <c r="C48" s="100" t="str">
        <f t="shared" si="0"/>
        <v>J42</v>
      </c>
      <c r="D48" s="88">
        <f t="shared" ref="D48" si="41">IF(AND(ISODD($N$4),ISEVEN(B48)),E47+4/24,"")</f>
        <v>42239.634722222218</v>
      </c>
      <c r="E48" s="89">
        <f>'lead timeLNB'!U51+4/24</f>
        <v>42240.363194444442</v>
      </c>
      <c r="F48" s="90">
        <f>'lead timeLNB'!U52-1/24</f>
        <v>42241.039583333339</v>
      </c>
      <c r="G48" s="95">
        <f>IF('lead timeLNB'!AG50="","",'lead timeLNB'!AG50+5/24)</f>
        <v>42240.306944444448</v>
      </c>
      <c r="H48" s="96">
        <f t="shared" si="2"/>
        <v>42241.056944444448</v>
      </c>
      <c r="I48" s="97">
        <f>IF('lead timeLNB'!AH50="","",'lead timeLNB'!AH50+13/24)</f>
        <v>42240.706944444442</v>
      </c>
      <c r="J48" s="96">
        <f t="shared" si="3"/>
        <v>42241.040277777778</v>
      </c>
      <c r="K48" s="98">
        <f>IF('lead timeLNB'!AK50="","",'lead timeLNB'!AK50+8.5/24)</f>
        <v>42241.646527777775</v>
      </c>
      <c r="L48" s="96">
        <f t="shared" si="4"/>
        <v>42242.229861111111</v>
      </c>
      <c r="M48" s="71"/>
    </row>
    <row r="49" spans="1:13" x14ac:dyDescent="0.25">
      <c r="A49" s="18" t="s">
        <v>218</v>
      </c>
      <c r="B49" s="18">
        <v>43</v>
      </c>
      <c r="C49" s="100" t="str">
        <f t="shared" si="0"/>
        <v>J43</v>
      </c>
      <c r="D49" s="88" t="str">
        <f t="shared" ref="D49" si="42">IF(AND(ISEVEN($N$4),ISODD(B49)),E48+4/24,"")</f>
        <v/>
      </c>
      <c r="E49" s="89">
        <f>'lead timeLNB'!U52+4/24</f>
        <v>42241.247916666667</v>
      </c>
      <c r="F49" s="90">
        <f>'lead timeLNB'!U53-1/24</f>
        <v>42241.970833333333</v>
      </c>
      <c r="G49" s="95" t="str">
        <f>IF('lead timeLNB'!AG51="","",'lead timeLNB'!AG51+5/24)</f>
        <v/>
      </c>
      <c r="H49" s="96" t="str">
        <f t="shared" si="2"/>
        <v/>
      </c>
      <c r="I49" s="97" t="str">
        <f>IF('lead timeLNB'!AH51="","",'lead timeLNB'!AH51+13/24)</f>
        <v/>
      </c>
      <c r="J49" s="96" t="str">
        <f t="shared" si="3"/>
        <v/>
      </c>
      <c r="K49" s="98" t="str">
        <f>IF('lead timeLNB'!AK51="","",'lead timeLNB'!AK51+8.5/24)</f>
        <v/>
      </c>
      <c r="L49" s="96" t="str">
        <f t="shared" si="4"/>
        <v/>
      </c>
      <c r="M49" s="71"/>
    </row>
    <row r="50" spans="1:13" x14ac:dyDescent="0.25">
      <c r="A50" s="18" t="s">
        <v>218</v>
      </c>
      <c r="B50" s="18">
        <v>44</v>
      </c>
      <c r="C50" s="100" t="str">
        <f t="shared" si="0"/>
        <v>J44</v>
      </c>
      <c r="D50" s="88">
        <f t="shared" ref="D50" si="43">IF(AND(ISODD($N$4),ISEVEN(B50)),E49+4/24,"")</f>
        <v>42241.414583333331</v>
      </c>
      <c r="E50" s="89">
        <f>'lead timeLNB'!U53+4/24</f>
        <v>42242.179166666661</v>
      </c>
      <c r="F50" s="90">
        <f>'lead timeLNB'!U54-1/24</f>
        <v>42242.965277777781</v>
      </c>
      <c r="G50" s="95">
        <f>IF('lead timeLNB'!AG52="","",'lead timeLNB'!AG52+5/24)</f>
        <v>42242.118055555555</v>
      </c>
      <c r="H50" s="96">
        <f t="shared" si="2"/>
        <v>42242.868055555555</v>
      </c>
      <c r="I50" s="97">
        <f>IF('lead timeLNB'!AH52="","",'lead timeLNB'!AH52+13/24)</f>
        <v>42242.549999999996</v>
      </c>
      <c r="J50" s="96">
        <f t="shared" si="3"/>
        <v>42242.883333333331</v>
      </c>
      <c r="K50" s="98">
        <f>IF('lead timeLNB'!AK52="","",'lead timeLNB'!AK52+8.5/24)</f>
        <v>42243.503472222219</v>
      </c>
      <c r="L50" s="96">
        <f t="shared" si="4"/>
        <v>42244.086805555555</v>
      </c>
      <c r="M50" s="71"/>
    </row>
    <row r="51" spans="1:13" x14ac:dyDescent="0.25">
      <c r="A51" s="18" t="s">
        <v>218</v>
      </c>
      <c r="B51" s="18">
        <v>45</v>
      </c>
      <c r="C51" s="100" t="str">
        <f t="shared" si="0"/>
        <v>J45</v>
      </c>
      <c r="D51" s="88" t="str">
        <f t="shared" ref="D51" si="44">IF(AND(ISEVEN($N$4),ISODD(B51)),E50+4/24,"")</f>
        <v/>
      </c>
      <c r="E51" s="89">
        <f>'lead timeLNB'!U54+4/24</f>
        <v>42243.173611111109</v>
      </c>
      <c r="F51" s="90">
        <f>'lead timeLNB'!U55-1/24</f>
        <v>42243.819444444445</v>
      </c>
      <c r="G51" s="95" t="str">
        <f>IF('lead timeLNB'!AG53="","",'lead timeLNB'!AG53+5/24)</f>
        <v/>
      </c>
      <c r="H51" s="96" t="str">
        <f t="shared" si="2"/>
        <v/>
      </c>
      <c r="I51" s="97" t="str">
        <f>IF('lead timeLNB'!AH53="","",'lead timeLNB'!AH53+13/24)</f>
        <v/>
      </c>
      <c r="J51" s="96" t="str">
        <f t="shared" si="3"/>
        <v/>
      </c>
      <c r="K51" s="98" t="str">
        <f>IF('lead timeLNB'!AK53="","",'lead timeLNB'!AK53+8.5/24)</f>
        <v/>
      </c>
      <c r="L51" s="96" t="str">
        <f t="shared" si="4"/>
        <v/>
      </c>
      <c r="M51" s="71"/>
    </row>
    <row r="52" spans="1:13" x14ac:dyDescent="0.25">
      <c r="A52" s="18" t="s">
        <v>218</v>
      </c>
      <c r="B52" s="18">
        <v>46</v>
      </c>
      <c r="C52" s="100" t="str">
        <f t="shared" si="0"/>
        <v>J46</v>
      </c>
      <c r="D52" s="88">
        <f t="shared" ref="D52" si="45">IF(AND(ISODD($N$4),ISEVEN(B52)),E51+4/24,"")</f>
        <v>42243.340277777774</v>
      </c>
      <c r="E52" s="89">
        <f>'lead timeLNB'!U55+4/24</f>
        <v>42244.027777777774</v>
      </c>
      <c r="F52" s="90">
        <f>'lead timeLNB'!U56-1/24</f>
        <v>42244.423611111117</v>
      </c>
      <c r="G52" s="95">
        <f>IF('lead timeLNB'!AG54="","",'lead timeLNB'!AG54+5/24)</f>
        <v>42244.004166666666</v>
      </c>
      <c r="H52" s="96">
        <f t="shared" si="2"/>
        <v>42244.754166666666</v>
      </c>
      <c r="I52" s="97">
        <f>IF('lead timeLNB'!AH54="","",'lead timeLNB'!AH54+13/24)</f>
        <v>42244.38958333333</v>
      </c>
      <c r="J52" s="96">
        <f t="shared" si="3"/>
        <v>42244.722916666666</v>
      </c>
      <c r="K52" s="98">
        <f>IF('lead timeLNB'!AK54="","",'lead timeLNB'!AK54+8.5/24)</f>
        <v>42245.431249999994</v>
      </c>
      <c r="L52" s="96">
        <f t="shared" si="4"/>
        <v>42246.01458333333</v>
      </c>
      <c r="M52" s="71"/>
    </row>
    <row r="53" spans="1:13" x14ac:dyDescent="0.25">
      <c r="A53" s="18" t="s">
        <v>218</v>
      </c>
      <c r="B53" s="18">
        <v>47</v>
      </c>
      <c r="C53" s="100" t="str">
        <f t="shared" si="0"/>
        <v>J47</v>
      </c>
      <c r="D53" s="88" t="str">
        <f t="shared" ref="D53" si="46">IF(AND(ISEVEN($N$4),ISODD(B53)),E52+4/24,"")</f>
        <v/>
      </c>
      <c r="E53" s="89">
        <f>'lead timeLNB'!U56+4/24</f>
        <v>42244.631944444445</v>
      </c>
      <c r="F53" s="90">
        <f>'lead timeLNB'!U57-1/24</f>
        <v>42245.000694444447</v>
      </c>
      <c r="G53" s="95" t="str">
        <f>IF('lead timeLNB'!AG55="","",'lead timeLNB'!AG55+5/24)</f>
        <v/>
      </c>
      <c r="H53" s="96" t="str">
        <f t="shared" si="2"/>
        <v/>
      </c>
      <c r="I53" s="97" t="str">
        <f>IF('lead timeLNB'!AH55="","",'lead timeLNB'!AH55+13/24)</f>
        <v/>
      </c>
      <c r="J53" s="96" t="str">
        <f t="shared" si="3"/>
        <v/>
      </c>
      <c r="K53" s="98" t="str">
        <f>IF('lead timeLNB'!AK55="","",'lead timeLNB'!AK55+8.5/24)</f>
        <v/>
      </c>
      <c r="L53" s="96" t="str">
        <f t="shared" si="4"/>
        <v/>
      </c>
      <c r="M53" s="71"/>
    </row>
    <row r="54" spans="1:13" x14ac:dyDescent="0.25">
      <c r="A54" s="18" t="s">
        <v>218</v>
      </c>
      <c r="B54" s="18">
        <v>48</v>
      </c>
      <c r="C54" s="100" t="str">
        <f t="shared" si="0"/>
        <v>J48</v>
      </c>
      <c r="D54" s="88">
        <f t="shared" ref="D54" si="47">IF(AND(ISODD($N$4),ISEVEN(B54)),E53+4/24,"")</f>
        <v>42244.798611111109</v>
      </c>
      <c r="E54" s="89">
        <f>'lead timeLNB'!U57+4/24</f>
        <v>42245.209027777775</v>
      </c>
      <c r="F54" s="90">
        <f>'lead timeLNB'!U58-1/24</f>
        <v>42245.611111111117</v>
      </c>
      <c r="G54" s="95">
        <f>IF('lead timeLNB'!AG56="","",'lead timeLNB'!AG56+5/24)</f>
        <v>42245.441666666666</v>
      </c>
      <c r="H54" s="96">
        <f t="shared" si="2"/>
        <v>42246.191666666666</v>
      </c>
      <c r="I54" s="97">
        <f>IF('lead timeLNB'!AH56="","",'lead timeLNB'!AH56+13/24)</f>
        <v>42245.852083333331</v>
      </c>
      <c r="J54" s="96">
        <f t="shared" si="3"/>
        <v>42246.185416666667</v>
      </c>
      <c r="K54" s="98">
        <f>IF('lead timeLNB'!AK56="","",'lead timeLNB'!AK56+8.5/24)</f>
        <v>42246.893749999996</v>
      </c>
      <c r="L54" s="96">
        <f t="shared" si="4"/>
        <v>42247.477083333331</v>
      </c>
      <c r="M54" s="71"/>
    </row>
    <row r="55" spans="1:13" x14ac:dyDescent="0.25">
      <c r="A55" s="18" t="s">
        <v>218</v>
      </c>
      <c r="B55" s="18">
        <v>49</v>
      </c>
      <c r="C55" s="100" t="str">
        <f t="shared" si="0"/>
        <v>J49</v>
      </c>
      <c r="D55" s="88" t="str">
        <f t="shared" ref="D55" si="48">IF(AND(ISEVEN($N$4),ISODD(B55)),E54+4/24,"")</f>
        <v/>
      </c>
      <c r="E55" s="89">
        <f>'lead timeLNB'!U58+4/24</f>
        <v>42245.819444444445</v>
      </c>
      <c r="F55" s="90">
        <f>'lead timeLNB'!U59-1/24</f>
        <v>42246.246527777781</v>
      </c>
      <c r="G55" s="95" t="str">
        <f>IF('lead timeLNB'!AG57="","",'lead timeLNB'!AG57+5/24)</f>
        <v/>
      </c>
      <c r="H55" s="96" t="str">
        <f t="shared" si="2"/>
        <v/>
      </c>
      <c r="I55" s="97" t="str">
        <f>IF('lead timeLNB'!AH57="","",'lead timeLNB'!AH57+13/24)</f>
        <v/>
      </c>
      <c r="J55" s="96" t="str">
        <f t="shared" si="3"/>
        <v/>
      </c>
      <c r="K55" s="98" t="str">
        <f>IF('lead timeLNB'!AK57="","",'lead timeLNB'!AK57+8.5/24)</f>
        <v/>
      </c>
      <c r="L55" s="96" t="str">
        <f t="shared" si="4"/>
        <v/>
      </c>
      <c r="M55" s="71"/>
    </row>
    <row r="56" spans="1:13" x14ac:dyDescent="0.25">
      <c r="A56" s="18" t="s">
        <v>218</v>
      </c>
      <c r="B56" s="18">
        <v>50</v>
      </c>
      <c r="C56" s="100" t="str">
        <f t="shared" si="0"/>
        <v>J50</v>
      </c>
      <c r="D56" s="88">
        <f t="shared" ref="D56" si="49">IF(AND(ISODD($N$4),ISEVEN(B56)),E55+4/24,"")</f>
        <v>42245.986111111109</v>
      </c>
      <c r="E56" s="89">
        <f>'lead timeLNB'!U59+4/24</f>
        <v>42246.454861111109</v>
      </c>
      <c r="F56" s="90">
        <f>'lead timeLNB'!U60-1/24</f>
        <v>42246.849305555559</v>
      </c>
      <c r="G56" s="95">
        <f>IF('lead timeLNB'!AG58="","",'lead timeLNB'!AG58+5/24)</f>
        <v>42246.647222222222</v>
      </c>
      <c r="H56" s="96">
        <f t="shared" si="2"/>
        <v>42247.397222222222</v>
      </c>
      <c r="I56" s="97">
        <f>IF('lead timeLNB'!AH58="","",'lead timeLNB'!AH58+13/24)</f>
        <v>42247.038194444445</v>
      </c>
      <c r="J56" s="96">
        <f t="shared" si="3"/>
        <v>42247.371527777781</v>
      </c>
      <c r="K56" s="98">
        <f>IF('lead timeLNB'!AK58="","",'lead timeLNB'!AK58+8.5/24)</f>
        <v>42248.131944444445</v>
      </c>
      <c r="L56" s="96">
        <f t="shared" si="4"/>
        <v>42248.715277777781</v>
      </c>
      <c r="M56" s="71"/>
    </row>
    <row r="57" spans="1:13" x14ac:dyDescent="0.25">
      <c r="A57" s="18" t="s">
        <v>218</v>
      </c>
      <c r="B57" s="18">
        <v>51</v>
      </c>
      <c r="C57" s="100" t="str">
        <f t="shared" si="0"/>
        <v>J51</v>
      </c>
      <c r="D57" s="88" t="str">
        <f t="shared" ref="D57" si="50">IF(AND(ISEVEN($N$4),ISODD(B57)),E56+4/24,"")</f>
        <v/>
      </c>
      <c r="E57" s="89">
        <f>'lead timeLNB'!U60+4/24</f>
        <v>42247.057638888888</v>
      </c>
      <c r="F57" s="90">
        <f>'lead timeLNB'!U61-1/24</f>
        <v>42247.509027777778</v>
      </c>
      <c r="G57" s="95" t="str">
        <f>IF('lead timeLNB'!AG59="","",'lead timeLNB'!AG59+5/24)</f>
        <v/>
      </c>
      <c r="H57" s="96" t="str">
        <f t="shared" si="2"/>
        <v/>
      </c>
      <c r="I57" s="97" t="str">
        <f>IF('lead timeLNB'!AH59="","",'lead timeLNB'!AH59+13/24)</f>
        <v/>
      </c>
      <c r="J57" s="96" t="str">
        <f t="shared" si="3"/>
        <v/>
      </c>
      <c r="K57" s="98" t="str">
        <f>IF('lead timeLNB'!AK59="","",'lead timeLNB'!AK59+8.5/24)</f>
        <v/>
      </c>
      <c r="L57" s="96" t="str">
        <f t="shared" si="4"/>
        <v/>
      </c>
      <c r="M57" s="71"/>
    </row>
    <row r="58" spans="1:13" x14ac:dyDescent="0.25">
      <c r="A58" s="18" t="s">
        <v>218</v>
      </c>
      <c r="B58" s="18">
        <v>52</v>
      </c>
      <c r="C58" s="100" t="str">
        <f t="shared" si="0"/>
        <v>J52</v>
      </c>
      <c r="D58" s="88">
        <f t="shared" ref="D58" si="51">IF(AND(ISODD($N$4),ISEVEN(B58)),E57+4/24,"")</f>
        <v>42247.224305555552</v>
      </c>
      <c r="E58" s="89">
        <f>'lead timeLNB'!U61+4/24</f>
        <v>42247.717361111107</v>
      </c>
      <c r="F58" s="90">
        <f>'lead timeLNB'!U62-1/24</f>
        <v>42248.118055555555</v>
      </c>
      <c r="G58" s="95">
        <f>IF('lead timeLNB'!AG60="","",'lead timeLNB'!AG60+5/24)</f>
        <v>42247.939583333333</v>
      </c>
      <c r="H58" s="96">
        <f t="shared" si="2"/>
        <v>42248.689583333333</v>
      </c>
      <c r="I58" s="97">
        <f>IF('lead timeLNB'!AH60="","",'lead timeLNB'!AH60+13/24)</f>
        <v>42248.371527777774</v>
      </c>
      <c r="J58" s="96">
        <f t="shared" si="3"/>
        <v>42248.704861111109</v>
      </c>
      <c r="K58" s="98">
        <f>IF('lead timeLNB'!AK60="","",'lead timeLNB'!AK60+8.5/24)</f>
        <v>42249.397916666661</v>
      </c>
      <c r="L58" s="96">
        <f t="shared" si="4"/>
        <v>42249.981249999997</v>
      </c>
      <c r="M58" s="71"/>
    </row>
    <row r="59" spans="1:13" x14ac:dyDescent="0.25">
      <c r="A59" s="18" t="s">
        <v>218</v>
      </c>
      <c r="B59" s="18">
        <v>53</v>
      </c>
      <c r="C59" s="100" t="str">
        <f t="shared" si="0"/>
        <v>J53</v>
      </c>
      <c r="D59" s="88" t="str">
        <f t="shared" ref="D59" si="52">IF(AND(ISEVEN($N$4),ISODD(B59)),E58+4/24,"")</f>
        <v/>
      </c>
      <c r="E59" s="89">
        <f>'lead timeLNB'!U62+4/24</f>
        <v>42248.326388888883</v>
      </c>
      <c r="F59" s="90">
        <f>'lead timeLNB'!U63-1/24</f>
        <v>42248.712500000001</v>
      </c>
      <c r="G59" s="95" t="str">
        <f>IF('lead timeLNB'!AG61="","",'lead timeLNB'!AG61+5/24)</f>
        <v/>
      </c>
      <c r="H59" s="96" t="str">
        <f t="shared" si="2"/>
        <v/>
      </c>
      <c r="I59" s="97" t="str">
        <f>IF('lead timeLNB'!AH61="","",'lead timeLNB'!AH61+13/24)</f>
        <v/>
      </c>
      <c r="J59" s="96" t="str">
        <f t="shared" si="3"/>
        <v/>
      </c>
      <c r="K59" s="98" t="str">
        <f>IF('lead timeLNB'!AK61="","",'lead timeLNB'!AK61+8.5/24)</f>
        <v/>
      </c>
      <c r="L59" s="96" t="str">
        <f t="shared" si="4"/>
        <v/>
      </c>
      <c r="M59" s="71"/>
    </row>
    <row r="60" spans="1:13" x14ac:dyDescent="0.25">
      <c r="A60" s="18" t="s">
        <v>218</v>
      </c>
      <c r="B60" s="18">
        <v>54</v>
      </c>
      <c r="C60" s="100" t="str">
        <f t="shared" si="0"/>
        <v>J54</v>
      </c>
      <c r="D60" s="88">
        <f t="shared" ref="D60" si="53">IF(AND(ISODD($N$4),ISEVEN(B60)),E59+4/24,"")</f>
        <v>42248.493055555547</v>
      </c>
      <c r="E60" s="89">
        <f>'lead timeLNB'!U63+4/24</f>
        <v>42248.92083333333</v>
      </c>
      <c r="F60" s="90">
        <f>'lead timeLNB'!U64-1/24</f>
        <v>42249.348611111112</v>
      </c>
      <c r="G60" s="95">
        <f>IF('lead timeLNB'!AG62="","",'lead timeLNB'!AG62+5/24)</f>
        <v>42249.118055555555</v>
      </c>
      <c r="H60" s="96">
        <f t="shared" si="2"/>
        <v>42249.868055555555</v>
      </c>
      <c r="I60" s="97">
        <f>IF('lead timeLNB'!AH62="","",'lead timeLNB'!AH62+13/24)</f>
        <v>42249.540972222218</v>
      </c>
      <c r="J60" s="96">
        <f t="shared" si="3"/>
        <v>42249.874305555553</v>
      </c>
      <c r="K60" s="98">
        <f>IF('lead timeLNB'!AK62="","",'lead timeLNB'!AK62+8.5/24)</f>
        <v>42250.534027777772</v>
      </c>
      <c r="L60" s="96">
        <f t="shared" si="4"/>
        <v>42251.117361111108</v>
      </c>
      <c r="M60" s="71"/>
    </row>
    <row r="61" spans="1:13" x14ac:dyDescent="0.25">
      <c r="A61" s="18" t="s">
        <v>218</v>
      </c>
      <c r="B61" s="18">
        <v>55</v>
      </c>
      <c r="C61" s="100" t="str">
        <f t="shared" si="0"/>
        <v>J55</v>
      </c>
      <c r="D61" s="88" t="str">
        <f t="shared" ref="D61" si="54">IF(AND(ISEVEN($N$4),ISODD(B61)),E60+4/24,"")</f>
        <v/>
      </c>
      <c r="E61" s="89">
        <f>'lead timeLNB'!U64+4/24</f>
        <v>42249.556944444441</v>
      </c>
      <c r="F61" s="90">
        <f>'lead timeLNB'!U65-1/24</f>
        <v>42250.23819444445</v>
      </c>
      <c r="G61" s="95" t="str">
        <f>IF('lead timeLNB'!AG63="","",'lead timeLNB'!AG63+5/24)</f>
        <v/>
      </c>
      <c r="H61" s="96" t="str">
        <f t="shared" si="2"/>
        <v/>
      </c>
      <c r="I61" s="97" t="str">
        <f>IF('lead timeLNB'!AH63="","",'lead timeLNB'!AH63+13/24)</f>
        <v/>
      </c>
      <c r="J61" s="96" t="str">
        <f t="shared" si="3"/>
        <v/>
      </c>
      <c r="K61" s="98" t="str">
        <f>IF('lead timeLNB'!AK63="","",'lead timeLNB'!AK63+8.5/24)</f>
        <v/>
      </c>
      <c r="L61" s="96" t="str">
        <f t="shared" si="4"/>
        <v/>
      </c>
      <c r="M61" s="71"/>
    </row>
    <row r="62" spans="1:13" x14ac:dyDescent="0.25">
      <c r="A62" s="18" t="s">
        <v>218</v>
      </c>
      <c r="B62" s="18">
        <v>56</v>
      </c>
      <c r="C62" s="100" t="str">
        <f t="shared" si="0"/>
        <v>J56</v>
      </c>
      <c r="D62" s="88">
        <f t="shared" ref="D62" si="55">IF(AND(ISODD($N$4),ISEVEN(B62)),E61+4/24,"")</f>
        <v>42249.723611111105</v>
      </c>
      <c r="E62" s="89">
        <f>'lead timeLNB'!U65+4/24</f>
        <v>42250.446527777778</v>
      </c>
      <c r="F62" s="90">
        <f>'lead timeLNB'!U66-1/24</f>
        <v>42250.834027777782</v>
      </c>
      <c r="G62" s="95">
        <f>IF('lead timeLNB'!AG64="","",'lead timeLNB'!AG64+5/24)</f>
        <v>42250.355555555558</v>
      </c>
      <c r="H62" s="96">
        <f t="shared" si="2"/>
        <v>42251.105555555558</v>
      </c>
      <c r="I62" s="97">
        <f>IF('lead timeLNB'!AH64="","",'lead timeLNB'!AH64+13/24)</f>
        <v>42250.754166666666</v>
      </c>
      <c r="J62" s="96">
        <f t="shared" si="3"/>
        <v>42251.087500000001</v>
      </c>
      <c r="K62" s="98">
        <f>IF('lead timeLNB'!AK64="","",'lead timeLNB'!AK64+8.5/24)</f>
        <v>42251.9375</v>
      </c>
      <c r="L62" s="96">
        <f t="shared" si="4"/>
        <v>42252.520833333336</v>
      </c>
      <c r="M62" s="71"/>
    </row>
    <row r="63" spans="1:13" x14ac:dyDescent="0.25">
      <c r="A63" s="18" t="s">
        <v>218</v>
      </c>
      <c r="B63" s="18">
        <v>57</v>
      </c>
      <c r="C63" s="100" t="str">
        <f t="shared" si="0"/>
        <v>J57</v>
      </c>
      <c r="D63" s="88" t="str">
        <f t="shared" ref="D63" si="56">IF(AND(ISEVEN($N$4),ISODD(B63)),E62+4/24,"")</f>
        <v/>
      </c>
      <c r="E63" s="89">
        <f>'lead timeLNB'!U66+4/24</f>
        <v>42251.042361111111</v>
      </c>
      <c r="F63" s="90">
        <f>'lead timeLNB'!U67-1/24</f>
        <v>42251.438888888893</v>
      </c>
      <c r="G63" s="95" t="str">
        <f>IF('lead timeLNB'!AG65="","",'lead timeLNB'!AG65+5/24)</f>
        <v/>
      </c>
      <c r="H63" s="96" t="str">
        <f t="shared" si="2"/>
        <v/>
      </c>
      <c r="I63" s="97" t="str">
        <f>IF('lead timeLNB'!AH65="","",'lead timeLNB'!AH65+13/24)</f>
        <v/>
      </c>
      <c r="J63" s="96" t="str">
        <f t="shared" si="3"/>
        <v/>
      </c>
      <c r="K63" s="98" t="str">
        <f>IF('lead timeLNB'!AK65="","",'lead timeLNB'!AK65+8.5/24)</f>
        <v/>
      </c>
      <c r="L63" s="96" t="str">
        <f t="shared" si="4"/>
        <v/>
      </c>
      <c r="M63" s="71"/>
    </row>
    <row r="64" spans="1:13" x14ac:dyDescent="0.25">
      <c r="A64" s="18" t="s">
        <v>218</v>
      </c>
      <c r="B64" s="18">
        <v>58</v>
      </c>
      <c r="C64" s="100" t="str">
        <f t="shared" si="0"/>
        <v>J58</v>
      </c>
      <c r="D64" s="88">
        <f t="shared" ref="D64" si="57">IF(AND(ISODD($N$4),ISEVEN(B64)),E63+4/24,"")</f>
        <v>42251.209027777775</v>
      </c>
      <c r="E64" s="89">
        <f>'lead timeLNB'!U67+4/24</f>
        <v>42251.647222222222</v>
      </c>
      <c r="F64" s="90">
        <f>'lead timeLNB'!U68-1/24</f>
        <v>42252.020138888889</v>
      </c>
      <c r="G64" s="95">
        <f>IF('lead timeLNB'!AG66="","",'lead timeLNB'!AG66+5/24)</f>
        <v>42251.872916666667</v>
      </c>
      <c r="H64" s="96">
        <f t="shared" si="2"/>
        <v>42252.622916666667</v>
      </c>
      <c r="I64" s="97">
        <f>IF('lead timeLNB'!AH66="","",'lead timeLNB'!AH66+13/24)</f>
        <v>42252.280555555553</v>
      </c>
      <c r="J64" s="96">
        <f t="shared" si="3"/>
        <v>42252.613888888889</v>
      </c>
      <c r="K64" s="98">
        <f>IF('lead timeLNB'!AK66="","",'lead timeLNB'!AK66+8.5/24)</f>
        <v>42253.259722222218</v>
      </c>
      <c r="L64" s="96">
        <f t="shared" si="4"/>
        <v>42253.843055555553</v>
      </c>
      <c r="M64" s="71"/>
    </row>
    <row r="65" spans="1:13" x14ac:dyDescent="0.25">
      <c r="A65" s="18" t="s">
        <v>218</v>
      </c>
      <c r="B65" s="18">
        <v>59</v>
      </c>
      <c r="C65" s="100" t="str">
        <f t="shared" si="0"/>
        <v>J59</v>
      </c>
      <c r="D65" s="88" t="str">
        <f t="shared" ref="D65" si="58">IF(AND(ISEVEN($N$4),ISODD(B65)),E64+4/24,"")</f>
        <v/>
      </c>
      <c r="E65" s="89">
        <f>'lead timeLNB'!U68+4/24</f>
        <v>42252.228472222218</v>
      </c>
      <c r="F65" s="90">
        <f>'lead timeLNB'!U69-1/24</f>
        <v>42252.523611111115</v>
      </c>
      <c r="G65" s="95" t="str">
        <f>IF('lead timeLNB'!AG67="","",'lead timeLNB'!AG67+5/24)</f>
        <v/>
      </c>
      <c r="H65" s="96" t="str">
        <f t="shared" si="2"/>
        <v/>
      </c>
      <c r="I65" s="97" t="str">
        <f>IF('lead timeLNB'!AH67="","",'lead timeLNB'!AH67+13/24)</f>
        <v/>
      </c>
      <c r="J65" s="96" t="str">
        <f t="shared" si="3"/>
        <v/>
      </c>
      <c r="K65" s="98" t="str">
        <f>IF('lead timeLNB'!AK67="","",'lead timeLNB'!AK67+8.5/24)</f>
        <v/>
      </c>
      <c r="L65" s="96" t="str">
        <f t="shared" si="4"/>
        <v/>
      </c>
      <c r="M65" s="71"/>
    </row>
    <row r="66" spans="1:13" x14ac:dyDescent="0.25">
      <c r="A66" s="18" t="s">
        <v>218</v>
      </c>
      <c r="B66" s="18">
        <v>60</v>
      </c>
      <c r="C66" s="100" t="str">
        <f t="shared" si="0"/>
        <v>J60</v>
      </c>
      <c r="D66" s="88">
        <f t="shared" ref="D66" si="59">IF(AND(ISODD($N$4),ISEVEN(B66)),E65+4/24,"")</f>
        <v>42252.395138888882</v>
      </c>
      <c r="E66" s="89">
        <f>'lead timeLNB'!U69+4/24</f>
        <v>42252.731944444444</v>
      </c>
      <c r="F66" s="90">
        <f>'lead timeLNB'!U70-1/24</f>
        <v>42253.131250000006</v>
      </c>
      <c r="G66" s="95">
        <f>IF('lead timeLNB'!AG68="","",'lead timeLNB'!AG68+5/24)</f>
        <v>42252.898611111115</v>
      </c>
      <c r="H66" s="96">
        <f t="shared" si="2"/>
        <v>42253.648611111115</v>
      </c>
      <c r="I66" s="97">
        <f>IF('lead timeLNB'!AH68="","",'lead timeLNB'!AH68+13/24)</f>
        <v>42253.31527777778</v>
      </c>
      <c r="J66" s="96">
        <f t="shared" si="3"/>
        <v>42253.648611111115</v>
      </c>
      <c r="K66" s="98">
        <f>IF('lead timeLNB'!AK68="","",'lead timeLNB'!AK68+8.5/24)</f>
        <v>42254.468055555553</v>
      </c>
      <c r="L66" s="96">
        <f t="shared" si="4"/>
        <v>42255.051388888889</v>
      </c>
      <c r="M66" s="71"/>
    </row>
    <row r="67" spans="1:13" x14ac:dyDescent="0.25">
      <c r="A67" s="18" t="s">
        <v>218</v>
      </c>
      <c r="B67" s="18">
        <v>61</v>
      </c>
      <c r="C67" s="100" t="str">
        <f t="shared" si="0"/>
        <v>J61</v>
      </c>
      <c r="D67" s="88" t="str">
        <f t="shared" ref="D67" si="60">IF(AND(ISEVEN($N$4),ISODD(B67)),E66+4/24,"")</f>
        <v/>
      </c>
      <c r="E67" s="89">
        <f>'lead timeLNB'!U70+4/24</f>
        <v>42253.339583333334</v>
      </c>
      <c r="F67" s="90">
        <f>'lead timeLNB'!U71-1/24</f>
        <v>42253.926388888896</v>
      </c>
      <c r="G67" s="95" t="str">
        <f>IF('lead timeLNB'!AG69="","",'lead timeLNB'!AG69+5/24)</f>
        <v/>
      </c>
      <c r="H67" s="96" t="str">
        <f t="shared" si="2"/>
        <v/>
      </c>
      <c r="I67" s="97" t="str">
        <f>IF('lead timeLNB'!AH69="","",'lead timeLNB'!AH69+13/24)</f>
        <v/>
      </c>
      <c r="J67" s="96" t="str">
        <f t="shared" si="3"/>
        <v/>
      </c>
      <c r="K67" s="98" t="str">
        <f>IF('lead timeLNB'!AK69="","",'lead timeLNB'!AK69+8.5/24)</f>
        <v/>
      </c>
      <c r="L67" s="96" t="str">
        <f t="shared" si="4"/>
        <v/>
      </c>
      <c r="M67" s="71"/>
    </row>
    <row r="68" spans="1:13" x14ac:dyDescent="0.25">
      <c r="A68" s="18" t="s">
        <v>218</v>
      </c>
      <c r="B68" s="18">
        <v>62</v>
      </c>
      <c r="C68" s="100" t="str">
        <f t="shared" si="0"/>
        <v>J62</v>
      </c>
      <c r="D68" s="88">
        <f t="shared" ref="D68" si="61">IF(AND(ISODD($N$4),ISEVEN(B68)),E67+4/24,"")</f>
        <v>42253.506249999999</v>
      </c>
      <c r="E68" s="89">
        <f>'lead timeLNB'!U71+4/24</f>
        <v>42254.134722222225</v>
      </c>
      <c r="F68" s="90">
        <f>'lead timeLNB'!U72-1/24</f>
        <v>42254.593749999993</v>
      </c>
      <c r="G68" s="95">
        <f>IF('lead timeLNB'!AG70="","",'lead timeLNB'!AG70+5/24)</f>
        <v>42254.113888888896</v>
      </c>
      <c r="H68" s="96">
        <f t="shared" si="2"/>
        <v>42254.863888888896</v>
      </c>
      <c r="I68" s="97">
        <f>IF('lead timeLNB'!AH70="","",'lead timeLNB'!AH70+13/24)</f>
        <v>42254.530555555561</v>
      </c>
      <c r="J68" s="96">
        <f t="shared" si="3"/>
        <v>42254.863888888896</v>
      </c>
      <c r="K68" s="98">
        <f>IF('lead timeLNB'!AK70="","",'lead timeLNB'!AK70+8.5/24)</f>
        <v>42255.676388888889</v>
      </c>
      <c r="L68" s="96">
        <f t="shared" si="4"/>
        <v>42256.259722222225</v>
      </c>
      <c r="M68" s="71"/>
    </row>
    <row r="69" spans="1:13" x14ac:dyDescent="0.25">
      <c r="A69" s="18" t="s">
        <v>218</v>
      </c>
      <c r="B69" s="18">
        <v>63</v>
      </c>
      <c r="C69" s="100" t="str">
        <f t="shared" si="0"/>
        <v>J63</v>
      </c>
      <c r="D69" s="88" t="str">
        <f t="shared" ref="D69" si="62">IF(AND(ISEVEN($N$4),ISODD(B69)),E68+4/24,"")</f>
        <v/>
      </c>
      <c r="E69" s="89">
        <f>'lead timeLNB'!U72+4/24</f>
        <v>42254.802083333321</v>
      </c>
      <c r="F69" s="90">
        <f>'lead timeLNB'!U73-1/24</f>
        <v>42255.479166666657</v>
      </c>
      <c r="G69" s="95" t="str">
        <f>IF('lead timeLNB'!AG71="","",'lead timeLNB'!AG71+5/24)</f>
        <v/>
      </c>
      <c r="H69" s="96" t="str">
        <f t="shared" si="2"/>
        <v/>
      </c>
      <c r="I69" s="97" t="str">
        <f>IF('lead timeLNB'!AH71="","",'lead timeLNB'!AH71+13/24)</f>
        <v/>
      </c>
      <c r="J69" s="96" t="str">
        <f t="shared" si="3"/>
        <v/>
      </c>
      <c r="K69" s="98" t="str">
        <f>IF('lead timeLNB'!AK71="","",'lead timeLNB'!AK71+8.5/24)</f>
        <v/>
      </c>
      <c r="L69" s="96" t="str">
        <f t="shared" si="4"/>
        <v/>
      </c>
      <c r="M69" s="71"/>
    </row>
    <row r="70" spans="1:13" x14ac:dyDescent="0.25">
      <c r="A70" s="18" t="s">
        <v>218</v>
      </c>
      <c r="B70" s="18">
        <v>64</v>
      </c>
      <c r="C70" s="100" t="str">
        <f t="shared" si="0"/>
        <v>J64</v>
      </c>
      <c r="D70" s="88">
        <f t="shared" ref="D70" si="63">IF(AND(ISODD($N$4),ISEVEN(B70)),E69+4/24,"")</f>
        <v>42254.968749999985</v>
      </c>
      <c r="E70" s="89">
        <f>'lead timeLNB'!U73+4/24</f>
        <v>42255.687499999985</v>
      </c>
      <c r="F70" s="90">
        <f>'lead timeLNB'!U74-1/24</f>
        <v>42256.086805555547</v>
      </c>
      <c r="G70" s="95">
        <f>IF('lead timeLNB'!AG72="","",'lead timeLNB'!AG72+5/24)</f>
        <v>42255.576388888883</v>
      </c>
      <c r="H70" s="96">
        <f t="shared" si="2"/>
        <v>42256.326388888883</v>
      </c>
      <c r="I70" s="97">
        <f>IF('lead timeLNB'!AH72="","",'lead timeLNB'!AH72+13/24)</f>
        <v>42255.993055555547</v>
      </c>
      <c r="J70" s="96">
        <f t="shared" si="3"/>
        <v>42256.326388888883</v>
      </c>
      <c r="K70" s="98">
        <f>IF('lead timeLNB'!AK72="","",'lead timeLNB'!AK72+8.5/24)</f>
        <v>42256.972222222212</v>
      </c>
      <c r="L70" s="96">
        <f t="shared" si="4"/>
        <v>42257.555555555547</v>
      </c>
      <c r="M70" s="71"/>
    </row>
    <row r="71" spans="1:13" x14ac:dyDescent="0.25">
      <c r="A71" s="18" t="s">
        <v>218</v>
      </c>
      <c r="B71" s="18">
        <v>65</v>
      </c>
      <c r="C71" s="100" t="str">
        <f t="shared" si="0"/>
        <v>J65</v>
      </c>
      <c r="D71" s="88" t="str">
        <f t="shared" ref="D71" si="64">IF(AND(ISEVEN($N$4),ISODD(B71)),E70+4/24,"")</f>
        <v/>
      </c>
      <c r="E71" s="89">
        <f>'lead timeLNB'!U74+4/24</f>
        <v>42256.295138888876</v>
      </c>
      <c r="F71" s="90">
        <f>'lead timeLNB'!U75-1/24</f>
        <v>42256.677083333336</v>
      </c>
      <c r="G71" s="95" t="str">
        <f>IF('lead timeLNB'!AG73="","",'lead timeLNB'!AG73+5/24)</f>
        <v/>
      </c>
      <c r="H71" s="96" t="str">
        <f t="shared" si="2"/>
        <v/>
      </c>
      <c r="I71" s="97" t="str">
        <f>IF('lead timeLNB'!AH73="","",'lead timeLNB'!AH73+13/24)</f>
        <v/>
      </c>
      <c r="J71" s="96" t="str">
        <f t="shared" si="3"/>
        <v/>
      </c>
      <c r="K71" s="98" t="str">
        <f>IF('lead timeLNB'!AK73="","",'lead timeLNB'!AK73+8.5/24)</f>
        <v/>
      </c>
      <c r="L71" s="96" t="str">
        <f t="shared" si="4"/>
        <v/>
      </c>
      <c r="M71" s="71"/>
    </row>
    <row r="72" spans="1:13" x14ac:dyDescent="0.25">
      <c r="A72" s="18" t="s">
        <v>218</v>
      </c>
      <c r="B72" s="18">
        <v>66</v>
      </c>
      <c r="C72" s="100" t="str">
        <f t="shared" si="0"/>
        <v>J66</v>
      </c>
      <c r="D72" s="88">
        <f t="shared" ref="D72" si="65">IF(AND(ISODD($N$4),ISEVEN(B72)),E71+4/24,"")</f>
        <v>42256.46180555554</v>
      </c>
      <c r="E72" s="89">
        <f>'lead timeLNB'!U75+4/24</f>
        <v>42256.885416666664</v>
      </c>
      <c r="F72" s="90">
        <f>'lead timeLNB'!U76-1/24</f>
        <v>42257.149305555555</v>
      </c>
      <c r="G72" s="95">
        <f>IF('lead timeLNB'!AG74="","",'lead timeLNB'!AG74+5/24)</f>
        <v>42256.965277777774</v>
      </c>
      <c r="H72" s="96">
        <f t="shared" si="2"/>
        <v>42257.715277777774</v>
      </c>
      <c r="I72" s="97">
        <f>IF('lead timeLNB'!AH74="","",'lead timeLNB'!AH74+13/24)</f>
        <v>42257.381944444438</v>
      </c>
      <c r="J72" s="96">
        <f t="shared" si="3"/>
        <v>42257.715277777774</v>
      </c>
      <c r="K72" s="98">
        <f>IF('lead timeLNB'!AK74="","",'lead timeLNB'!AK74+8.5/24)</f>
        <v>42258.361111111102</v>
      </c>
      <c r="L72" s="96">
        <f t="shared" si="4"/>
        <v>42258.944444444438</v>
      </c>
      <c r="M72" s="71"/>
    </row>
    <row r="73" spans="1:13" x14ac:dyDescent="0.25">
      <c r="A73" s="18" t="s">
        <v>218</v>
      </c>
      <c r="B73" s="18">
        <v>67</v>
      </c>
      <c r="C73" s="100" t="str">
        <f t="shared" ref="C73:C84" si="66">A73&amp;B73</f>
        <v>J67</v>
      </c>
      <c r="D73" s="88" t="str">
        <f t="shared" ref="D73" si="67">IF(AND(ISEVEN($N$4),ISODD(B73)),E72+4/24,"")</f>
        <v/>
      </c>
      <c r="E73" s="89">
        <f>'lead timeLNB'!U76+4/24</f>
        <v>42257.357638888883</v>
      </c>
      <c r="F73" s="90">
        <f>'lead timeLNB'!U77-1/24</f>
        <v>-4.1666666666666664E-2</v>
      </c>
      <c r="G73" s="95" t="str">
        <f>IF('lead timeLNB'!AG75="","",'lead timeLNB'!AG75+5/24)</f>
        <v/>
      </c>
      <c r="H73" s="96" t="str">
        <f t="shared" si="2"/>
        <v/>
      </c>
      <c r="I73" s="97" t="str">
        <f>IF('lead timeLNB'!AH75="","",'lead timeLNB'!AH75+13/24)</f>
        <v/>
      </c>
      <c r="J73" s="96" t="str">
        <f t="shared" si="3"/>
        <v/>
      </c>
      <c r="K73" s="98" t="str">
        <f>IF('lead timeLNB'!AK75="","",'lead timeLNB'!AK75+8.5/24)</f>
        <v/>
      </c>
      <c r="L73" s="96" t="str">
        <f t="shared" si="4"/>
        <v/>
      </c>
      <c r="M73" s="71"/>
    </row>
    <row r="74" spans="1:13" x14ac:dyDescent="0.25">
      <c r="A74" s="18" t="s">
        <v>218</v>
      </c>
      <c r="B74" s="18">
        <v>68</v>
      </c>
      <c r="C74" s="100" t="str">
        <f t="shared" si="66"/>
        <v>J68</v>
      </c>
      <c r="D74" s="88">
        <f t="shared" ref="D74" si="68">IF(AND(ISODD($N$4),ISEVEN(B74)),E73+4/24,"")</f>
        <v>42257.524305555547</v>
      </c>
      <c r="E74" s="89">
        <f>'lead timeLNB'!U77+4/24</f>
        <v>0.16666666666666666</v>
      </c>
      <c r="F74" s="90">
        <f>'lead timeLNB'!U78-1/24</f>
        <v>-4.1666666666666664E-2</v>
      </c>
      <c r="G74" s="95">
        <f>IF('lead timeLNB'!AG76="","",'lead timeLNB'!AG76+5/24)</f>
        <v>42258.027777777781</v>
      </c>
      <c r="H74" s="96">
        <f t="shared" si="2"/>
        <v>42258.777777777781</v>
      </c>
      <c r="I74" s="97">
        <f>IF('lead timeLNB'!AH76="","",'lead timeLNB'!AH76+13/24)</f>
        <v>42258.444444444445</v>
      </c>
      <c r="J74" s="96">
        <f t="shared" si="3"/>
        <v>42258.777777777781</v>
      </c>
      <c r="K74" s="98">
        <f>IF('lead timeLNB'!AK76="","",'lead timeLNB'!AK76+8.5/24)</f>
        <v>42259.569444444438</v>
      </c>
      <c r="L74" s="96">
        <f t="shared" si="4"/>
        <v>42260.152777777774</v>
      </c>
      <c r="M74" s="71"/>
    </row>
    <row r="75" spans="1:13" x14ac:dyDescent="0.25">
      <c r="A75" s="18" t="s">
        <v>218</v>
      </c>
      <c r="B75" s="18">
        <v>69</v>
      </c>
      <c r="C75" s="100" t="str">
        <f t="shared" si="66"/>
        <v>J69</v>
      </c>
      <c r="D75" s="88" t="str">
        <f t="shared" ref="D75" si="69">IF(AND(ISEVEN($N$4),ISODD(B75)),E74+4/24,"")</f>
        <v/>
      </c>
      <c r="E75" s="89">
        <f>'lead timeLNB'!U78+4/24</f>
        <v>0.16666666666666666</v>
      </c>
      <c r="F75" s="90">
        <f>'lead timeLNB'!U79-1/24</f>
        <v>-4.1666666666666664E-2</v>
      </c>
      <c r="G75" s="95" t="str">
        <f>IF('lead timeLNB'!AG77="","",'lead timeLNB'!AG77+5/24)</f>
        <v/>
      </c>
      <c r="H75" s="96" t="str">
        <f t="shared" ref="H75:H84" si="70">IF(G75="","",G75+18/24)</f>
        <v/>
      </c>
      <c r="I75" s="97" t="str">
        <f>IF('lead timeLNB'!AH77="","",'lead timeLNB'!AH77+13/24)</f>
        <v/>
      </c>
      <c r="J75" s="96" t="str">
        <f t="shared" ref="J75:J84" si="71">IF(I75="","",I75+8/24)</f>
        <v/>
      </c>
      <c r="K75" s="98" t="str">
        <f>IF('lead timeLNB'!AK77="","",'lead timeLNB'!AK77+8.5/24)</f>
        <v/>
      </c>
      <c r="L75" s="96" t="str">
        <f t="shared" ref="L75:L84" si="72">IF(K75="","",K75+14/24)</f>
        <v/>
      </c>
      <c r="M75" s="71"/>
    </row>
    <row r="76" spans="1:13" x14ac:dyDescent="0.25">
      <c r="A76" s="18" t="s">
        <v>218</v>
      </c>
      <c r="B76" s="18">
        <v>70</v>
      </c>
      <c r="C76" s="100" t="str">
        <f t="shared" si="66"/>
        <v>J70</v>
      </c>
      <c r="D76" s="88">
        <f t="shared" ref="D76" si="73">IF(AND(ISODD($N$4),ISEVEN(B76)),E75+4/24,"")</f>
        <v>0.33333333333333331</v>
      </c>
      <c r="E76" s="89">
        <f>'lead timeLNB'!U79+4/24</f>
        <v>0.16666666666666666</v>
      </c>
      <c r="F76" s="90">
        <f>'lead timeLNB'!U80-1/24</f>
        <v>-4.1666666666666664E-2</v>
      </c>
      <c r="G76" s="95" t="str">
        <f>IF('lead timeLNB'!AG78="","",'lead timeLNB'!AG78+5/24)</f>
        <v/>
      </c>
      <c r="H76" s="96" t="str">
        <f t="shared" si="70"/>
        <v/>
      </c>
      <c r="I76" s="97" t="str">
        <f>IF('lead timeLNB'!AH78="","",'lead timeLNB'!AH78+13/24)</f>
        <v/>
      </c>
      <c r="J76" s="96" t="str">
        <f t="shared" si="71"/>
        <v/>
      </c>
      <c r="K76" s="98" t="str">
        <f>IF('lead timeLNB'!AK78="","",'lead timeLNB'!AK78+8.5/24)</f>
        <v/>
      </c>
      <c r="L76" s="96" t="str">
        <f t="shared" si="72"/>
        <v/>
      </c>
      <c r="M76" s="71"/>
    </row>
    <row r="77" spans="1:13" x14ac:dyDescent="0.25">
      <c r="A77" s="18" t="s">
        <v>218</v>
      </c>
      <c r="B77" s="18">
        <v>71</v>
      </c>
      <c r="C77" s="100" t="str">
        <f t="shared" si="66"/>
        <v>J71</v>
      </c>
      <c r="D77" s="88" t="str">
        <f t="shared" ref="D77" si="74">IF(AND(ISEVEN($N$4),ISODD(B77)),E76+4/24,"")</f>
        <v/>
      </c>
      <c r="E77" s="89">
        <f>'lead timeLNB'!U80+4/24</f>
        <v>0.16666666666666666</v>
      </c>
      <c r="F77" s="90">
        <f>'lead timeLNB'!U81-1/24</f>
        <v>-4.1666666666666664E-2</v>
      </c>
      <c r="G77" s="95" t="str">
        <f>IF('lead timeLNB'!AG79="","",'lead timeLNB'!AG79+5/24)</f>
        <v/>
      </c>
      <c r="H77" s="96" t="str">
        <f t="shared" si="70"/>
        <v/>
      </c>
      <c r="I77" s="97" t="str">
        <f>IF('lead timeLNB'!AH79="","",'lead timeLNB'!AH79+13/24)</f>
        <v/>
      </c>
      <c r="J77" s="96" t="str">
        <f t="shared" si="71"/>
        <v/>
      </c>
      <c r="K77" s="98" t="str">
        <f>IF('lead timeLNB'!AK79="","",'lead timeLNB'!AK79+8.5/24)</f>
        <v/>
      </c>
      <c r="L77" s="96" t="str">
        <f t="shared" si="72"/>
        <v/>
      </c>
      <c r="M77" s="71"/>
    </row>
    <row r="78" spans="1:13" x14ac:dyDescent="0.25">
      <c r="A78" s="18" t="s">
        <v>218</v>
      </c>
      <c r="B78" s="18">
        <v>72</v>
      </c>
      <c r="C78" s="100" t="str">
        <f t="shared" si="66"/>
        <v>J72</v>
      </c>
      <c r="D78" s="88">
        <f t="shared" ref="D78" si="75">IF(AND(ISODD($N$4),ISEVEN(B78)),E77+4/24,"")</f>
        <v>0.33333333333333331</v>
      </c>
      <c r="E78" s="89">
        <f>'lead timeLNB'!U81+4/24</f>
        <v>0.16666666666666666</v>
      </c>
      <c r="F78" s="90">
        <f>'lead timeLNB'!U82-1/24</f>
        <v>-4.1666666666666664E-2</v>
      </c>
      <c r="G78" s="95" t="str">
        <f>IF('lead timeLNB'!AG80="","",'lead timeLNB'!AG80+5/24)</f>
        <v/>
      </c>
      <c r="H78" s="96" t="str">
        <f t="shared" si="70"/>
        <v/>
      </c>
      <c r="I78" s="97" t="str">
        <f>IF('lead timeLNB'!AH80="","",'lead timeLNB'!AH80+13/24)</f>
        <v/>
      </c>
      <c r="J78" s="96" t="str">
        <f t="shared" si="71"/>
        <v/>
      </c>
      <c r="K78" s="98" t="str">
        <f>IF('lead timeLNB'!AK80="","",'lead timeLNB'!AK80+8.5/24)</f>
        <v/>
      </c>
      <c r="L78" s="96" t="str">
        <f t="shared" si="72"/>
        <v/>
      </c>
      <c r="M78" s="71"/>
    </row>
    <row r="79" spans="1:13" x14ac:dyDescent="0.25">
      <c r="A79" s="18" t="s">
        <v>218</v>
      </c>
      <c r="B79" s="18">
        <v>73</v>
      </c>
      <c r="C79" s="100" t="str">
        <f t="shared" si="66"/>
        <v>J73</v>
      </c>
      <c r="D79" s="88" t="str">
        <f t="shared" ref="D79" si="76">IF(AND(ISEVEN($N$4),ISODD(B79)),E78+4/24,"")</f>
        <v/>
      </c>
      <c r="E79" s="89">
        <f>'lead timeLNB'!U82+4/24</f>
        <v>0.16666666666666666</v>
      </c>
      <c r="F79" s="90">
        <f>'lead timeLNB'!U83-1/24</f>
        <v>-4.1666666666666664E-2</v>
      </c>
      <c r="G79" s="95" t="str">
        <f>IF('lead timeLNB'!AG81="","",'lead timeLNB'!AG81+5/24)</f>
        <v/>
      </c>
      <c r="H79" s="96" t="str">
        <f t="shared" si="70"/>
        <v/>
      </c>
      <c r="I79" s="97" t="str">
        <f>IF('lead timeLNB'!AH81="","",'lead timeLNB'!AH81+13/24)</f>
        <v/>
      </c>
      <c r="J79" s="96" t="str">
        <f t="shared" si="71"/>
        <v/>
      </c>
      <c r="K79" s="98" t="str">
        <f>IF('lead timeLNB'!AK81="","",'lead timeLNB'!AK81+8.5/24)</f>
        <v/>
      </c>
      <c r="L79" s="96" t="str">
        <f t="shared" si="72"/>
        <v/>
      </c>
      <c r="M79" s="71"/>
    </row>
    <row r="80" spans="1:13" x14ac:dyDescent="0.25">
      <c r="A80" s="18" t="s">
        <v>218</v>
      </c>
      <c r="B80" s="18">
        <v>74</v>
      </c>
      <c r="C80" s="100" t="str">
        <f t="shared" si="66"/>
        <v>J74</v>
      </c>
      <c r="D80" s="88">
        <f t="shared" ref="D80" si="77">IF(AND(ISODD($N$4),ISEVEN(B80)),E79+4/24,"")</f>
        <v>0.33333333333333331</v>
      </c>
      <c r="E80" s="89">
        <f>'lead timeLNB'!U83+4/24</f>
        <v>0.16666666666666666</v>
      </c>
      <c r="F80" s="90">
        <f>'lead timeLNB'!U84-1/24</f>
        <v>-4.1666666666666664E-2</v>
      </c>
      <c r="G80" s="95" t="str">
        <f>IF('lead timeLNB'!AG82="","",'lead timeLNB'!AG82+5/24)</f>
        <v/>
      </c>
      <c r="H80" s="96" t="str">
        <f t="shared" si="70"/>
        <v/>
      </c>
      <c r="I80" s="97" t="str">
        <f>IF('lead timeLNB'!AH82="","",'lead timeLNB'!AH82+13/24)</f>
        <v/>
      </c>
      <c r="J80" s="96" t="str">
        <f t="shared" si="71"/>
        <v/>
      </c>
      <c r="K80" s="98" t="str">
        <f>IF('lead timeLNB'!AK82="","",'lead timeLNB'!AK82+8.5/24)</f>
        <v/>
      </c>
      <c r="L80" s="96" t="str">
        <f t="shared" si="72"/>
        <v/>
      </c>
      <c r="M80" s="71"/>
    </row>
    <row r="81" spans="1:13" x14ac:dyDescent="0.25">
      <c r="A81" s="18" t="s">
        <v>218</v>
      </c>
      <c r="B81" s="18">
        <v>75</v>
      </c>
      <c r="C81" s="100" t="str">
        <f t="shared" si="66"/>
        <v>J75</v>
      </c>
      <c r="D81" s="88" t="str">
        <f t="shared" ref="D81" si="78">IF(AND(ISEVEN($N$4),ISODD(B81)),E80+4/24,"")</f>
        <v/>
      </c>
      <c r="E81" s="89">
        <f>'lead timeLNB'!U84+4/24</f>
        <v>0.16666666666666666</v>
      </c>
      <c r="F81" s="90">
        <f>'lead timeLNB'!U85-1/24</f>
        <v>-4.1666666666666664E-2</v>
      </c>
      <c r="G81" s="95" t="str">
        <f>IF('lead timeLNB'!AG83="","",'lead timeLNB'!AG83+5/24)</f>
        <v/>
      </c>
      <c r="H81" s="96" t="str">
        <f t="shared" si="70"/>
        <v/>
      </c>
      <c r="I81" s="97" t="str">
        <f>IF('lead timeLNB'!AH83="","",'lead timeLNB'!AH83+13/24)</f>
        <v/>
      </c>
      <c r="J81" s="96" t="str">
        <f t="shared" si="71"/>
        <v/>
      </c>
      <c r="K81" s="98" t="str">
        <f>IF('lead timeLNB'!AK83="","",'lead timeLNB'!AK83+8.5/24)</f>
        <v/>
      </c>
      <c r="L81" s="96" t="str">
        <f t="shared" si="72"/>
        <v/>
      </c>
      <c r="M81" s="71"/>
    </row>
    <row r="82" spans="1:13" x14ac:dyDescent="0.25">
      <c r="A82" s="18" t="s">
        <v>218</v>
      </c>
      <c r="B82" s="18">
        <v>76</v>
      </c>
      <c r="C82" s="100" t="str">
        <f t="shared" si="66"/>
        <v>J76</v>
      </c>
      <c r="D82" s="88">
        <f t="shared" ref="D82" si="79">IF(AND(ISODD($N$4),ISEVEN(B82)),E81+4/24,"")</f>
        <v>0.33333333333333331</v>
      </c>
      <c r="E82" s="89">
        <f>'lead timeLNB'!U85+4/24</f>
        <v>0.16666666666666666</v>
      </c>
      <c r="F82" s="90">
        <f>'lead timeLNB'!U86-1/24</f>
        <v>-4.1666666666666664E-2</v>
      </c>
      <c r="G82" s="95" t="str">
        <f>IF('lead timeLNB'!AG84="","",'lead timeLNB'!AG84+5/24)</f>
        <v/>
      </c>
      <c r="H82" s="96" t="str">
        <f t="shared" si="70"/>
        <v/>
      </c>
      <c r="I82" s="97" t="str">
        <f>IF('lead timeLNB'!AH84="","",'lead timeLNB'!AH84+13/24)</f>
        <v/>
      </c>
      <c r="J82" s="96" t="str">
        <f t="shared" si="71"/>
        <v/>
      </c>
      <c r="K82" s="98" t="str">
        <f>IF('lead timeLNB'!AK84="","",'lead timeLNB'!AK84+8.5/24)</f>
        <v/>
      </c>
      <c r="L82" s="96" t="str">
        <f t="shared" si="72"/>
        <v/>
      </c>
      <c r="M82" s="71"/>
    </row>
    <row r="83" spans="1:13" x14ac:dyDescent="0.25">
      <c r="A83" s="18" t="s">
        <v>218</v>
      </c>
      <c r="B83" s="18">
        <v>77</v>
      </c>
      <c r="C83" s="100" t="str">
        <f t="shared" si="66"/>
        <v>J77</v>
      </c>
      <c r="D83" s="88" t="str">
        <f t="shared" ref="D83" si="80">IF(AND(ISEVEN($N$4),ISODD(B83)),E82+4/24,"")</f>
        <v/>
      </c>
      <c r="E83" s="89">
        <f>'lead timeLNB'!U86+4/24</f>
        <v>0.16666666666666666</v>
      </c>
      <c r="F83" s="90">
        <f>'lead timeLNB'!U87-1/24</f>
        <v>-4.1666666666666664E-2</v>
      </c>
      <c r="G83" s="95" t="str">
        <f>IF('lead timeLNB'!AG85="","",'lead timeLNB'!AG85+5/24)</f>
        <v/>
      </c>
      <c r="H83" s="96" t="str">
        <f t="shared" si="70"/>
        <v/>
      </c>
      <c r="I83" s="97" t="str">
        <f>IF('lead timeLNB'!AH85="","",'lead timeLNB'!AH85+13/24)</f>
        <v/>
      </c>
      <c r="J83" s="96" t="str">
        <f t="shared" si="71"/>
        <v/>
      </c>
      <c r="K83" s="98" t="str">
        <f>IF('lead timeLNB'!AK85="","",'lead timeLNB'!AK85+8.5/24)</f>
        <v/>
      </c>
      <c r="L83" s="96" t="str">
        <f t="shared" si="72"/>
        <v/>
      </c>
      <c r="M83" s="71"/>
    </row>
    <row r="84" spans="1:13" x14ac:dyDescent="0.25">
      <c r="A84" s="18" t="s">
        <v>218</v>
      </c>
      <c r="B84" s="18">
        <v>78</v>
      </c>
      <c r="C84" s="100" t="str">
        <f t="shared" si="66"/>
        <v>J78</v>
      </c>
      <c r="D84" s="88">
        <f t="shared" ref="D84" si="81">IF(AND(ISODD($N$4),ISEVEN(B84)),E83+4/24,"")</f>
        <v>0.33333333333333331</v>
      </c>
      <c r="E84" s="89">
        <f>'lead timeLNB'!U87+4/24</f>
        <v>0.16666666666666666</v>
      </c>
      <c r="F84" s="90">
        <f>'lead timeLNB'!U88-1/24</f>
        <v>-4.1666666666666664E-2</v>
      </c>
      <c r="G84" s="95" t="str">
        <f>IF('lead timeLNB'!AG86="","",'lead timeLNB'!AG86+5/24)</f>
        <v/>
      </c>
      <c r="H84" s="96" t="str">
        <f t="shared" si="70"/>
        <v/>
      </c>
      <c r="I84" s="97" t="str">
        <f>IF('lead timeLNB'!AH86="","",'lead timeLNB'!AH86+13/24)</f>
        <v/>
      </c>
      <c r="J84" s="96" t="str">
        <f t="shared" si="71"/>
        <v/>
      </c>
      <c r="K84" s="98" t="str">
        <f>IF('lead timeLNB'!AK86="","",'lead timeLNB'!AK86+8.5/24)</f>
        <v/>
      </c>
      <c r="L84" s="96" t="str">
        <f t="shared" si="72"/>
        <v/>
      </c>
      <c r="M84" s="71"/>
    </row>
  </sheetData>
  <mergeCells count="4">
    <mergeCell ref="E2:F2"/>
    <mergeCell ref="G2:H2"/>
    <mergeCell ref="I2:J2"/>
    <mergeCell ref="K2:L2"/>
  </mergeCells>
  <pageMargins left="0.7" right="0.7" top="0.75" bottom="0.75" header="0.3" footer="0.3"/>
  <pageSetup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Lead time media</vt:lpstr>
      <vt:lpstr>lead timeLNB</vt:lpstr>
      <vt:lpstr>Charges chromato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2015-09-05T07:49:57Z</dcterms:modified>
</cp:coreProperties>
</file>