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/>
  <bookViews>
    <workbookView xWindow="0" yWindow="0" windowWidth="12330" windowHeight="7605"/>
  </bookViews>
  <sheets>
    <sheet name="Accueil" sheetId="35" r:id="rId1"/>
    <sheet name="Ventes" sheetId="36" r:id="rId2"/>
    <sheet name="Articles" sheetId="33" r:id="rId3"/>
    <sheet name="Natures" sheetId="40" r:id="rId4"/>
    <sheet name="Catégories" sheetId="37" r:id="rId5"/>
    <sheet name="Types" sheetId="38" r:id="rId6"/>
    <sheet name="Marques" sheetId="41" r:id="rId7"/>
    <sheet name="Statistiques" sheetId="39" r:id="rId8"/>
    <sheet name="Paramètres" sheetId="34" r:id="rId9"/>
  </sheets>
  <externalReferences>
    <externalReference r:id="rId10"/>
  </externalReferences>
  <definedNames>
    <definedName name="_xlnm._FilterDatabase" localSheetId="2">Articles!$A$4:$K$20</definedName>
    <definedName name="_xlnm._FilterDatabase" localSheetId="4" hidden="1">Catégories!$A$4:$E$11</definedName>
    <definedName name="_xlnm._FilterDatabase" localSheetId="6" hidden="1">Marques!$A$4:$E$10</definedName>
    <definedName name="_xlnm._FilterDatabase" localSheetId="3" hidden="1">Natures!$A$4:$G$15</definedName>
    <definedName name="_xlnm._FilterDatabase" localSheetId="5" hidden="1">Types!$A$4:$E$7</definedName>
    <definedName name="_xlnm._FilterDatabase" localSheetId="1" hidden="1">Ventes!$A$4:$M$54</definedName>
    <definedName name="Année_Réf">Paramètres!$B$3</definedName>
    <definedName name="Articles">Articles!$A$4:$K$21</definedName>
    <definedName name="Catégories">Catégories!$A$4:$E$12</definedName>
    <definedName name="Liste_Articles">Articles!$A$4:$A$21</definedName>
    <definedName name="Liste_Catégories">Catégories!$A$4:$A$12</definedName>
    <definedName name="Liste_Délais">OFFSET([1]Délais!$A$5,,,COUNTA([1]Délais!$A:$A)-2,)</definedName>
    <definedName name="Liste_Marques">Marques!$A$4:$A$10</definedName>
    <definedName name="Liste_Natures">Natures!$A$4:$A$16</definedName>
    <definedName name="Liste_Rédacteurs">OFFSET([1]Rédacteurs!$A$5,,,COUNTA([1]Rédacteurs!$A:$A)-2,)</definedName>
    <definedName name="Liste_Services">OFFSET([1]Services!$A$5,,,COUNTA([1]Services!$A:$A)-2,)</definedName>
    <definedName name="Liste_Supports">OFFSET([1]Supports!$A$5,,,COUNTA([1]Supports!$A:$A)-2,)</definedName>
    <definedName name="Liste_Types">Types!$A$4:$A$8</definedName>
    <definedName name="Marques">Marques!$A$4:$E$10</definedName>
    <definedName name="Natures">Natures!$A$4:$G$16</definedName>
    <definedName name="Nb_Caisses">Paramètres!$B$4</definedName>
    <definedName name="Raison_Sociale">Paramètres!$B$1</definedName>
    <definedName name="Titre">Paramètres!$B$2</definedName>
    <definedName name="Types">Types!$A$4:$E$8</definedName>
    <definedName name="VD_Catégorie">Paramètres!$B$8</definedName>
    <definedName name="VD_Marque">Paramètres!$B$10</definedName>
    <definedName name="VD_Nature">Paramètres!$B$7</definedName>
    <definedName name="VD_Type">Paramètres!$B$9</definedName>
    <definedName name="Ventes">Ventes!$A$4:$M$55</definedName>
  </definedNames>
  <calcPr calcId="125725"/>
  <pivotCaches>
    <pivotCache cacheId="72" r:id="rId11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36"/>
  <c r="H5"/>
  <c r="H9"/>
  <c r="H8"/>
  <c r="H7"/>
  <c r="H54"/>
  <c r="H13"/>
  <c r="H12"/>
  <c r="H11"/>
  <c r="H10"/>
  <c r="C10" i="34"/>
  <c r="C9"/>
  <c r="C8"/>
  <c r="C7"/>
  <c r="B12" l="1"/>
  <c r="B20"/>
  <c r="K16" i="33" l="1"/>
  <c r="K17"/>
  <c r="K18"/>
  <c r="K19"/>
  <c r="K20"/>
  <c r="K6"/>
  <c r="K7"/>
  <c r="K8"/>
  <c r="K9"/>
  <c r="K10"/>
  <c r="K11"/>
  <c r="K12"/>
  <c r="K13"/>
  <c r="K14"/>
  <c r="K15"/>
  <c r="J6"/>
  <c r="J7"/>
  <c r="J8"/>
  <c r="J9"/>
  <c r="J10"/>
  <c r="J11"/>
  <c r="J12"/>
  <c r="J13"/>
  <c r="J14"/>
  <c r="J15"/>
  <c r="J16"/>
  <c r="J17"/>
  <c r="J18"/>
  <c r="J19"/>
  <c r="J20"/>
  <c r="J5"/>
  <c r="K5"/>
  <c r="A1" i="40"/>
  <c r="A1" i="41"/>
  <c r="A1" i="39"/>
  <c r="H22" i="36"/>
  <c r="H21"/>
  <c r="H20"/>
  <c r="H19"/>
  <c r="H18"/>
  <c r="H17"/>
  <c r="H16"/>
  <c r="H15"/>
  <c r="H14"/>
  <c r="H38"/>
  <c r="H37"/>
  <c r="H36"/>
  <c r="H35"/>
  <c r="H34"/>
  <c r="H33"/>
  <c r="H32"/>
  <c r="H31"/>
  <c r="H30"/>
  <c r="H29"/>
  <c r="H28"/>
  <c r="H27"/>
  <c r="H26"/>
  <c r="H25"/>
  <c r="H24"/>
  <c r="H23"/>
  <c r="A1" i="38"/>
  <c r="A1" i="37"/>
  <c r="H40" i="36" l="1"/>
  <c r="H41"/>
  <c r="H42"/>
  <c r="H43"/>
  <c r="H44"/>
  <c r="H45"/>
  <c r="H46"/>
  <c r="H47"/>
  <c r="H48"/>
  <c r="H49"/>
  <c r="H50"/>
  <c r="H51"/>
  <c r="H52"/>
  <c r="H53"/>
  <c r="H39"/>
  <c r="C2"/>
  <c r="A1"/>
  <c r="B1" i="33"/>
  <c r="A6"/>
  <c r="A7"/>
  <c r="A8"/>
  <c r="A9"/>
  <c r="A10"/>
  <c r="A11"/>
  <c r="A12"/>
  <c r="A13"/>
  <c r="A14"/>
  <c r="A15"/>
  <c r="A16"/>
  <c r="A17"/>
  <c r="A18"/>
  <c r="A19"/>
  <c r="A20"/>
  <c r="A5"/>
  <c r="M6" i="36" s="1"/>
  <c r="B1" i="35"/>
  <c r="J6" i="36" l="1"/>
  <c r="K6"/>
  <c r="L6"/>
  <c r="D6"/>
  <c r="F6" s="1"/>
  <c r="M5"/>
  <c r="J5"/>
  <c r="K5"/>
  <c r="L5"/>
  <c r="D5"/>
  <c r="F5" s="1"/>
  <c r="M9"/>
  <c r="J9"/>
  <c r="K9"/>
  <c r="L9"/>
  <c r="M8"/>
  <c r="D9"/>
  <c r="F9" s="1"/>
  <c r="L8"/>
  <c r="J8"/>
  <c r="K8"/>
  <c r="M7"/>
  <c r="D8"/>
  <c r="F8" s="1"/>
  <c r="K7"/>
  <c r="J7"/>
  <c r="L7"/>
  <c r="D7"/>
  <c r="F7" s="1"/>
  <c r="M54"/>
  <c r="J54"/>
  <c r="K54"/>
  <c r="L54"/>
  <c r="D54"/>
  <c r="F54" s="1"/>
  <c r="M13"/>
  <c r="L13"/>
  <c r="J13"/>
  <c r="K13"/>
  <c r="M12"/>
  <c r="D13"/>
  <c r="F13" s="1"/>
  <c r="J12"/>
  <c r="K12"/>
  <c r="L12"/>
  <c r="M11"/>
  <c r="D12"/>
  <c r="F12" s="1"/>
  <c r="L11"/>
  <c r="J11"/>
  <c r="K11"/>
  <c r="M10"/>
  <c r="D11"/>
  <c r="F11" s="1"/>
  <c r="K10"/>
  <c r="J10"/>
  <c r="L10"/>
  <c r="D10"/>
  <c r="F10" s="1"/>
  <c r="D15"/>
  <c r="D17"/>
  <c r="D19"/>
  <c r="D21"/>
  <c r="D23"/>
  <c r="D25"/>
  <c r="D27"/>
  <c r="D29"/>
  <c r="D31"/>
  <c r="D33"/>
  <c r="D35"/>
  <c r="D37"/>
  <c r="D39"/>
  <c r="D41"/>
  <c r="D43"/>
  <c r="D45"/>
  <c r="D47"/>
  <c r="D49"/>
  <c r="D51"/>
  <c r="D53"/>
  <c r="D40"/>
  <c r="D42"/>
  <c r="F42" s="1"/>
  <c r="D44"/>
  <c r="F44" s="1"/>
  <c r="D46"/>
  <c r="D48"/>
  <c r="D50"/>
  <c r="F50" s="1"/>
  <c r="D52"/>
  <c r="F52" s="1"/>
  <c r="D14"/>
  <c r="D16"/>
  <c r="D18"/>
  <c r="F18" s="1"/>
  <c r="D20"/>
  <c r="D22"/>
  <c r="D24"/>
  <c r="D26"/>
  <c r="F26" s="1"/>
  <c r="D28"/>
  <c r="F28" s="1"/>
  <c r="D30"/>
  <c r="D32"/>
  <c r="D34"/>
  <c r="F34" s="1"/>
  <c r="D36"/>
  <c r="D38"/>
  <c r="G5" i="33"/>
  <c r="F19"/>
  <c r="G19"/>
  <c r="F17"/>
  <c r="G17"/>
  <c r="F15"/>
  <c r="G15"/>
  <c r="F13"/>
  <c r="G13"/>
  <c r="F11"/>
  <c r="G11"/>
  <c r="F9"/>
  <c r="G9"/>
  <c r="F7"/>
  <c r="G7"/>
  <c r="F20"/>
  <c r="G20"/>
  <c r="F18"/>
  <c r="G18"/>
  <c r="F16"/>
  <c r="G16"/>
  <c r="F14"/>
  <c r="G14"/>
  <c r="F12"/>
  <c r="G12"/>
  <c r="F10"/>
  <c r="G10"/>
  <c r="F8"/>
  <c r="G8"/>
  <c r="F6"/>
  <c r="G6"/>
  <c r="F5"/>
  <c r="M15" i="36"/>
  <c r="M17"/>
  <c r="M19"/>
  <c r="M21"/>
  <c r="M23"/>
  <c r="M25"/>
  <c r="M27"/>
  <c r="M29"/>
  <c r="M31"/>
  <c r="M33"/>
  <c r="M35"/>
  <c r="M37"/>
  <c r="M39"/>
  <c r="M41"/>
  <c r="M43"/>
  <c r="M45"/>
  <c r="M47"/>
  <c r="M49"/>
  <c r="M51"/>
  <c r="M53"/>
  <c r="M14"/>
  <c r="M16"/>
  <c r="M18"/>
  <c r="M20"/>
  <c r="M22"/>
  <c r="M24"/>
  <c r="M26"/>
  <c r="M28"/>
  <c r="M30"/>
  <c r="M32"/>
  <c r="M34"/>
  <c r="M36"/>
  <c r="M38"/>
  <c r="M40"/>
  <c r="M42"/>
  <c r="M44"/>
  <c r="M46"/>
  <c r="M48"/>
  <c r="M50"/>
  <c r="M52"/>
  <c r="L15"/>
  <c r="L17"/>
  <c r="L19"/>
  <c r="L21"/>
  <c r="L23"/>
  <c r="L25"/>
  <c r="L27"/>
  <c r="L29"/>
  <c r="L31"/>
  <c r="L33"/>
  <c r="L35"/>
  <c r="L37"/>
  <c r="L39"/>
  <c r="L41"/>
  <c r="L43"/>
  <c r="L45"/>
  <c r="L47"/>
  <c r="L49"/>
  <c r="L51"/>
  <c r="L53"/>
  <c r="L14"/>
  <c r="L16"/>
  <c r="L18"/>
  <c r="L20"/>
  <c r="L22"/>
  <c r="L24"/>
  <c r="L26"/>
  <c r="L28"/>
  <c r="L30"/>
  <c r="L32"/>
  <c r="L34"/>
  <c r="L36"/>
  <c r="L38"/>
  <c r="L40"/>
  <c r="L42"/>
  <c r="L44"/>
  <c r="L46"/>
  <c r="L48"/>
  <c r="L50"/>
  <c r="L52"/>
  <c r="K14"/>
  <c r="K16"/>
  <c r="K18"/>
  <c r="K20"/>
  <c r="K22"/>
  <c r="K24"/>
  <c r="K26"/>
  <c r="K28"/>
  <c r="K30"/>
  <c r="K32"/>
  <c r="K34"/>
  <c r="K36"/>
  <c r="K38"/>
  <c r="K40"/>
  <c r="K42"/>
  <c r="K44"/>
  <c r="K46"/>
  <c r="K48"/>
  <c r="K50"/>
  <c r="K52"/>
  <c r="J15"/>
  <c r="J17"/>
  <c r="J19"/>
  <c r="J21"/>
  <c r="J23"/>
  <c r="J25"/>
  <c r="J27"/>
  <c r="J29"/>
  <c r="J31"/>
  <c r="J33"/>
  <c r="J35"/>
  <c r="J37"/>
  <c r="J39"/>
  <c r="J41"/>
  <c r="J43"/>
  <c r="J45"/>
  <c r="J47"/>
  <c r="J49"/>
  <c r="J51"/>
  <c r="J53"/>
  <c r="K15"/>
  <c r="K17"/>
  <c r="K19"/>
  <c r="K21"/>
  <c r="K23"/>
  <c r="K25"/>
  <c r="K27"/>
  <c r="K29"/>
  <c r="K31"/>
  <c r="K33"/>
  <c r="K35"/>
  <c r="K37"/>
  <c r="K39"/>
  <c r="K41"/>
  <c r="K43"/>
  <c r="K45"/>
  <c r="K47"/>
  <c r="K49"/>
  <c r="K51"/>
  <c r="K53"/>
  <c r="J14"/>
  <c r="J16"/>
  <c r="J18"/>
  <c r="J20"/>
  <c r="J22"/>
  <c r="J24"/>
  <c r="J26"/>
  <c r="J28"/>
  <c r="J30"/>
  <c r="J32"/>
  <c r="J34"/>
  <c r="J36"/>
  <c r="J38"/>
  <c r="J40"/>
  <c r="J42"/>
  <c r="J44"/>
  <c r="J46"/>
  <c r="J48"/>
  <c r="J50"/>
  <c r="J52"/>
  <c r="F14"/>
  <c r="F16"/>
  <c r="F24"/>
  <c r="F30"/>
  <c r="F32"/>
  <c r="F36"/>
  <c r="F38"/>
  <c r="F46"/>
  <c r="F48"/>
  <c r="F15"/>
  <c r="F17"/>
  <c r="F19"/>
  <c r="F21"/>
  <c r="F23"/>
  <c r="F25"/>
  <c r="F27"/>
  <c r="F29"/>
  <c r="F31"/>
  <c r="F33"/>
  <c r="F35"/>
  <c r="F37"/>
  <c r="F39"/>
  <c r="F41"/>
  <c r="F43"/>
  <c r="F45"/>
  <c r="F47"/>
  <c r="F49"/>
  <c r="F51"/>
  <c r="F53"/>
  <c r="F40"/>
  <c r="H6" i="33" s="1"/>
  <c r="F22" i="36"/>
  <c r="F20"/>
  <c r="E2" i="33"/>
  <c r="H2" i="36"/>
  <c r="H9" i="33" l="1"/>
  <c r="F2"/>
  <c r="G2"/>
  <c r="H18"/>
  <c r="H10"/>
  <c r="H8"/>
  <c r="H20"/>
  <c r="D7" i="38"/>
  <c r="D6"/>
  <c r="D5"/>
  <c r="D8" i="41"/>
  <c r="D10"/>
  <c r="D12"/>
  <c r="D6"/>
  <c r="D7"/>
  <c r="D9"/>
  <c r="D11"/>
  <c r="D13"/>
  <c r="H16" i="33"/>
  <c r="H17"/>
  <c r="H13"/>
  <c r="H19"/>
  <c r="H15"/>
  <c r="H11"/>
  <c r="H7"/>
  <c r="H12"/>
  <c r="H14"/>
  <c r="H5"/>
  <c r="F7" i="40"/>
  <c r="F9"/>
  <c r="F11"/>
  <c r="F13"/>
  <c r="F15"/>
  <c r="F6"/>
  <c r="F8"/>
  <c r="F10"/>
  <c r="F12"/>
  <c r="F14"/>
  <c r="D6" i="37"/>
  <c r="D8"/>
  <c r="D10"/>
  <c r="D5"/>
  <c r="D7"/>
  <c r="D9"/>
  <c r="D11"/>
  <c r="F5" i="40"/>
  <c r="B7" i="41"/>
  <c r="C8"/>
  <c r="B9"/>
  <c r="C10"/>
  <c r="B11"/>
  <c r="C12"/>
  <c r="B13"/>
  <c r="B6"/>
  <c r="C7"/>
  <c r="B8"/>
  <c r="C9"/>
  <c r="B10"/>
  <c r="C11"/>
  <c r="B12"/>
  <c r="C13"/>
  <c r="C6"/>
  <c r="C6" i="38"/>
  <c r="B7"/>
  <c r="B6"/>
  <c r="C5"/>
  <c r="B5"/>
  <c r="C7"/>
  <c r="D6" i="40"/>
  <c r="D7"/>
  <c r="E8"/>
  <c r="D9"/>
  <c r="E10"/>
  <c r="D11"/>
  <c r="E12"/>
  <c r="D13"/>
  <c r="E14"/>
  <c r="D15"/>
  <c r="E5"/>
  <c r="E6"/>
  <c r="E7"/>
  <c r="D8"/>
  <c r="E9"/>
  <c r="D10"/>
  <c r="E11"/>
  <c r="D12"/>
  <c r="E13"/>
  <c r="D14"/>
  <c r="E15"/>
  <c r="D5"/>
  <c r="B6" i="37"/>
  <c r="B7"/>
  <c r="B8"/>
  <c r="B9"/>
  <c r="B10"/>
  <c r="B11"/>
  <c r="C5"/>
  <c r="C6"/>
  <c r="C7"/>
  <c r="C8"/>
  <c r="C9"/>
  <c r="C10"/>
  <c r="C11"/>
  <c r="B5"/>
  <c r="F2" i="36"/>
  <c r="H2" i="33" l="1"/>
  <c r="D2" i="41"/>
  <c r="D2" i="40"/>
  <c r="C2" i="38"/>
  <c r="B2" i="37"/>
  <c r="C2" i="41"/>
  <c r="B2"/>
  <c r="E2" i="40"/>
  <c r="B2" i="38"/>
  <c r="C2" i="37"/>
  <c r="D2"/>
  <c r="D2" i="38"/>
  <c r="F2" i="40"/>
</calcChain>
</file>

<file path=xl/sharedStrings.xml><?xml version="1.0" encoding="utf-8"?>
<sst xmlns="http://schemas.openxmlformats.org/spreadsheetml/2006/main" count="243" uniqueCount="94">
  <si>
    <t>Marque</t>
  </si>
  <si>
    <t>Adidas</t>
  </si>
  <si>
    <t>F10</t>
  </si>
  <si>
    <t>T-Shirt</t>
  </si>
  <si>
    <t>Oxbow</t>
  </si>
  <si>
    <t>Nike</t>
  </si>
  <si>
    <t>Mercurial</t>
  </si>
  <si>
    <t>Main d'œuvre</t>
  </si>
  <si>
    <t>Gourde</t>
  </si>
  <si>
    <t>S+</t>
  </si>
  <si>
    <t>GT-2000</t>
  </si>
  <si>
    <t>Nature</t>
  </si>
  <si>
    <t>Modèle</t>
  </si>
  <si>
    <t>Prix catalogue</t>
  </si>
  <si>
    <t>Identifiant</t>
  </si>
  <si>
    <t>Catégorie</t>
  </si>
  <si>
    <t>Type</t>
  </si>
  <si>
    <t>Asics</t>
  </si>
  <si>
    <t>Mizuno</t>
  </si>
  <si>
    <t>Babolat</t>
  </si>
  <si>
    <t>Orbea</t>
  </si>
  <si>
    <t>Vêtement</t>
  </si>
  <si>
    <t>Prestation</t>
  </si>
  <si>
    <t>Equipement</t>
  </si>
  <si>
    <t>F50</t>
  </si>
  <si>
    <t>Predator</t>
  </si>
  <si>
    <t>Wave Sayonara</t>
  </si>
  <si>
    <t>Magista</t>
  </si>
  <si>
    <t>Tiempo</t>
  </si>
  <si>
    <t>Diables</t>
  </si>
  <si>
    <t>Kids</t>
  </si>
  <si>
    <t>Observations</t>
  </si>
  <si>
    <t>Raison sociale</t>
  </si>
  <si>
    <t>Ma Boutique</t>
  </si>
  <si>
    <t>Année</t>
  </si>
  <si>
    <t>Nombre de caisses</t>
  </si>
  <si>
    <t>Titre</t>
  </si>
  <si>
    <t>Registre des ventes</t>
  </si>
  <si>
    <t>Football</t>
  </si>
  <si>
    <t>Running</t>
  </si>
  <si>
    <t>Cordage</t>
  </si>
  <si>
    <t>Grimpe et rando</t>
  </si>
  <si>
    <t>Toutes catégories</t>
  </si>
  <si>
    <t>Tennis</t>
  </si>
  <si>
    <t>Cyclisme</t>
  </si>
  <si>
    <t>Sportswear</t>
  </si>
  <si>
    <t>Réparation vélo</t>
  </si>
  <si>
    <t>Vélo</t>
  </si>
  <si>
    <t>Rapport des ventes</t>
  </si>
  <si>
    <t>Remise moyenne</t>
  </si>
  <si>
    <t>Date</t>
  </si>
  <si>
    <t>Caisse</t>
  </si>
  <si>
    <t>Article</t>
  </si>
  <si>
    <t>Prix remisé</t>
  </si>
  <si>
    <t>Quantité</t>
  </si>
  <si>
    <t>Montant de la vente</t>
  </si>
  <si>
    <t xml:space="preserve">Vêtement-T-Shirt-Oxbow </t>
  </si>
  <si>
    <t xml:space="preserve">Prestation-Réparation vélo- </t>
  </si>
  <si>
    <t>Equipement-Vélo-Orbea Kids</t>
  </si>
  <si>
    <t xml:space="preserve">Equipement-Gourde-S+ </t>
  </si>
  <si>
    <t xml:space="preserve">Equipement-Cordage- </t>
  </si>
  <si>
    <t>Libellé</t>
  </si>
  <si>
    <t>Quantités vendues</t>
  </si>
  <si>
    <t>Total général</t>
  </si>
  <si>
    <t>(Tous)</t>
  </si>
  <si>
    <t>Montants</t>
  </si>
  <si>
    <t>Ballon de foot</t>
  </si>
  <si>
    <t>Chaussures de foot</t>
  </si>
  <si>
    <t>Maillot de foot</t>
  </si>
  <si>
    <t>Raquette de tennis</t>
  </si>
  <si>
    <t>Chaussures de running</t>
  </si>
  <si>
    <t>Vêtement-Maillot de foot-Adidas Diables</t>
  </si>
  <si>
    <t>Vêtement-Chaussures de foot-Nike Tiempo</t>
  </si>
  <si>
    <t>Vêtement-Chaussures de foot-Nike Mercurial</t>
  </si>
  <si>
    <t>Vêtement-Chaussures de foot-Nike Magista</t>
  </si>
  <si>
    <t>Vêtement-Chaussures de running-Mizuno Wave Sayonara</t>
  </si>
  <si>
    <t>Vêtement-Chaussures de running-Asics GT-2000</t>
  </si>
  <si>
    <t>Vêtement-Chaussures de foot-Adidas Predator</t>
  </si>
  <si>
    <t>Vêtement-Chaussures de foot-Adidas F10</t>
  </si>
  <si>
    <t xml:space="preserve">Equipement-Raquette de tennis-Babolat </t>
  </si>
  <si>
    <t xml:space="preserve">Prestation-Main d'œuvre- </t>
  </si>
  <si>
    <t>Equipement-Ballon de foot-Adidas F50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</si>
  <si>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</si>
  <si>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</si>
  <si>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</si>
  <si>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</si>
  <si>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</si>
  <si>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</si>
  <si>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</si>
  <si>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Cellule de travail</t>
  </si>
  <si>
    <t>Valeurs par défaut</t>
  </si>
  <si>
    <t>…</t>
  </si>
  <si>
    <t>Taux de remise</t>
  </si>
  <si>
    <t>16/01/2016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</si>
</sst>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#,##0&quot; article(s)&quot;"/>
    <numFmt numFmtId="168" formatCode="#,##0&quot; ligne(s)&quot;"/>
    <numFmt numFmtId="169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 Narrow"/>
      <family val="2"/>
    </font>
    <font>
      <sz val="26"/>
      <color theme="6" tint="-0.249977111117893"/>
      <name val="Arial Black"/>
      <family val="2"/>
    </font>
    <font>
      <b/>
      <sz val="18"/>
      <color theme="6" tint="-0.499984740745262"/>
      <name val="Calibri"/>
      <family val="2"/>
      <scheme val="minor"/>
    </font>
    <font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Arial Narrow"/>
      <family val="2"/>
    </font>
    <font>
      <b/>
      <sz val="18"/>
      <color theme="6" tint="-0.499984740745262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 applyFill="1" applyBorder="1" applyProtection="1">
      <protection locked="0"/>
    </xf>
    <xf numFmtId="0" fontId="6" fillId="4" borderId="0" xfId="0" applyFont="1" applyFill="1" applyAlignment="1">
      <alignment horizontal="center"/>
    </xf>
    <xf numFmtId="0" fontId="0" fillId="0" borderId="0" xfId="0" pivotButton="1"/>
    <xf numFmtId="169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9" fillId="6" borderId="0" xfId="0" applyFont="1" applyFill="1"/>
    <xf numFmtId="0" fontId="0" fillId="7" borderId="0" xfId="0" applyFill="1" applyAlignment="1">
      <alignment horizontal="left"/>
    </xf>
    <xf numFmtId="0" fontId="10" fillId="8" borderId="0" xfId="0" applyFont="1" applyFill="1"/>
    <xf numFmtId="0" fontId="0" fillId="8" borderId="0" xfId="0" applyFill="1"/>
    <xf numFmtId="0" fontId="8" fillId="6" borderId="0" xfId="0" applyFont="1" applyFill="1" applyAlignment="1" applyProtection="1">
      <alignment vertical="top"/>
    </xf>
    <xf numFmtId="0" fontId="8" fillId="6" borderId="0" xfId="0" applyFont="1" applyFill="1"/>
    <xf numFmtId="0" fontId="1" fillId="5" borderId="0" xfId="0" applyFont="1" applyFill="1" applyAlignment="1" applyProtection="1">
      <alignment vertical="top"/>
    </xf>
    <xf numFmtId="0" fontId="11" fillId="7" borderId="0" xfId="0" applyFont="1" applyFill="1" applyAlignment="1" applyProtection="1">
      <alignment horizontal="center"/>
      <protection locked="0"/>
    </xf>
    <xf numFmtId="0" fontId="11" fillId="7" borderId="0" xfId="0" applyFont="1" applyFill="1" applyAlignment="1" applyProtection="1">
      <alignment horizontal="center" wrapText="1"/>
      <protection locked="0"/>
    </xf>
    <xf numFmtId="0" fontId="8" fillId="8" borderId="0" xfId="0" applyFont="1" applyFill="1" applyProtection="1">
      <protection locked="0"/>
    </xf>
    <xf numFmtId="0" fontId="12" fillId="6" borderId="0" xfId="0" applyFont="1" applyFill="1"/>
    <xf numFmtId="0" fontId="13" fillId="6" borderId="0" xfId="0" applyFont="1" applyFill="1"/>
    <xf numFmtId="0" fontId="11" fillId="5" borderId="0" xfId="0" applyFont="1" applyFill="1"/>
    <xf numFmtId="0" fontId="0" fillId="7" borderId="0" xfId="0" applyFill="1" applyProtection="1">
      <protection locked="0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7" fillId="0" borderId="0" xfId="0" applyFont="1" applyFill="1" applyBorder="1" applyProtection="1"/>
    <xf numFmtId="0" fontId="3" fillId="0" borderId="0" xfId="0" applyFont="1" applyFill="1" applyBorder="1" applyProtection="1"/>
    <xf numFmtId="164" fontId="3" fillId="0" borderId="0" xfId="1" applyFont="1" applyFill="1" applyBorder="1" applyProtection="1"/>
    <xf numFmtId="166" fontId="3" fillId="0" borderId="0" xfId="2" applyNumberFormat="1" applyFont="1" applyFill="1" applyBorder="1" applyProtection="1"/>
    <xf numFmtId="10" fontId="3" fillId="2" borderId="0" xfId="3" applyNumberFormat="1" applyFont="1" applyFill="1" applyBorder="1" applyAlignment="1" applyProtection="1">
      <alignment horizontal="center"/>
    </xf>
    <xf numFmtId="164" fontId="3" fillId="2" borderId="0" xfId="1" applyFont="1" applyFill="1" applyBorder="1" applyProtection="1"/>
    <xf numFmtId="0" fontId="4" fillId="5" borderId="0" xfId="0" applyFont="1" applyFill="1" applyBorder="1" applyAlignment="1" applyProtection="1">
      <alignment vertical="top" wrapText="1"/>
    </xf>
    <xf numFmtId="164" fontId="4" fillId="2" borderId="0" xfId="1" applyFont="1" applyFill="1" applyBorder="1" applyAlignment="1" applyProtection="1">
      <alignment horizontal="center" vertical="top" wrapText="1"/>
    </xf>
    <xf numFmtId="164" fontId="4" fillId="5" borderId="0" xfId="1" applyFont="1" applyFill="1" applyBorder="1" applyAlignment="1" applyProtection="1">
      <alignment horizontal="center" vertical="top" wrapText="1"/>
    </xf>
    <xf numFmtId="0" fontId="4" fillId="0" borderId="0" xfId="0" applyFont="1" applyFill="1" applyBorder="1" applyAlignment="1" applyProtection="1">
      <alignment vertical="top" wrapText="1"/>
    </xf>
    <xf numFmtId="164" fontId="3" fillId="3" borderId="0" xfId="1" applyFont="1" applyFill="1" applyBorder="1" applyProtection="1"/>
    <xf numFmtId="10" fontId="3" fillId="3" borderId="0" xfId="3" applyNumberFormat="1" applyFont="1" applyFill="1" applyBorder="1" applyAlignment="1" applyProtection="1">
      <alignment horizontal="center"/>
    </xf>
    <xf numFmtId="0" fontId="3" fillId="5" borderId="0" xfId="0" applyFont="1" applyFill="1" applyBorder="1" applyProtection="1"/>
    <xf numFmtId="164" fontId="3" fillId="5" borderId="0" xfId="1" applyFont="1" applyFill="1" applyBorder="1" applyProtection="1"/>
    <xf numFmtId="10" fontId="3" fillId="0" borderId="0" xfId="3" applyNumberFormat="1" applyFont="1" applyFill="1" applyBorder="1" applyAlignment="1" applyProtection="1">
      <alignment horizontal="center"/>
    </xf>
    <xf numFmtId="167" fontId="3" fillId="2" borderId="0" xfId="0" applyNumberFormat="1" applyFont="1" applyFill="1" applyBorder="1" applyAlignment="1" applyProtection="1">
      <alignment horizontal="center"/>
    </xf>
    <xf numFmtId="166" fontId="3" fillId="2" borderId="0" xfId="2" applyNumberFormat="1" applyFont="1" applyFill="1" applyBorder="1" applyProtection="1"/>
    <xf numFmtId="0" fontId="4" fillId="2" borderId="0" xfId="0" applyFont="1" applyFill="1" applyBorder="1" applyAlignment="1" applyProtection="1">
      <alignment vertical="top" wrapText="1"/>
    </xf>
    <xf numFmtId="166" fontId="4" fillId="2" borderId="0" xfId="2" applyNumberFormat="1" applyFont="1" applyFill="1" applyBorder="1" applyAlignment="1" applyProtection="1">
      <alignment horizontal="center" vertical="top" wrapText="1"/>
    </xf>
    <xf numFmtId="10" fontId="4" fillId="2" borderId="0" xfId="3" applyNumberFormat="1" applyFont="1" applyFill="1" applyBorder="1" applyAlignment="1" applyProtection="1">
      <alignment horizontal="center" vertical="top" wrapText="1"/>
    </xf>
    <xf numFmtId="0" fontId="5" fillId="3" borderId="0" xfId="0" applyFont="1" applyFill="1" applyBorder="1" applyAlignment="1" applyProtection="1">
      <alignment horizontal="center"/>
    </xf>
    <xf numFmtId="166" fontId="3" fillId="3" borderId="0" xfId="2" applyNumberFormat="1" applyFont="1" applyFill="1" applyBorder="1" applyProtection="1"/>
    <xf numFmtId="0" fontId="5" fillId="3" borderId="0" xfId="0" applyFont="1" applyFill="1" applyBorder="1" applyProtection="1"/>
    <xf numFmtId="0" fontId="3" fillId="2" borderId="0" xfId="0" applyFont="1" applyFill="1" applyBorder="1" applyProtection="1"/>
    <xf numFmtId="165" fontId="3" fillId="2" borderId="0" xfId="2" applyFont="1" applyFill="1" applyBorder="1" applyProtection="1"/>
    <xf numFmtId="164" fontId="4" fillId="5" borderId="0" xfId="1" applyFont="1" applyFill="1" applyBorder="1" applyAlignment="1" applyProtection="1">
      <alignment horizontal="left" vertical="top" wrapText="1"/>
    </xf>
    <xf numFmtId="165" fontId="3" fillId="3" borderId="0" xfId="2" applyFont="1" applyFill="1" applyBorder="1" applyProtection="1"/>
    <xf numFmtId="164" fontId="3" fillId="5" borderId="0" xfId="1" applyFont="1" applyFill="1" applyBorder="1" applyAlignment="1" applyProtection="1">
      <alignment horizontal="left"/>
    </xf>
    <xf numFmtId="0" fontId="3" fillId="4" borderId="0" xfId="0" applyFont="1" applyFill="1" applyBorder="1" applyProtection="1"/>
    <xf numFmtId="0" fontId="5" fillId="0" borderId="0" xfId="0" applyFont="1" applyFill="1" applyBorder="1" applyProtection="1"/>
    <xf numFmtId="168" fontId="5" fillId="2" borderId="0" xfId="0" applyNumberFormat="1" applyFont="1" applyFill="1" applyBorder="1" applyAlignment="1" applyProtection="1">
      <alignment horizontal="center"/>
    </xf>
    <xf numFmtId="0" fontId="14" fillId="5" borderId="0" xfId="0" applyFont="1" applyFill="1" applyBorder="1" applyAlignment="1" applyProtection="1">
      <alignment vertical="top" wrapText="1"/>
    </xf>
    <xf numFmtId="0" fontId="5" fillId="5" borderId="0" xfId="0" applyFont="1" applyFill="1" applyBorder="1" applyProtection="1"/>
    <xf numFmtId="14" fontId="15" fillId="0" borderId="0" xfId="0" applyNumberFormat="1" applyFont="1" applyFill="1" applyBorder="1" applyProtection="1"/>
    <xf numFmtId="0" fontId="5" fillId="0" borderId="0" xfId="0" applyFont="1" applyFill="1" applyBorder="1" applyAlignment="1" applyProtection="1">
      <alignment horizontal="center"/>
    </xf>
    <xf numFmtId="164" fontId="5" fillId="0" borderId="0" xfId="1" applyFont="1" applyFill="1" applyBorder="1" applyProtection="1"/>
    <xf numFmtId="166" fontId="5" fillId="0" borderId="0" xfId="2" applyNumberFormat="1" applyFont="1" applyFill="1" applyBorder="1" applyAlignment="1" applyProtection="1">
      <alignment horizontal="center"/>
    </xf>
    <xf numFmtId="166" fontId="5" fillId="0" borderId="0" xfId="2" applyNumberFormat="1" applyFont="1" applyFill="1" applyBorder="1" applyProtection="1"/>
    <xf numFmtId="14" fontId="5" fillId="0" borderId="0" xfId="0" applyNumberFormat="1" applyFont="1" applyFill="1" applyBorder="1" applyProtection="1"/>
    <xf numFmtId="10" fontId="5" fillId="2" borderId="0" xfId="3" applyNumberFormat="1" applyFont="1" applyFill="1" applyBorder="1" applyAlignment="1" applyProtection="1">
      <alignment horizontal="center"/>
    </xf>
    <xf numFmtId="164" fontId="5" fillId="2" borderId="0" xfId="1" applyFont="1" applyFill="1" applyBorder="1" applyProtection="1"/>
    <xf numFmtId="14" fontId="14" fillId="5" borderId="0" xfId="0" applyNumberFormat="1" applyFont="1" applyFill="1" applyBorder="1" applyAlignment="1" applyProtection="1">
      <alignment horizontal="center" vertical="top" wrapText="1"/>
    </xf>
    <xf numFmtId="0" fontId="14" fillId="5" borderId="0" xfId="0" applyFont="1" applyFill="1" applyBorder="1" applyAlignment="1" applyProtection="1">
      <alignment horizontal="center" vertical="top" wrapText="1"/>
    </xf>
    <xf numFmtId="164" fontId="14" fillId="2" borderId="0" xfId="1" applyFont="1" applyFill="1" applyBorder="1" applyAlignment="1" applyProtection="1">
      <alignment horizontal="center" vertical="top" wrapText="1"/>
    </xf>
    <xf numFmtId="164" fontId="14" fillId="5" borderId="0" xfId="1" applyFont="1" applyFill="1" applyBorder="1" applyAlignment="1" applyProtection="1">
      <alignment horizontal="center" vertical="top" wrapText="1"/>
    </xf>
    <xf numFmtId="165" fontId="14" fillId="5" borderId="0" xfId="2" applyFont="1" applyFill="1" applyBorder="1" applyAlignment="1" applyProtection="1">
      <alignment horizontal="center" vertical="top" wrapText="1"/>
    </xf>
    <xf numFmtId="0" fontId="14" fillId="0" borderId="0" xfId="0" applyFont="1" applyFill="1" applyBorder="1" applyAlignment="1" applyProtection="1">
      <alignment vertical="top" wrapText="1"/>
    </xf>
    <xf numFmtId="14" fontId="5" fillId="0" borderId="0" xfId="0" applyNumberFormat="1" applyFont="1" applyFill="1" applyBorder="1" applyAlignment="1" applyProtection="1">
      <alignment horizontal="center"/>
    </xf>
    <xf numFmtId="164" fontId="5" fillId="3" borderId="0" xfId="1" applyFont="1" applyFill="1" applyBorder="1" applyProtection="1"/>
    <xf numFmtId="10" fontId="5" fillId="3" borderId="0" xfId="3" applyNumberFormat="1" applyFont="1" applyFill="1" applyBorder="1" applyAlignment="1" applyProtection="1">
      <alignment horizontal="center"/>
    </xf>
    <xf numFmtId="165" fontId="5" fillId="0" borderId="0" xfId="2" applyFont="1" applyFill="1" applyBorder="1" applyProtection="1"/>
    <xf numFmtId="0" fontId="5" fillId="0" borderId="0" xfId="0" applyFont="1" applyFill="1" applyBorder="1" applyProtection="1">
      <protection locked="0"/>
    </xf>
    <xf numFmtId="14" fontId="5" fillId="5" borderId="0" xfId="0" applyNumberFormat="1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/>
    </xf>
    <xf numFmtId="164" fontId="5" fillId="5" borderId="0" xfId="1" applyFont="1" applyFill="1" applyBorder="1" applyProtection="1"/>
    <xf numFmtId="164" fontId="5" fillId="2" borderId="0" xfId="1" applyFont="1" applyFill="1" applyBorder="1" applyAlignment="1" applyProtection="1">
      <alignment horizontal="center"/>
    </xf>
    <xf numFmtId="165" fontId="5" fillId="5" borderId="0" xfId="2" applyFont="1" applyFill="1" applyBorder="1" applyProtection="1"/>
    <xf numFmtId="0" fontId="7" fillId="0" borderId="0" xfId="0" applyFont="1" applyFill="1" applyBorder="1" applyAlignment="1">
      <alignment horizontal="left"/>
    </xf>
    <xf numFmtId="0" fontId="0" fillId="0" borderId="0" xfId="0" pivotButton="1" applyAlignment="1">
      <alignment horizontal="left"/>
    </xf>
    <xf numFmtId="0" fontId="0" fillId="0" borderId="0" xfId="0" pivotButton="1" applyAlignment="1">
      <alignment horizontal="left" vertical="top" wrapText="1"/>
    </xf>
    <xf numFmtId="14" fontId="0" fillId="0" borderId="0" xfId="0" applyNumberFormat="1" applyAlignment="1">
      <alignment horizontal="left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18"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[Registre des ventes.xlsm]Statistiques!Tableau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Statistiques!$B$6:$B$7</c:f>
              <c:strCache>
                <c:ptCount val="1"/>
                <c:pt idx="0">
                  <c:v>1</c:v>
                </c:pt>
              </c:strCache>
            </c:strRef>
          </c:tx>
          <c:cat>
            <c:strRef>
              <c:f>Statistiques!$A$8:$A$11</c:f>
              <c:strCache>
                <c:ptCount val="3"/>
                <c:pt idx="0">
                  <c:v>14/01/2016</c:v>
                </c:pt>
                <c:pt idx="1">
                  <c:v>15/01/2016</c:v>
                </c:pt>
                <c:pt idx="2">
                  <c:v>16/01/2016</c:v>
                </c:pt>
              </c:strCache>
            </c:strRef>
          </c:cat>
          <c:val>
            <c:numRef>
              <c:f>Statistiques!$B$8:$B$11</c:f>
              <c:numCache>
                <c:formatCode>#,##0.00\ "€"</c:formatCode>
                <c:ptCount val="3"/>
                <c:pt idx="0">
                  <c:v>1487</c:v>
                </c:pt>
                <c:pt idx="1">
                  <c:v>977</c:v>
                </c:pt>
                <c:pt idx="2">
                  <c:v>1158</c:v>
                </c:pt>
              </c:numCache>
            </c:numRef>
          </c:val>
        </c:ser>
        <c:ser>
          <c:idx val="1"/>
          <c:order val="1"/>
          <c:tx>
            <c:strRef>
              <c:f>Statistiques!$C$6:$C$7</c:f>
              <c:strCache>
                <c:ptCount val="1"/>
                <c:pt idx="0">
                  <c:v>2</c:v>
                </c:pt>
              </c:strCache>
            </c:strRef>
          </c:tx>
          <c:cat>
            <c:strRef>
              <c:f>Statistiques!$A$8:$A$11</c:f>
              <c:strCache>
                <c:ptCount val="3"/>
                <c:pt idx="0">
                  <c:v>14/01/2016</c:v>
                </c:pt>
                <c:pt idx="1">
                  <c:v>15/01/2016</c:v>
                </c:pt>
                <c:pt idx="2">
                  <c:v>16/01/2016</c:v>
                </c:pt>
              </c:strCache>
            </c:strRef>
          </c:cat>
          <c:val>
            <c:numRef>
              <c:f>Statistiques!$C$8:$C$11</c:f>
              <c:numCache>
                <c:formatCode>#,##0.00\ "€"</c:formatCode>
                <c:ptCount val="3"/>
                <c:pt idx="0">
                  <c:v>455</c:v>
                </c:pt>
                <c:pt idx="1">
                  <c:v>530</c:v>
                </c:pt>
                <c:pt idx="2">
                  <c:v>750</c:v>
                </c:pt>
              </c:numCache>
            </c:numRef>
          </c:val>
        </c:ser>
        <c:shape val="cylinder"/>
        <c:axId val="123151104"/>
        <c:axId val="123152640"/>
        <c:axId val="0"/>
      </c:bar3DChart>
      <c:catAx>
        <c:axId val="123151104"/>
        <c:scaling>
          <c:orientation val="minMax"/>
        </c:scaling>
        <c:axPos val="b"/>
        <c:tickLblPos val="nextTo"/>
        <c:crossAx val="123152640"/>
        <c:crosses val="autoZero"/>
        <c:auto val="1"/>
        <c:lblAlgn val="ctr"/>
        <c:lblOffset val="100"/>
      </c:catAx>
      <c:valAx>
        <c:axId val="123152640"/>
        <c:scaling>
          <c:orientation val="minMax"/>
        </c:scaling>
        <c:axPos val="l"/>
        <c:majorGridlines/>
        <c:numFmt formatCode="#,##0.00\ &quot;€&quot;" sourceLinked="1"/>
        <c:tickLblPos val="nextTo"/>
        <c:crossAx val="12315110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t&#233;gories!A5"/><Relationship Id="rId3" Type="http://schemas.openxmlformats.org/officeDocument/2006/relationships/hyperlink" Target="#Marques!A5"/><Relationship Id="rId7" Type="http://schemas.openxmlformats.org/officeDocument/2006/relationships/hyperlink" Target="#Articles!A5"/><Relationship Id="rId2" Type="http://schemas.openxmlformats.org/officeDocument/2006/relationships/hyperlink" Target="#Ventes!A5"/><Relationship Id="rId1" Type="http://schemas.openxmlformats.org/officeDocument/2006/relationships/image" Target="../media/image1.jpeg"/><Relationship Id="rId6" Type="http://schemas.openxmlformats.org/officeDocument/2006/relationships/hyperlink" Target="#Statistiques!A1"/><Relationship Id="rId5" Type="http://schemas.openxmlformats.org/officeDocument/2006/relationships/hyperlink" Target="#Param&#232;tres!A1"/><Relationship Id="rId4" Type="http://schemas.openxmlformats.org/officeDocument/2006/relationships/hyperlink" Target="#Natures!A5"/><Relationship Id="rId9" Type="http://schemas.openxmlformats.org/officeDocument/2006/relationships/hyperlink" Target="#Typ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chart" Target="../charts/chart1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876302</xdr:rowOff>
    </xdr:from>
    <xdr:to>
      <xdr:col>0</xdr:col>
      <xdr:colOff>2333625</xdr:colOff>
      <xdr:row>1</xdr:row>
      <xdr:rowOff>2667001</xdr:rowOff>
    </xdr:to>
    <xdr:pic>
      <xdr:nvPicPr>
        <xdr:cNvPr id="2" name="Image 1" descr="Ma_Boutiq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3">
              <a:tint val="45000"/>
              <a:satMod val="400000"/>
            </a:schemeClr>
          </a:duotone>
        </a:blip>
        <a:stretch>
          <a:fillRect/>
        </a:stretch>
      </xdr:blipFill>
      <xdr:spPr>
        <a:xfrm>
          <a:off x="485775" y="876302"/>
          <a:ext cx="1847850" cy="2886074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6350" stA="50000" endA="300" endPos="90000" dist="50800" dir="5400000" sy="-100000" algn="bl" rotWithShape="0"/>
        </a:effectLst>
      </xdr:spPr>
    </xdr:pic>
    <xdr:clientData/>
  </xdr:twoCellAnchor>
  <xdr:twoCellAnchor>
    <xdr:from>
      <xdr:col>1</xdr:col>
      <xdr:colOff>1809750</xdr:colOff>
      <xdr:row>1</xdr:row>
      <xdr:rowOff>419100</xdr:rowOff>
    </xdr:from>
    <xdr:to>
      <xdr:col>1</xdr:col>
      <xdr:colOff>3057525</xdr:colOff>
      <xdr:row>1</xdr:row>
      <xdr:rowOff>1019175</xdr:rowOff>
    </xdr:to>
    <xdr:sp macro="" textlink="">
      <xdr:nvSpPr>
        <xdr:cNvPr id="3" name="Rectangle à coins arrondis 2">
          <a:hlinkClick xmlns:r="http://schemas.openxmlformats.org/officeDocument/2006/relationships" r:id="rId2" tooltip="Ventes"/>
        </xdr:cNvPr>
        <xdr:cNvSpPr/>
      </xdr:nvSpPr>
      <xdr:spPr>
        <a:xfrm>
          <a:off x="4276725" y="2019300"/>
          <a:ext cx="1247775" cy="6000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Ventes</a:t>
          </a:r>
        </a:p>
      </xdr:txBody>
    </xdr:sp>
    <xdr:clientData/>
  </xdr:twoCellAnchor>
  <xdr:twoCellAnchor>
    <xdr:from>
      <xdr:col>1</xdr:col>
      <xdr:colOff>3238500</xdr:colOff>
      <xdr:row>1</xdr:row>
      <xdr:rowOff>1171575</xdr:rowOff>
    </xdr:from>
    <xdr:to>
      <xdr:col>1</xdr:col>
      <xdr:colOff>4486275</xdr:colOff>
      <xdr:row>1</xdr:row>
      <xdr:rowOff>1752600</xdr:rowOff>
    </xdr:to>
    <xdr:sp macro="" textlink="">
      <xdr:nvSpPr>
        <xdr:cNvPr id="4" name="Rectangle à coins arrondis 3">
          <a:hlinkClick xmlns:r="http://schemas.openxmlformats.org/officeDocument/2006/relationships" r:id="rId3" tooltip="Marques"/>
        </xdr:cNvPr>
        <xdr:cNvSpPr/>
      </xdr:nvSpPr>
      <xdr:spPr>
        <a:xfrm>
          <a:off x="5705475" y="2771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Marques</a:t>
          </a:r>
        </a:p>
      </xdr:txBody>
    </xdr:sp>
    <xdr:clientData/>
  </xdr:twoCellAnchor>
  <xdr:twoCellAnchor>
    <xdr:from>
      <xdr:col>1</xdr:col>
      <xdr:colOff>4667250</xdr:colOff>
      <xdr:row>1</xdr:row>
      <xdr:rowOff>1152525</xdr:rowOff>
    </xdr:from>
    <xdr:to>
      <xdr:col>1</xdr:col>
      <xdr:colOff>5915025</xdr:colOff>
      <xdr:row>1</xdr:row>
      <xdr:rowOff>1733550</xdr:rowOff>
    </xdr:to>
    <xdr:sp macro="" textlink="">
      <xdr:nvSpPr>
        <xdr:cNvPr id="5" name="Rectangle à coins arrondis 4">
          <a:hlinkClick xmlns:r="http://schemas.openxmlformats.org/officeDocument/2006/relationships" r:id="rId4" tooltip="Natures"/>
        </xdr:cNvPr>
        <xdr:cNvSpPr/>
      </xdr:nvSpPr>
      <xdr:spPr>
        <a:xfrm>
          <a:off x="7134225" y="275272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Natures</a:t>
          </a:r>
        </a:p>
      </xdr:txBody>
    </xdr:sp>
    <xdr:clientData/>
  </xdr:twoCellAnchor>
  <xdr:twoCellAnchor>
    <xdr:from>
      <xdr:col>1</xdr:col>
      <xdr:colOff>3257550</xdr:colOff>
      <xdr:row>1</xdr:row>
      <xdr:rowOff>1933575</xdr:rowOff>
    </xdr:from>
    <xdr:to>
      <xdr:col>1</xdr:col>
      <xdr:colOff>4505325</xdr:colOff>
      <xdr:row>1</xdr:row>
      <xdr:rowOff>2514600</xdr:rowOff>
    </xdr:to>
    <xdr:sp macro="" textlink="">
      <xdr:nvSpPr>
        <xdr:cNvPr id="7" name="Rectangle à coins arrondis 6">
          <a:hlinkClick xmlns:r="http://schemas.openxmlformats.org/officeDocument/2006/relationships" r:id="rId5" tooltip="Paramètres"/>
        </xdr:cNvPr>
        <xdr:cNvSpPr/>
      </xdr:nvSpPr>
      <xdr:spPr>
        <a:xfrm>
          <a:off x="5724525" y="3533775"/>
          <a:ext cx="1247775" cy="5810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Paramètres</a:t>
          </a:r>
        </a:p>
      </xdr:txBody>
    </xdr:sp>
    <xdr:clientData/>
  </xdr:twoCellAnchor>
  <xdr:twoCellAnchor>
    <xdr:from>
      <xdr:col>1</xdr:col>
      <xdr:colOff>1819275</xdr:colOff>
      <xdr:row>1</xdr:row>
      <xdr:rowOff>1933575</xdr:rowOff>
    </xdr:from>
    <xdr:to>
      <xdr:col>1</xdr:col>
      <xdr:colOff>3067050</xdr:colOff>
      <xdr:row>1</xdr:row>
      <xdr:rowOff>2514600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4286250" y="3533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Statistiques</a:t>
          </a:r>
        </a:p>
      </xdr:txBody>
    </xdr:sp>
    <xdr:clientData/>
  </xdr:twoCellAnchor>
  <xdr:twoCellAnchor>
    <xdr:from>
      <xdr:col>1</xdr:col>
      <xdr:colOff>4676775</xdr:colOff>
      <xdr:row>1</xdr:row>
      <xdr:rowOff>1924050</xdr:rowOff>
    </xdr:from>
    <xdr:to>
      <xdr:col>1</xdr:col>
      <xdr:colOff>5924550</xdr:colOff>
      <xdr:row>1</xdr:row>
      <xdr:rowOff>2505075</xdr:rowOff>
    </xdr:to>
    <xdr:sp macro="[0]!Quitter" textlink="">
      <xdr:nvSpPr>
        <xdr:cNvPr id="9" name="Rectangle à coins arrondis 8"/>
        <xdr:cNvSpPr/>
      </xdr:nvSpPr>
      <xdr:spPr>
        <a:xfrm>
          <a:off x="7143750" y="3190875"/>
          <a:ext cx="1247775" cy="5810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Quitter</a:t>
          </a:r>
        </a:p>
      </xdr:txBody>
    </xdr:sp>
    <xdr:clientData/>
  </xdr:twoCellAnchor>
  <xdr:twoCellAnchor>
    <xdr:from>
      <xdr:col>1</xdr:col>
      <xdr:colOff>3238500</xdr:colOff>
      <xdr:row>1</xdr:row>
      <xdr:rowOff>400050</xdr:rowOff>
    </xdr:from>
    <xdr:to>
      <xdr:col>1</xdr:col>
      <xdr:colOff>4486275</xdr:colOff>
      <xdr:row>1</xdr:row>
      <xdr:rowOff>981075</xdr:rowOff>
    </xdr:to>
    <xdr:sp macro="" textlink="">
      <xdr:nvSpPr>
        <xdr:cNvPr id="15" name="Rectangle à coins arrondis 14">
          <a:hlinkClick xmlns:r="http://schemas.openxmlformats.org/officeDocument/2006/relationships" r:id="rId7" tooltip="Articles"/>
        </xdr:cNvPr>
        <xdr:cNvSpPr/>
      </xdr:nvSpPr>
      <xdr:spPr>
        <a:xfrm>
          <a:off x="5705475" y="20002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Articles</a:t>
          </a:r>
        </a:p>
      </xdr:txBody>
    </xdr:sp>
    <xdr:clientData/>
  </xdr:twoCellAnchor>
  <xdr:twoCellAnchor>
    <xdr:from>
      <xdr:col>1</xdr:col>
      <xdr:colOff>1800225</xdr:colOff>
      <xdr:row>1</xdr:row>
      <xdr:rowOff>1200150</xdr:rowOff>
    </xdr:from>
    <xdr:to>
      <xdr:col>1</xdr:col>
      <xdr:colOff>3048000</xdr:colOff>
      <xdr:row>1</xdr:row>
      <xdr:rowOff>1781175</xdr:rowOff>
    </xdr:to>
    <xdr:sp macro="" textlink="">
      <xdr:nvSpPr>
        <xdr:cNvPr id="16" name="Rectangle à coins arrondis 15">
          <a:hlinkClick xmlns:r="http://schemas.openxmlformats.org/officeDocument/2006/relationships" r:id="rId8" tooltip="Catégories"/>
        </xdr:cNvPr>
        <xdr:cNvSpPr/>
      </xdr:nvSpPr>
      <xdr:spPr>
        <a:xfrm>
          <a:off x="4267200" y="28003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Catégories</a:t>
          </a:r>
        </a:p>
      </xdr:txBody>
    </xdr:sp>
    <xdr:clientData/>
  </xdr:twoCellAnchor>
  <xdr:twoCellAnchor>
    <xdr:from>
      <xdr:col>1</xdr:col>
      <xdr:colOff>4686300</xdr:colOff>
      <xdr:row>1</xdr:row>
      <xdr:rowOff>400050</xdr:rowOff>
    </xdr:from>
    <xdr:to>
      <xdr:col>1</xdr:col>
      <xdr:colOff>5934075</xdr:colOff>
      <xdr:row>1</xdr:row>
      <xdr:rowOff>981075</xdr:rowOff>
    </xdr:to>
    <xdr:sp macro="" textlink="">
      <xdr:nvSpPr>
        <xdr:cNvPr id="17" name="Rectangle à coins arrondis 16">
          <a:hlinkClick xmlns:r="http://schemas.openxmlformats.org/officeDocument/2006/relationships" r:id="rId9" tooltip="Types"/>
        </xdr:cNvPr>
        <xdr:cNvSpPr/>
      </xdr:nvSpPr>
      <xdr:spPr>
        <a:xfrm>
          <a:off x="7153275" y="16668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Types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2</xdr:row>
      <xdr:rowOff>66675</xdr:rowOff>
    </xdr:from>
    <xdr:to>
      <xdr:col>0</xdr:col>
      <xdr:colOff>600075</xdr:colOff>
      <xdr:row>2</xdr:row>
      <xdr:rowOff>495299</xdr:rowOff>
    </xdr:to>
    <xdr:sp macro="[0]!Feuil2.Afficher_Form_Ajout_Ventes" textlink="">
      <xdr:nvSpPr>
        <xdr:cNvPr id="2" name="Rectangle à coins arrondis 1"/>
        <xdr:cNvSpPr/>
      </xdr:nvSpPr>
      <xdr:spPr>
        <a:xfrm>
          <a:off x="15240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232682</xdr:colOff>
      <xdr:row>2</xdr:row>
      <xdr:rowOff>66675</xdr:rowOff>
    </xdr:from>
    <xdr:to>
      <xdr:col>2</xdr:col>
      <xdr:colOff>685799</xdr:colOff>
      <xdr:row>2</xdr:row>
      <xdr:rowOff>495299</xdr:rowOff>
    </xdr:to>
    <xdr:sp macro="[0]!Feuil2.Supprimer_Ventes" textlink="">
      <xdr:nvSpPr>
        <xdr:cNvPr id="3" name="Rectangle à coins arrondis 2"/>
        <xdr:cNvSpPr/>
      </xdr:nvSpPr>
      <xdr:spPr>
        <a:xfrm>
          <a:off x="1709057" y="571500"/>
          <a:ext cx="453117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666750</xdr:colOff>
      <xdr:row>2</xdr:row>
      <xdr:rowOff>66675</xdr:rowOff>
    </xdr:from>
    <xdr:to>
      <xdr:col>1</xdr:col>
      <xdr:colOff>238125</xdr:colOff>
      <xdr:row>2</xdr:row>
      <xdr:rowOff>495299</xdr:rowOff>
    </xdr:to>
    <xdr:sp macro="[0]!Feuil2.Afficher_Form_Modif_Ventes" textlink="">
      <xdr:nvSpPr>
        <xdr:cNvPr id="4" name="Rectangle à coins arrondis 3"/>
        <xdr:cNvSpPr/>
      </xdr:nvSpPr>
      <xdr:spPr>
        <a:xfrm>
          <a:off x="66675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306219</xdr:colOff>
      <xdr:row>2</xdr:row>
      <xdr:rowOff>66675</xdr:rowOff>
    </xdr:from>
    <xdr:to>
      <xdr:col>2</xdr:col>
      <xdr:colOff>153819</xdr:colOff>
      <xdr:row>2</xdr:row>
      <xdr:rowOff>495299</xdr:rowOff>
    </xdr:to>
    <xdr:sp macro="[0]!Feuil2.Trier_Ventes" textlink="">
      <xdr:nvSpPr>
        <xdr:cNvPr id="5" name="Rectangle à coins arrondis 4"/>
        <xdr:cNvSpPr/>
      </xdr:nvSpPr>
      <xdr:spPr>
        <a:xfrm>
          <a:off x="1182519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803583</xdr:colOff>
      <xdr:row>2</xdr:row>
      <xdr:rowOff>64366</xdr:rowOff>
    </xdr:from>
    <xdr:to>
      <xdr:col>2</xdr:col>
      <xdr:colOff>1250151</xdr:colOff>
      <xdr:row>2</xdr:row>
      <xdr:rowOff>486701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9958" y="5691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1325032</xdr:colOff>
      <xdr:row>2</xdr:row>
      <xdr:rowOff>67733</xdr:rowOff>
    </xdr:from>
    <xdr:to>
      <xdr:col>2</xdr:col>
      <xdr:colOff>1775834</xdr:colOff>
      <xdr:row>2</xdr:row>
      <xdr:rowOff>490068</xdr:rowOff>
    </xdr:to>
    <xdr:sp macro="[0]!Routines.Enregistrer" textlink="">
      <xdr:nvSpPr>
        <xdr:cNvPr id="7" name="Bouton_Accueil"/>
        <xdr:cNvSpPr/>
      </xdr:nvSpPr>
      <xdr:spPr>
        <a:xfrm>
          <a:off x="2801407" y="5725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57150</xdr:colOff>
      <xdr:row>2</xdr:row>
      <xdr:rowOff>38100</xdr:rowOff>
    </xdr:from>
    <xdr:to>
      <xdr:col>1</xdr:col>
      <xdr:colOff>504825</xdr:colOff>
      <xdr:row>2</xdr:row>
      <xdr:rowOff>466724</xdr:rowOff>
    </xdr:to>
    <xdr:sp macro="" textlink="">
      <xdr:nvSpPr>
        <xdr:cNvPr id="2" name="Rectangle à coins arrondis 1"/>
        <xdr:cNvSpPr/>
      </xdr:nvSpPr>
      <xdr:spPr>
        <a:xfrm>
          <a:off x="419100" y="52387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213633</xdr:colOff>
      <xdr:row>2</xdr:row>
      <xdr:rowOff>38100</xdr:rowOff>
    </xdr:from>
    <xdr:to>
      <xdr:col>2</xdr:col>
      <xdr:colOff>663008</xdr:colOff>
      <xdr:row>2</xdr:row>
      <xdr:rowOff>466724</xdr:rowOff>
    </xdr:to>
    <xdr:sp macro="" textlink="">
      <xdr:nvSpPr>
        <xdr:cNvPr id="3" name="Rectangle à coins arrondis 2"/>
        <xdr:cNvSpPr/>
      </xdr:nvSpPr>
      <xdr:spPr>
        <a:xfrm>
          <a:off x="1975758" y="523875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571500</xdr:colOff>
      <xdr:row>2</xdr:row>
      <xdr:rowOff>38100</xdr:rowOff>
    </xdr:from>
    <xdr:to>
      <xdr:col>1</xdr:col>
      <xdr:colOff>1019175</xdr:colOff>
      <xdr:row>2</xdr:row>
      <xdr:rowOff>466724</xdr:rowOff>
    </xdr:to>
    <xdr:sp macro="" textlink="">
      <xdr:nvSpPr>
        <xdr:cNvPr id="4" name="Rectangle à coins arrondis 3"/>
        <xdr:cNvSpPr/>
      </xdr:nvSpPr>
      <xdr:spPr>
        <a:xfrm>
          <a:off x="933450" y="52387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1087269</xdr:colOff>
      <xdr:row>2</xdr:row>
      <xdr:rowOff>38100</xdr:rowOff>
    </xdr:from>
    <xdr:to>
      <xdr:col>2</xdr:col>
      <xdr:colOff>134769</xdr:colOff>
      <xdr:row>2</xdr:row>
      <xdr:rowOff>466724</xdr:rowOff>
    </xdr:to>
    <xdr:sp macro="" textlink="">
      <xdr:nvSpPr>
        <xdr:cNvPr id="5" name="Rectangle à coins arrondis 4"/>
        <xdr:cNvSpPr/>
      </xdr:nvSpPr>
      <xdr:spPr>
        <a:xfrm>
          <a:off x="1449219" y="52387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784533</xdr:colOff>
      <xdr:row>2</xdr:row>
      <xdr:rowOff>35791</xdr:rowOff>
    </xdr:from>
    <xdr:to>
      <xdr:col>2</xdr:col>
      <xdr:colOff>1231101</xdr:colOff>
      <xdr:row>2</xdr:row>
      <xdr:rowOff>458126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546658" y="521566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10582</xdr:colOff>
      <xdr:row>2</xdr:row>
      <xdr:rowOff>39158</xdr:rowOff>
    </xdr:from>
    <xdr:to>
      <xdr:col>3</xdr:col>
      <xdr:colOff>461384</xdr:colOff>
      <xdr:row>2</xdr:row>
      <xdr:rowOff>461493</xdr:rowOff>
    </xdr:to>
    <xdr:sp macro="[0]!Routines.Enregistrer" textlink="">
      <xdr:nvSpPr>
        <xdr:cNvPr id="7" name="Bouton_Accueil"/>
        <xdr:cNvSpPr/>
      </xdr:nvSpPr>
      <xdr:spPr>
        <a:xfrm>
          <a:off x="3068107" y="524933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1</xdr:col>
      <xdr:colOff>377258</xdr:colOff>
      <xdr:row>2</xdr:row>
      <xdr:rowOff>476249</xdr:rowOff>
    </xdr:to>
    <xdr:sp macro="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498783</xdr:colOff>
      <xdr:row>2</xdr:row>
      <xdr:rowOff>45316</xdr:rowOff>
    </xdr:from>
    <xdr:to>
      <xdr:col>1</xdr:col>
      <xdr:colOff>945351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1020232</xdr:colOff>
      <xdr:row>2</xdr:row>
      <xdr:rowOff>48683</xdr:rowOff>
    </xdr:from>
    <xdr:to>
      <xdr:col>1</xdr:col>
      <xdr:colOff>1471034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21</xdr:row>
      <xdr:rowOff>114300</xdr:rowOff>
    </xdr:from>
    <xdr:to>
      <xdr:col>9</xdr:col>
      <xdr:colOff>876300</xdr:colOff>
      <xdr:row>35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714375</xdr:colOff>
      <xdr:row>1</xdr:row>
      <xdr:rowOff>47625</xdr:rowOff>
    </xdr:from>
    <xdr:to>
      <xdr:col>0</xdr:col>
      <xdr:colOff>1160943</xdr:colOff>
      <xdr:row>1</xdr:row>
      <xdr:rowOff>469960</xdr:rowOff>
    </xdr:to>
    <xdr:sp macro="" textlink="">
      <xdr:nvSpPr>
        <xdr:cNvPr id="3" name="Bouton_Accueil">
          <a:hlinkClick xmlns:r="http://schemas.openxmlformats.org/officeDocument/2006/relationships" r:id="rId2" tooltip="Accueil"/>
        </xdr:cNvPr>
        <xdr:cNvSpPr/>
      </xdr:nvSpPr>
      <xdr:spPr>
        <a:xfrm>
          <a:off x="714375" y="3429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1235824</xdr:colOff>
      <xdr:row>1</xdr:row>
      <xdr:rowOff>50992</xdr:rowOff>
    </xdr:from>
    <xdr:to>
      <xdr:col>1</xdr:col>
      <xdr:colOff>286451</xdr:colOff>
      <xdr:row>1</xdr:row>
      <xdr:rowOff>473327</xdr:rowOff>
    </xdr:to>
    <xdr:sp macro="[0]!Routines.Enregistrer" textlink="">
      <xdr:nvSpPr>
        <xdr:cNvPr id="4" name="Bouton_Accueil"/>
        <xdr:cNvSpPr/>
      </xdr:nvSpPr>
      <xdr:spPr>
        <a:xfrm>
          <a:off x="1235824" y="3462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142875</xdr:colOff>
      <xdr:row>1</xdr:row>
      <xdr:rowOff>66675</xdr:rowOff>
    </xdr:from>
    <xdr:to>
      <xdr:col>3</xdr:col>
      <xdr:colOff>589443</xdr:colOff>
      <xdr:row>3</xdr:row>
      <xdr:rowOff>88960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5448300" y="2667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3</xdr:row>
      <xdr:rowOff>165292</xdr:rowOff>
    </xdr:from>
    <xdr:to>
      <xdr:col>3</xdr:col>
      <xdr:colOff>600776</xdr:colOff>
      <xdr:row>5</xdr:row>
      <xdr:rowOff>159002</xdr:rowOff>
    </xdr:to>
    <xdr:sp macro="[0]!Routines.Enregistrer" textlink="">
      <xdr:nvSpPr>
        <xdr:cNvPr id="3" name="Bouton_Accueil"/>
        <xdr:cNvSpPr/>
      </xdr:nvSpPr>
      <xdr:spPr>
        <a:xfrm>
          <a:off x="5455399" y="7653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6</xdr:row>
      <xdr:rowOff>60517</xdr:rowOff>
    </xdr:from>
    <xdr:to>
      <xdr:col>3</xdr:col>
      <xdr:colOff>600776</xdr:colOff>
      <xdr:row>7</xdr:row>
      <xdr:rowOff>197102</xdr:rowOff>
    </xdr:to>
    <xdr:sp macro="[0]!Réglages.Réglages" textlink="">
      <xdr:nvSpPr>
        <xdr:cNvPr id="5" name="Bouton_Accueil"/>
        <xdr:cNvSpPr/>
      </xdr:nvSpPr>
      <xdr:spPr>
        <a:xfrm>
          <a:off x="5455399" y="1289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>
              <a:sym typeface="Webdings"/>
            </a:rPr>
            <a:t></a:t>
          </a:r>
          <a:endParaRPr lang="fr-FR" sz="2400" b="0"/>
        </a:p>
      </xdr:txBody>
    </xdr:sp>
    <xdr:clientData fPrintsWithSheet="0"/>
  </xdr:twoCellAnchor>
  <xdr:oneCellAnchor>
    <xdr:from>
      <xdr:col>4</xdr:col>
      <xdr:colOff>142875</xdr:colOff>
      <xdr:row>0</xdr:row>
      <xdr:rowOff>161925</xdr:rowOff>
    </xdr:from>
    <xdr:ext cx="4991100" cy="3400426"/>
    <xdr:sp macro="" textlink="">
      <xdr:nvSpPr>
        <xdr:cNvPr id="6" name="ZoneTexte 5"/>
        <xdr:cNvSpPr txBox="1"/>
      </xdr:nvSpPr>
      <xdr:spPr>
        <a:xfrm>
          <a:off x="6210300" y="161925"/>
          <a:ext cx="4991100" cy="3400426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2000" b="1"/>
            <a:t>Registre des Ventes - Mode d'emploi</a:t>
          </a:r>
        </a:p>
        <a:p>
          <a:endParaRPr lang="fr-FR" sz="1100" b="1"/>
        </a:p>
        <a:p>
          <a:r>
            <a:rPr lang="fr-FR" sz="1200" b="1"/>
            <a:t>1 - Renseigner les</a:t>
          </a:r>
          <a:r>
            <a:rPr lang="fr-FR" sz="1200" b="1" baseline="0"/>
            <a:t> tables de références</a:t>
          </a:r>
        </a:p>
        <a:p>
          <a:r>
            <a:rPr lang="fr-FR" sz="1100" b="0" baseline="0"/>
            <a:t>- mettre à jour les Paramètres</a:t>
          </a:r>
        </a:p>
        <a:p>
          <a:r>
            <a:rPr lang="fr-FR" sz="1100" b="0" baseline="0"/>
            <a:t>- mettre à jour les  Marques, Natures, Types, Catégories</a:t>
          </a:r>
        </a:p>
        <a:p>
          <a:endParaRPr lang="fr-FR" sz="1100" b="0" baseline="0"/>
        </a:p>
        <a:p>
          <a:r>
            <a:rPr lang="fr-FR" sz="1200" b="1" baseline="0"/>
            <a:t>2 - Renseigner l'inventaire  des Articles</a:t>
          </a:r>
        </a:p>
        <a:p>
          <a:endParaRPr lang="fr-FR" sz="1200" b="1" baseline="0"/>
        </a:p>
        <a:p>
          <a:r>
            <a:rPr lang="fr-FR" sz="1200" b="1" baseline="0"/>
            <a:t>3 - Saisir les Ventes</a:t>
          </a:r>
        </a:p>
        <a:p>
          <a:endParaRPr lang="fr-FR" sz="1100" b="0" baseline="0"/>
        </a:p>
        <a:p>
          <a:r>
            <a:rPr lang="fr-FR" sz="1200" b="1" baseline="0"/>
            <a:t>4 - Exploiter les statistiques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vaux%20r&#233;alis&#233;s%20pour%20les%20services\Tous%20services\Registre%20Courrier\Registre%20Courrier%20Mod&#232;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Arrivée"/>
      <sheetName val="Départ"/>
      <sheetName val="Délais"/>
      <sheetName val="Supports"/>
      <sheetName val="Services"/>
      <sheetName val="Rédacteurs"/>
      <sheetName val="Statistiques Arrivée"/>
      <sheetName val="Statistiques Départ"/>
      <sheetName val="Paramètres"/>
      <sheetName val="Listes Saisie Auto"/>
    </sheetNames>
    <sheetDataSet>
      <sheetData sheetId="0"/>
      <sheetData sheetId="1">
        <row r="1">
          <cell r="A1" t="str">
            <v>Ville de Riorges - Enseignement, Réglementation et Citoyenneté - Registre du courrier Arrivée</v>
          </cell>
        </row>
      </sheetData>
      <sheetData sheetId="2"/>
      <sheetData sheetId="3">
        <row r="1">
          <cell r="A1" t="str">
            <v>Ville de Riorges - Enseignement, Réglementation et Citoyenneté - Délais</v>
          </cell>
        </row>
        <row r="2">
          <cell r="A2">
            <v>0</v>
          </cell>
        </row>
        <row r="3">
          <cell r="A3">
            <v>0</v>
          </cell>
        </row>
        <row r="4">
          <cell r="A4" t="str">
            <v>Libellé</v>
          </cell>
        </row>
        <row r="5">
          <cell r="A5" t="str">
            <v>Correspondance standard</v>
          </cell>
        </row>
        <row r="6">
          <cell r="A6" t="str">
            <v>Demande de rendez-vous (externe)</v>
          </cell>
        </row>
        <row r="7">
          <cell r="A7" t="str">
            <v>Demande de rendez-vous (interne)</v>
          </cell>
        </row>
        <row r="8">
          <cell r="A8" t="str">
            <v>Demande de stage</v>
          </cell>
        </row>
        <row r="9">
          <cell r="A9">
            <v>0</v>
          </cell>
        </row>
        <row r="10">
          <cell r="A10">
            <v>0</v>
          </cell>
        </row>
        <row r="11">
          <cell r="A11">
            <v>0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</sheetData>
      <sheetData sheetId="4">
        <row r="1">
          <cell r="A1" t="str">
            <v>Ville de Riorges - Enseignement, Réglementation et Citoyenneté - Supports</v>
          </cell>
        </row>
        <row r="2">
          <cell r="A2">
            <v>0</v>
          </cell>
        </row>
        <row r="3">
          <cell r="A3">
            <v>0</v>
          </cell>
        </row>
        <row r="4">
          <cell r="A4" t="str">
            <v>Libellé</v>
          </cell>
        </row>
        <row r="5">
          <cell r="A5" t="str">
            <v>...</v>
          </cell>
        </row>
        <row r="6">
          <cell r="A6" t="str">
            <v>Courrier électronique</v>
          </cell>
        </row>
        <row r="7">
          <cell r="A7" t="str">
            <v>Courrier postal</v>
          </cell>
        </row>
        <row r="8">
          <cell r="A8" t="str">
            <v>Portail famille</v>
          </cell>
        </row>
        <row r="9">
          <cell r="A9" t="str">
            <v>Recommandé AR</v>
          </cell>
        </row>
        <row r="10">
          <cell r="A10" t="str">
            <v>Télécopie</v>
          </cell>
        </row>
        <row r="11">
          <cell r="A11">
            <v>0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</sheetData>
      <sheetData sheetId="5">
        <row r="1">
          <cell r="A1" t="str">
            <v>Ville de Riorges - Enseignement, Réglementation et Citoyenneté - Services</v>
          </cell>
        </row>
        <row r="2">
          <cell r="A2">
            <v>0</v>
          </cell>
        </row>
        <row r="3">
          <cell r="A3">
            <v>0</v>
          </cell>
        </row>
        <row r="4">
          <cell r="A4" t="str">
            <v>Libellé</v>
          </cell>
        </row>
        <row r="5">
          <cell r="A5" t="str">
            <v>...</v>
          </cell>
        </row>
        <row r="6">
          <cell r="A6" t="str">
            <v>Accueil</v>
          </cell>
        </row>
        <row r="7">
          <cell r="A7" t="str">
            <v>Archives et Documentation</v>
          </cell>
        </row>
        <row r="8">
          <cell r="A8" t="str">
            <v>Elections</v>
          </cell>
        </row>
        <row r="9">
          <cell r="A9" t="str">
            <v>Enseignement</v>
          </cell>
        </row>
        <row r="10">
          <cell r="A10" t="str">
            <v>Etat Civil</v>
          </cell>
        </row>
        <row r="11">
          <cell r="A11">
            <v>0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</sheetData>
      <sheetData sheetId="6">
        <row r="1">
          <cell r="A1" t="str">
            <v>Ville de Riorges - Enseignement, Réglementation et Citoyenneté - Rédacteurs</v>
          </cell>
        </row>
        <row r="2">
          <cell r="A2">
            <v>0</v>
          </cell>
        </row>
        <row r="3">
          <cell r="A3">
            <v>0</v>
          </cell>
        </row>
        <row r="4">
          <cell r="A4" t="str">
            <v>Libellé</v>
          </cell>
        </row>
        <row r="5">
          <cell r="A5" t="str">
            <v>...</v>
          </cell>
        </row>
        <row r="6">
          <cell r="A6" t="str">
            <v>Annick Pommier</v>
          </cell>
        </row>
        <row r="7">
          <cell r="A7" t="str">
            <v>Brigitte Michel</v>
          </cell>
        </row>
        <row r="8">
          <cell r="A8" t="str">
            <v>France Linde</v>
          </cell>
        </row>
        <row r="9">
          <cell r="A9" t="str">
            <v>Jean-Jacques Baudinat</v>
          </cell>
        </row>
        <row r="10">
          <cell r="A10" t="str">
            <v>Martine Michaud</v>
          </cell>
        </row>
        <row r="11">
          <cell r="A11" t="str">
            <v>Olivier Dessertine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</sheetData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84.905435879627" createdVersion="3" refreshedVersion="3" minRefreshableVersion="3" recordCount="52">
  <cacheSource type="worksheet">
    <worksheetSource ref="A4:M10002" sheet="Ventes"/>
  </cacheSource>
  <cacheFields count="13">
    <cacheField name="Date" numFmtId="14">
      <sharedItems containsDate="1" containsBlank="1" containsMixedTypes="1" minDate="2016-01-14T00:00:00" maxDate="2016-12-02T00:00:00" count="10">
        <d v="2016-01-14T00:00:00"/>
        <d v="2016-01-15T00:00:00"/>
        <s v="16/01/2016"/>
        <m/>
        <s v="14/01/2016" u="1"/>
        <d v="2016-01-16T00:00:00" u="1"/>
        <s v="13/01/2016" u="1"/>
        <d v="2016-12-01T00:00:00" u="1"/>
        <s v="14/01/2014" u="1"/>
        <s v="14/01/2015" u="1"/>
      </sharedItems>
    </cacheField>
    <cacheField name="Caisse" numFmtId="0">
      <sharedItems containsString="0" containsBlank="1" containsNumber="1" containsInteger="1" minValue="1" maxValue="2" count="3">
        <n v="1"/>
        <n v="2"/>
        <m/>
      </sharedItems>
    </cacheField>
    <cacheField name="Article" numFmtId="0">
      <sharedItems containsBlank="1"/>
    </cacheField>
    <cacheField name="Prix catalogue" numFmtId="0">
      <sharedItems containsString="0" containsBlank="1" containsNumber="1" containsInteger="1" minValue="5" maxValue="250"/>
    </cacheField>
    <cacheField name="Prix remisé" numFmtId="164">
      <sharedItems containsString="0" containsBlank="1" containsNumber="1" containsInteger="1" minValue="5" maxValue="250"/>
    </cacheField>
    <cacheField name="Taux de remise" numFmtId="0">
      <sharedItems containsString="0" containsBlank="1" containsNumber="1" minValue="0" maxValue="0.46666666666666667"/>
    </cacheField>
    <cacheField name="Quantité" numFmtId="0">
      <sharedItems containsString="0" containsBlank="1" containsNumber="1" containsInteger="1" minValue="1" maxValue="10"/>
    </cacheField>
    <cacheField name="Montant de la vente" numFmtId="0">
      <sharedItems containsString="0" containsBlank="1" containsNumber="1" containsInteger="1" minValue="5" maxValue="800"/>
    </cacheField>
    <cacheField name="Observations" numFmtId="0">
      <sharedItems containsNonDate="0" containsString="0" containsBlank="1"/>
    </cacheField>
    <cacheField name="Catégorie" numFmtId="164">
      <sharedItems containsBlank="1" count="8">
        <s v="Football"/>
        <s v="Toutes catégories"/>
        <s v="Cyclisme"/>
        <s v="Running"/>
        <s v="Tennis"/>
        <s v="Grimpe et rando"/>
        <m/>
        <s v="Sportswear" u="1"/>
      </sharedItems>
    </cacheField>
    <cacheField name="Type" numFmtId="164">
      <sharedItems containsBlank="1"/>
    </cacheField>
    <cacheField name="Nature" numFmtId="164">
      <sharedItems containsBlank="1"/>
    </cacheField>
    <cacheField name="Marque" numFmtId="164">
      <sharedItems containsBlank="1" containsMixedTypes="1" containsNumber="1" containsInteger="1" minValue="0" maxValue="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s v="Vêtement-Chaussures de foot-Nike Magista"/>
    <n v="150"/>
    <n v="80"/>
    <n v="0.46666666666666667"/>
    <n v="10"/>
    <n v="800"/>
    <m/>
    <x v="0"/>
    <s v="Vêtement"/>
    <s v="Chaussures de foot"/>
    <s v="Nike"/>
  </r>
  <r>
    <x v="0"/>
    <x v="0"/>
    <s v="Vêtement-T-Shirt-Oxbow "/>
    <n v="45"/>
    <n v="45"/>
    <n v="0"/>
    <n v="1"/>
    <n v="45"/>
    <m/>
    <x v="1"/>
    <s v="Vêtement"/>
    <s v="T-Shirt"/>
    <s v="Oxbow"/>
  </r>
  <r>
    <x v="0"/>
    <x v="0"/>
    <s v="Vêtement-T-Shirt-Oxbow "/>
    <n v="45"/>
    <n v="42"/>
    <n v="6.6666666666666666E-2"/>
    <n v="1"/>
    <n v="42"/>
    <m/>
    <x v="1"/>
    <s v="Vêtement"/>
    <s v="T-Shirt"/>
    <s v="Oxbow"/>
  </r>
  <r>
    <x v="0"/>
    <x v="1"/>
    <s v="Prestation-Réparation vélo- "/>
    <n v="25"/>
    <n v="25"/>
    <n v="0"/>
    <n v="5"/>
    <n v="125"/>
    <m/>
    <x v="2"/>
    <s v="Prestation"/>
    <s v="Réparation vélo"/>
    <n v="0"/>
  </r>
  <r>
    <x v="0"/>
    <x v="0"/>
    <s v="Vêtement-Maillot de foot-Adidas Diables"/>
    <n v="80"/>
    <n v="80"/>
    <n v="0"/>
    <n v="1"/>
    <n v="80"/>
    <m/>
    <x v="0"/>
    <s v="Vêtement"/>
    <s v="Maillot de foot"/>
    <s v="Adidas"/>
  </r>
  <r>
    <x v="0"/>
    <x v="0"/>
    <s v="Vêtement-Chaussures de foot-Nike Tiempo"/>
    <n v="150"/>
    <n v="150"/>
    <n v="0"/>
    <n v="1"/>
    <n v="150"/>
    <m/>
    <x v="0"/>
    <s v="Vêtement"/>
    <s v="Chaussures de foot"/>
    <s v="Nike"/>
  </r>
  <r>
    <x v="0"/>
    <x v="0"/>
    <s v="Vêtement-Chaussures de foot-Nike Mercurial"/>
    <n v="120"/>
    <n v="120"/>
    <n v="0"/>
    <n v="1"/>
    <n v="120"/>
    <m/>
    <x v="0"/>
    <s v="Vêtement"/>
    <s v="Chaussures de foot"/>
    <s v="Nike"/>
  </r>
  <r>
    <x v="0"/>
    <x v="0"/>
    <s v="Vêtement-Chaussures de foot-Nike Magista"/>
    <n v="150"/>
    <n v="150"/>
    <n v="0"/>
    <n v="1"/>
    <n v="150"/>
    <m/>
    <x v="0"/>
    <s v="Vêtement"/>
    <s v="Chaussures de foot"/>
    <s v="Nike"/>
  </r>
  <r>
    <x v="0"/>
    <x v="1"/>
    <s v="Vêtement-Chaussures de running-Mizuno Wave Sayonara"/>
    <n v="120"/>
    <n v="110"/>
    <n v="8.3333333333333329E-2"/>
    <n v="1"/>
    <n v="110"/>
    <m/>
    <x v="3"/>
    <s v="Vêtement"/>
    <s v="Chaussures de running"/>
    <s v="Mizuno"/>
  </r>
  <r>
    <x v="0"/>
    <x v="0"/>
    <s v="Vêtement-Chaussures de running-Asics GT-2000"/>
    <n v="100"/>
    <n v="100"/>
    <n v="0"/>
    <n v="1"/>
    <n v="100"/>
    <m/>
    <x v="3"/>
    <s v="Vêtement"/>
    <s v="Chaussures de running"/>
    <s v="Asics"/>
  </r>
  <r>
    <x v="0"/>
    <x v="1"/>
    <s v="Vêtement-Chaussures de foot-Adidas Predator"/>
    <n v="220"/>
    <n v="220"/>
    <n v="0"/>
    <n v="1"/>
    <n v="220"/>
    <m/>
    <x v="0"/>
    <s v="Vêtement"/>
    <s v="Chaussures de foot"/>
    <s v="Adidas"/>
  </r>
  <r>
    <x v="1"/>
    <x v="0"/>
    <s v="Vêtement-Chaussures de foot-Adidas F10"/>
    <n v="60"/>
    <n v="55"/>
    <n v="8.3333333333333329E-2"/>
    <n v="1"/>
    <n v="55"/>
    <m/>
    <x v="0"/>
    <s v="Vêtement"/>
    <s v="Chaussures de foot"/>
    <s v="Adidas"/>
  </r>
  <r>
    <x v="1"/>
    <x v="1"/>
    <s v="Equipement-Ballon de foot-Adidas F50"/>
    <n v="25"/>
    <n v="25"/>
    <n v="0"/>
    <n v="1"/>
    <n v="25"/>
    <m/>
    <x v="0"/>
    <s v="Equipement"/>
    <s v="Ballon de foot"/>
    <s v="Adidas"/>
  </r>
  <r>
    <x v="1"/>
    <x v="1"/>
    <s v="Prestation-Réparation vélo- "/>
    <n v="25"/>
    <n v="25"/>
    <n v="0"/>
    <n v="1"/>
    <n v="25"/>
    <m/>
    <x v="2"/>
    <s v="Prestation"/>
    <s v="Réparation vélo"/>
    <n v="0"/>
  </r>
  <r>
    <x v="1"/>
    <x v="1"/>
    <s v="Equipement-Vélo-Orbea Kids"/>
    <n v="250"/>
    <n v="250"/>
    <n v="0"/>
    <n v="1"/>
    <n v="250"/>
    <m/>
    <x v="2"/>
    <s v="Equipement"/>
    <s v="Vélo"/>
    <s v="Orbea"/>
  </r>
  <r>
    <x v="1"/>
    <x v="0"/>
    <s v="Equipement-Raquette de tennis-Babolat "/>
    <n v="80"/>
    <n v="75"/>
    <n v="6.25E-2"/>
    <n v="1"/>
    <n v="75"/>
    <m/>
    <x v="4"/>
    <s v="Equipement"/>
    <s v="Raquette de tennis"/>
    <s v="Babolat"/>
  </r>
  <r>
    <x v="1"/>
    <x v="0"/>
    <s v="Equipement-Gourde-S+ "/>
    <n v="5"/>
    <n v="5"/>
    <n v="0"/>
    <n v="1"/>
    <n v="5"/>
    <m/>
    <x v="5"/>
    <s v="Equipement"/>
    <s v="Gourde"/>
    <s v="S+"/>
  </r>
  <r>
    <x v="1"/>
    <x v="0"/>
    <s v="Equipement-Cordage- "/>
    <n v="25"/>
    <n v="25"/>
    <n v="0"/>
    <n v="1"/>
    <n v="25"/>
    <m/>
    <x v="5"/>
    <s v="Equipement"/>
    <s v="Cordage"/>
    <n v="0"/>
  </r>
  <r>
    <x v="1"/>
    <x v="0"/>
    <s v="Vêtement-T-Shirt-Oxbow "/>
    <n v="45"/>
    <n v="42"/>
    <n v="6.6666666666666666E-2"/>
    <n v="1"/>
    <n v="42"/>
    <m/>
    <x v="1"/>
    <s v="Vêtement"/>
    <s v="T-Shirt"/>
    <s v="Oxbow"/>
  </r>
  <r>
    <x v="1"/>
    <x v="0"/>
    <s v="Prestation-Réparation vélo- "/>
    <n v="25"/>
    <n v="25"/>
    <n v="0"/>
    <n v="3"/>
    <n v="75"/>
    <m/>
    <x v="2"/>
    <s v="Prestation"/>
    <s v="Réparation vélo"/>
    <n v="0"/>
  </r>
  <r>
    <x v="1"/>
    <x v="0"/>
    <s v="Vêtement-Maillot de foot-Adidas Diables"/>
    <n v="80"/>
    <n v="80"/>
    <n v="0"/>
    <n v="1"/>
    <n v="80"/>
    <m/>
    <x v="0"/>
    <s v="Vêtement"/>
    <s v="Maillot de foot"/>
    <s v="Adidas"/>
  </r>
  <r>
    <x v="1"/>
    <x v="0"/>
    <s v="Vêtement-Chaussures de foot-Nike Tiempo"/>
    <n v="150"/>
    <n v="150"/>
    <n v="0"/>
    <n v="1"/>
    <n v="150"/>
    <m/>
    <x v="0"/>
    <s v="Vêtement"/>
    <s v="Chaussures de foot"/>
    <s v="Nike"/>
  </r>
  <r>
    <x v="1"/>
    <x v="1"/>
    <s v="Vêtement-Chaussures de foot-Nike Mercurial"/>
    <n v="120"/>
    <n v="120"/>
    <n v="0"/>
    <n v="1"/>
    <n v="120"/>
    <m/>
    <x v="0"/>
    <s v="Vêtement"/>
    <s v="Chaussures de foot"/>
    <s v="Nike"/>
  </r>
  <r>
    <x v="1"/>
    <x v="0"/>
    <s v="Vêtement-Chaussures de foot-Nike Magista"/>
    <n v="150"/>
    <n v="150"/>
    <n v="0"/>
    <n v="1"/>
    <n v="150"/>
    <m/>
    <x v="0"/>
    <s v="Vêtement"/>
    <s v="Chaussures de foot"/>
    <s v="Nike"/>
  </r>
  <r>
    <x v="1"/>
    <x v="1"/>
    <s v="Vêtement-Chaussures de running-Mizuno Wave Sayonara"/>
    <n v="120"/>
    <n v="110"/>
    <n v="8.3333333333333329E-2"/>
    <n v="1"/>
    <n v="110"/>
    <m/>
    <x v="3"/>
    <s v="Vêtement"/>
    <s v="Chaussures de running"/>
    <s v="Mizuno"/>
  </r>
  <r>
    <x v="1"/>
    <x v="0"/>
    <s v="Vêtement-Chaussures de running-Asics GT-2000"/>
    <n v="100"/>
    <n v="100"/>
    <n v="0"/>
    <n v="1"/>
    <n v="100"/>
    <m/>
    <x v="3"/>
    <s v="Vêtement"/>
    <s v="Chaussures de running"/>
    <s v="Asics"/>
  </r>
  <r>
    <x v="1"/>
    <x v="0"/>
    <s v="Vêtement-Chaussures de foot-Adidas Predator"/>
    <n v="220"/>
    <n v="220"/>
    <n v="0"/>
    <n v="1"/>
    <n v="220"/>
    <m/>
    <x v="0"/>
    <s v="Vêtement"/>
    <s v="Chaussures de foot"/>
    <s v="Adidas"/>
  </r>
  <r>
    <x v="2"/>
    <x v="1"/>
    <s v="Vêtement-Chaussures de foot-Adidas F10"/>
    <n v="60"/>
    <n v="55"/>
    <n v="8.3333333333333329E-2"/>
    <n v="1"/>
    <n v="55"/>
    <m/>
    <x v="0"/>
    <s v="Vêtement"/>
    <s v="Chaussures de foot"/>
    <s v="Adidas"/>
  </r>
  <r>
    <x v="2"/>
    <x v="1"/>
    <s v="Equipement-Ballon de foot-Adidas F50"/>
    <n v="25"/>
    <n v="25"/>
    <n v="0"/>
    <n v="1"/>
    <n v="25"/>
    <m/>
    <x v="0"/>
    <s v="Equipement"/>
    <s v="Ballon de foot"/>
    <s v="Adidas"/>
  </r>
  <r>
    <x v="2"/>
    <x v="1"/>
    <s v="Prestation-Réparation vélo- "/>
    <n v="25"/>
    <n v="25"/>
    <n v="0"/>
    <n v="1"/>
    <n v="25"/>
    <m/>
    <x v="2"/>
    <s v="Prestation"/>
    <s v="Réparation vélo"/>
    <n v="0"/>
  </r>
  <r>
    <x v="2"/>
    <x v="0"/>
    <s v="Equipement-Vélo-Orbea Kids"/>
    <n v="250"/>
    <n v="250"/>
    <n v="0"/>
    <n v="1"/>
    <n v="250"/>
    <m/>
    <x v="2"/>
    <s v="Equipement"/>
    <s v="Vélo"/>
    <s v="Orbea"/>
  </r>
  <r>
    <x v="2"/>
    <x v="0"/>
    <s v="Equipement-Raquette de tennis-Babolat "/>
    <n v="80"/>
    <n v="75"/>
    <n v="6.25E-2"/>
    <n v="1"/>
    <n v="75"/>
    <m/>
    <x v="4"/>
    <s v="Equipement"/>
    <s v="Raquette de tennis"/>
    <s v="Babolat"/>
  </r>
  <r>
    <x v="2"/>
    <x v="0"/>
    <s v="Equipement-Gourde-S+ "/>
    <n v="5"/>
    <n v="5"/>
    <n v="0"/>
    <n v="1"/>
    <n v="5"/>
    <m/>
    <x v="5"/>
    <s v="Equipement"/>
    <s v="Gourde"/>
    <s v="S+"/>
  </r>
  <r>
    <x v="2"/>
    <x v="0"/>
    <s v="Equipement-Cordage- "/>
    <n v="25"/>
    <n v="25"/>
    <n v="0"/>
    <n v="1"/>
    <n v="25"/>
    <m/>
    <x v="5"/>
    <s v="Equipement"/>
    <s v="Cordage"/>
    <n v="0"/>
  </r>
  <r>
    <x v="2"/>
    <x v="0"/>
    <s v="Vêtement-T-Shirt-Oxbow "/>
    <n v="45"/>
    <n v="40"/>
    <n v="0.1111111111111111"/>
    <n v="1"/>
    <n v="40"/>
    <m/>
    <x v="1"/>
    <s v="Vêtement"/>
    <s v="T-Shirt"/>
    <s v="Oxbow"/>
  </r>
  <r>
    <x v="2"/>
    <x v="0"/>
    <s v="Prestation-Main d'œuvre- "/>
    <n v="15"/>
    <n v="15"/>
    <n v="0"/>
    <n v="1"/>
    <n v="15"/>
    <m/>
    <x v="1"/>
    <s v="Prestation"/>
    <s v="Main d'œuvre"/>
    <n v="0"/>
  </r>
  <r>
    <x v="2"/>
    <x v="0"/>
    <s v="Vêtement-Maillot de foot-Adidas Diables"/>
    <n v="80"/>
    <n v="80"/>
    <n v="0"/>
    <n v="1"/>
    <n v="80"/>
    <m/>
    <x v="0"/>
    <s v="Vêtement"/>
    <s v="Maillot de foot"/>
    <s v="Adidas"/>
  </r>
  <r>
    <x v="2"/>
    <x v="1"/>
    <s v="Vêtement-Chaussures de foot-Nike Tiempo"/>
    <n v="150"/>
    <n v="150"/>
    <n v="0"/>
    <n v="1"/>
    <n v="150"/>
    <m/>
    <x v="0"/>
    <s v="Vêtement"/>
    <s v="Chaussures de foot"/>
    <s v="Nike"/>
  </r>
  <r>
    <x v="2"/>
    <x v="1"/>
    <s v="Vêtement-Chaussures de foot-Nike Mercurial"/>
    <n v="120"/>
    <n v="120"/>
    <n v="0"/>
    <n v="1"/>
    <n v="120"/>
    <m/>
    <x v="0"/>
    <s v="Vêtement"/>
    <s v="Chaussures de foot"/>
    <s v="Nike"/>
  </r>
  <r>
    <x v="2"/>
    <x v="0"/>
    <s v="Vêtement-Chaussures de foot-Nike Magista"/>
    <n v="150"/>
    <n v="150"/>
    <n v="0"/>
    <n v="1"/>
    <n v="150"/>
    <m/>
    <x v="0"/>
    <s v="Vêtement"/>
    <s v="Chaussures de foot"/>
    <s v="Nike"/>
  </r>
  <r>
    <x v="2"/>
    <x v="0"/>
    <s v="Vêtement-Chaussures de running-Mizuno Wave Sayonara"/>
    <n v="120"/>
    <n v="110"/>
    <n v="8.3333333333333329E-2"/>
    <n v="1"/>
    <n v="110"/>
    <m/>
    <x v="3"/>
    <s v="Vêtement"/>
    <s v="Chaussures de running"/>
    <s v="Mizuno"/>
  </r>
  <r>
    <x v="2"/>
    <x v="1"/>
    <s v="Vêtement-Chaussures de running-Asics GT-2000"/>
    <n v="100"/>
    <n v="100"/>
    <n v="0"/>
    <n v="1"/>
    <n v="100"/>
    <m/>
    <x v="3"/>
    <s v="Vêtement"/>
    <s v="Chaussures de running"/>
    <s v="Asics"/>
  </r>
  <r>
    <x v="2"/>
    <x v="0"/>
    <s v="Vêtement-Chaussures de foot-Adidas Predator"/>
    <n v="220"/>
    <n v="220"/>
    <n v="0"/>
    <n v="1"/>
    <n v="220"/>
    <m/>
    <x v="0"/>
    <s v="Vêtement"/>
    <s v="Chaussures de foot"/>
    <s v="Adidas"/>
  </r>
  <r>
    <x v="2"/>
    <x v="0"/>
    <s v="Vêtement-Chaussures de foot-Adidas F10"/>
    <n v="60"/>
    <n v="58"/>
    <n v="3.3333333333333333E-2"/>
    <n v="1"/>
    <n v="58"/>
    <m/>
    <x v="0"/>
    <s v="Vêtement"/>
    <s v="Chaussures de foot"/>
    <s v="Adidas"/>
  </r>
  <r>
    <x v="2"/>
    <x v="0"/>
    <s v="Equipement-Ballon de foot-Adidas F50"/>
    <n v="25"/>
    <n v="25"/>
    <n v="0"/>
    <n v="1"/>
    <n v="25"/>
    <m/>
    <x v="0"/>
    <s v="Equipement"/>
    <s v="Ballon de foot"/>
    <s v="Adidas"/>
  </r>
  <r>
    <x v="2"/>
    <x v="1"/>
    <s v="Prestation-Réparation vélo- "/>
    <n v="25"/>
    <n v="25"/>
    <n v="0"/>
    <n v="1"/>
    <n v="25"/>
    <m/>
    <x v="2"/>
    <s v="Prestation"/>
    <s v="Réparation vélo"/>
    <n v="0"/>
  </r>
  <r>
    <x v="2"/>
    <x v="1"/>
    <s v="Equipement-Vélo-Orbea Kids"/>
    <n v="250"/>
    <n v="250"/>
    <n v="0"/>
    <n v="1"/>
    <n v="250"/>
    <m/>
    <x v="2"/>
    <s v="Equipement"/>
    <s v="Vélo"/>
    <s v="Orbea"/>
  </r>
  <r>
    <x v="2"/>
    <x v="0"/>
    <s v="Equipement-Raquette de tennis-Babolat "/>
    <n v="80"/>
    <n v="75"/>
    <n v="6.25E-2"/>
    <n v="1"/>
    <n v="75"/>
    <m/>
    <x v="4"/>
    <s v="Equipement"/>
    <s v="Raquette de tennis"/>
    <s v="Babolat"/>
  </r>
  <r>
    <x v="2"/>
    <x v="0"/>
    <s v="Equipement-Gourde-S+ "/>
    <n v="5"/>
    <n v="5"/>
    <n v="0"/>
    <n v="1"/>
    <n v="5"/>
    <m/>
    <x v="5"/>
    <s v="Equipement"/>
    <s v="Gourde"/>
    <s v="S+"/>
  </r>
  <r>
    <x v="2"/>
    <x v="0"/>
    <s v="Equipement-Cordage- "/>
    <n v="25"/>
    <n v="25"/>
    <n v="0"/>
    <n v="1"/>
    <n v="25"/>
    <m/>
    <x v="5"/>
    <s v="Equipement"/>
    <s v="Cordage"/>
    <n v="0"/>
  </r>
  <r>
    <x v="3"/>
    <x v="2"/>
    <m/>
    <m/>
    <m/>
    <m/>
    <m/>
    <m/>
    <m/>
    <x v="6"/>
    <m/>
    <m/>
    <m/>
  </r>
  <r>
    <x v="3"/>
    <x v="2"/>
    <m/>
    <m/>
    <m/>
    <m/>
    <m/>
    <m/>
    <m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2" applyNumberFormats="0" applyBorderFormats="0" applyFontFormats="0" applyPatternFormats="0" applyAlignmentFormats="0" applyWidthHeightFormats="1" dataCaption="Valeurs" showError="1" updatedVersion="3" minRefreshableVersion="3" showCalcMbrs="0" itemPrintTitles="1" createdVersion="3" indent="0" compact="0" compactData="0" gridDropZones="1" multipleFieldFilters="0" chartFormat="1">
  <location ref="A6:D11" firstHeaderRow="1" firstDataRow="2" firstDataCol="1" rowPageCount="1" colPageCount="1"/>
  <pivotFields count="13">
    <pivotField axis="axisRow" compact="0" outline="0" showAll="0" includeNewItemsInFilter="1">
      <items count="11">
        <item m="1" x="7"/>
        <item m="1" x="6"/>
        <item m="1" x="4"/>
        <item x="0"/>
        <item x="1"/>
        <item m="1" x="5"/>
        <item x="2"/>
        <item x="3"/>
        <item m="1" x="8"/>
        <item m="1" x="9"/>
        <item t="default"/>
      </items>
    </pivotField>
    <pivotField axis="axisCol" compact="0" outline="0" showAll="0">
      <items count="4">
        <item x="0"/>
        <item h="1" x="2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dataField="1" compact="0" outline="0" showAll="0"/>
    <pivotField compact="0" outline="0" showAll="0"/>
    <pivotField axis="axisPage" compact="0" outline="0" showAll="0">
      <items count="9">
        <item x="2"/>
        <item x="0"/>
        <item x="5"/>
        <item x="3"/>
        <item m="1" x="7"/>
        <item x="4"/>
        <item x="1"/>
        <item x="6"/>
        <item t="default"/>
      </items>
    </pivotField>
    <pivotField compact="0" outline="0" showAll="0"/>
    <pivotField compact="0" outline="0" showAll="0" defaultSubtotal="0"/>
    <pivotField compact="0" outline="0" showAll="0" defaultSubtotal="0"/>
  </pivotFields>
  <rowFields count="1">
    <field x="0"/>
  </rowFields>
  <rowItems count="4">
    <i>
      <x v="3"/>
    </i>
    <i>
      <x v="4"/>
    </i>
    <i>
      <x v="6"/>
    </i>
    <i t="grand">
      <x/>
    </i>
  </rowItems>
  <colFields count="1">
    <field x="1"/>
  </colFields>
  <colItems count="3">
    <i>
      <x/>
    </i>
    <i>
      <x v="2"/>
    </i>
    <i t="grand">
      <x/>
    </i>
  </colItems>
  <pageFields count="1">
    <pageField fld="9" hier="-1"/>
  </pageFields>
  <dataFields count="1">
    <dataField name="Montants" fld="7" baseField="0" baseItem="0" numFmtId="169"/>
  </dataFields>
  <formats count="14">
    <format dxfId="17">
      <pivotArea field="0" type="button" dataOnly="0" labelOnly="1" outline="0" axis="axisRow" fieldPosition="0"/>
    </format>
    <format dxfId="16">
      <pivotArea dataOnly="0" labelOnly="1" outline="0" fieldPosition="0">
        <references count="1">
          <reference field="9" count="0"/>
        </references>
      </pivotArea>
    </format>
    <format dxfId="15">
      <pivotArea dataOnly="0" labelOnly="1" grandCol="1" outline="0" fieldPosition="0"/>
    </format>
    <format dxfId="14">
      <pivotArea field="0" type="button" dataOnly="0" labelOnly="1" outline="0" axis="axisRow" fieldPosition="0"/>
    </format>
    <format dxfId="13">
      <pivotArea dataOnly="0" labelOnly="1" outline="0" fieldPosition="0">
        <references count="1">
          <reference field="9" count="0"/>
        </references>
      </pivotArea>
    </format>
    <format dxfId="12">
      <pivotArea dataOnly="0" labelOnly="1" grandCol="1" outline="0" fieldPosition="0"/>
    </format>
    <format dxfId="11">
      <pivotArea dataOnly="0" labelOnly="1" outline="0" fieldPosition="0">
        <references count="1">
          <reference field="9" count="0"/>
        </references>
      </pivotArea>
    </format>
    <format dxfId="10">
      <pivotArea dataOnly="0" labelOnly="1" outline="0" fieldPosition="0">
        <references count="1">
          <reference field="1" count="2">
            <x v="0"/>
            <x v="2"/>
          </reference>
        </references>
      </pivotArea>
    </format>
    <format dxfId="9">
      <pivotArea dataOnly="0" labelOnly="1" grandCol="1" outline="0" fieldPosition="0"/>
    </format>
    <format dxfId="4">
      <pivotArea field="9" type="button" dataOnly="0" labelOnly="1" outline="0" axis="axisPage" fieldPosition="0"/>
    </format>
    <format dxfId="3">
      <pivotArea type="origin" dataOnly="0" labelOnly="1" outline="0" fieldPosition="0"/>
    </format>
    <format dxfId="2">
      <pivotArea field="0" type="button" dataOnly="0" labelOnly="1" outline="0" axis="axisRow" fieldPosition="0"/>
    </format>
    <format dxfId="1">
      <pivotArea dataOnly="0" labelOnly="1" outline="0" fieldPosition="0">
        <references count="1">
          <reference field="0" count="3">
            <x v="3"/>
            <x v="4"/>
            <x v="6"/>
          </reference>
        </references>
      </pivotArea>
    </format>
    <format dxfId="0">
      <pivotArea dataOnly="0" labelOnly="1" grandRow="1" outline="0" fieldPosition="0"/>
    </format>
  </format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2"/>
  <sheetViews>
    <sheetView tabSelected="1" workbookViewId="0">
      <pane ySplit="2" topLeftCell="A12" activePane="bottomLeft" state="frozen"/>
      <selection pane="bottomLeft"/>
    </sheetView>
  </sheetViews>
  <sheetFormatPr baseColWidth="10" defaultRowHeight="15"/>
  <cols>
    <col min="1" max="1" width="37" style="2" customWidth="1"/>
    <col min="2" max="2" width="119.5703125" style="2" customWidth="1"/>
    <col min="3" max="3" width="42.140625" style="2" customWidth="1"/>
    <col min="4" max="16384" width="11.42578125" style="2"/>
  </cols>
  <sheetData>
    <row r="1" spans="2:2" ht="86.25" customHeight="1">
      <c r="B1" s="4" t="str">
        <f>Raison_Sociale&amp;" - "&amp;Titre&amp;" "&amp;Année_Réf</f>
        <v>Ma Boutique - Registre des ventes 2016</v>
      </c>
    </row>
    <row r="2" spans="2:2" ht="402.75" customHeight="1"/>
  </sheetData>
  <sheetProtection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55"/>
  <sheetViews>
    <sheetView workbookViewId="0">
      <pane ySplit="4" topLeftCell="A5" activePane="bottomLeft" state="frozen"/>
      <selection pane="bottomLeft" activeCell="A7" sqref="A7"/>
    </sheetView>
  </sheetViews>
  <sheetFormatPr baseColWidth="10" defaultColWidth="17.42578125" defaultRowHeight="16.5"/>
  <cols>
    <col min="1" max="1" width="13.140625" style="65" customWidth="1"/>
    <col min="2" max="2" width="9" style="61" customWidth="1"/>
    <col min="3" max="3" width="47.7109375" style="56" customWidth="1"/>
    <col min="4" max="4" width="14.85546875" style="56" customWidth="1"/>
    <col min="5" max="5" width="14.85546875" style="62" customWidth="1"/>
    <col min="6" max="6" width="11" style="63" customWidth="1"/>
    <col min="7" max="7" width="13.28515625" style="64" customWidth="1"/>
    <col min="8" max="8" width="13.7109375" style="64" customWidth="1"/>
    <col min="9" max="9" width="33.85546875" style="56" customWidth="1"/>
    <col min="10" max="13" width="13.28515625" style="62" customWidth="1"/>
    <col min="14" max="14" width="17.85546875" style="56" customWidth="1"/>
    <col min="15" max="15" width="41.140625" style="56" customWidth="1"/>
    <col min="16" max="16384" width="17.42578125" style="56"/>
  </cols>
  <sheetData>
    <row r="1" spans="1:13" ht="23.25">
      <c r="A1" s="60" t="str">
        <f>Raison_Sociale&amp;" - "&amp;Titre&amp;" - Registre des ventes"</f>
        <v>Ma Boutique - Registre des ventes - Registre des ventes</v>
      </c>
    </row>
    <row r="2" spans="1:13">
      <c r="C2" s="57">
        <f>SUBTOTAL(3,A4:A55)-1</f>
        <v>50</v>
      </c>
      <c r="F2" s="66">
        <f>SUBTOTAL(1,F4:F55)</f>
        <v>2.6972222222222227E-2</v>
      </c>
      <c r="H2" s="67">
        <f>SUBTOTAL(9,H4:H55)</f>
        <v>5357</v>
      </c>
    </row>
    <row r="3" spans="1:13" ht="46.5" customHeight="1"/>
    <row r="4" spans="1:13" s="73" customFormat="1" ht="33">
      <c r="A4" s="68" t="s">
        <v>50</v>
      </c>
      <c r="B4" s="69" t="s">
        <v>51</v>
      </c>
      <c r="C4" s="58" t="s">
        <v>52</v>
      </c>
      <c r="D4" s="70" t="s">
        <v>13</v>
      </c>
      <c r="E4" s="71" t="s">
        <v>53</v>
      </c>
      <c r="F4" s="70" t="s">
        <v>92</v>
      </c>
      <c r="G4" s="72" t="s">
        <v>54</v>
      </c>
      <c r="H4" s="70" t="s">
        <v>55</v>
      </c>
      <c r="I4" s="58" t="s">
        <v>31</v>
      </c>
      <c r="J4" s="70" t="s">
        <v>15</v>
      </c>
      <c r="K4" s="70" t="s">
        <v>16</v>
      </c>
      <c r="L4" s="70" t="s">
        <v>11</v>
      </c>
      <c r="M4" s="70" t="s">
        <v>0</v>
      </c>
    </row>
    <row r="5" spans="1:13">
      <c r="A5" s="74">
        <v>42383</v>
      </c>
      <c r="B5" s="61">
        <v>1</v>
      </c>
      <c r="C5" s="56" t="s">
        <v>74</v>
      </c>
      <c r="D5" s="75">
        <f>IFERROR(VLOOKUP(C5,Articles,5,FALSE),"")</f>
        <v>150</v>
      </c>
      <c r="E5" s="62">
        <v>80</v>
      </c>
      <c r="F5" s="76">
        <f>IFERROR((D5-E5)/D5,"")</f>
        <v>0.46666666666666667</v>
      </c>
      <c r="G5" s="77">
        <v>10</v>
      </c>
      <c r="H5" s="75">
        <f>E5*G5</f>
        <v>800</v>
      </c>
      <c r="I5" s="78"/>
      <c r="J5" s="75" t="str">
        <f>IFERROR(VLOOKUP(C5,Articles,10,FALSE),"")</f>
        <v>Football</v>
      </c>
      <c r="K5" s="75" t="str">
        <f>IFERROR(VLOOKUP(C5,Articles,11,FALSE),"")</f>
        <v>Vêtement</v>
      </c>
      <c r="L5" s="75" t="str">
        <f>IFERROR(VLOOKUP(C5,Articles,2,FALSE),"")</f>
        <v>Chaussures de foot</v>
      </c>
      <c r="M5" s="75" t="str">
        <f>IFERROR(VLOOKUP(C5,Articles,3,FALSE),"")</f>
        <v>Nike</v>
      </c>
    </row>
    <row r="6" spans="1:13">
      <c r="A6" s="74">
        <v>42383</v>
      </c>
      <c r="B6" s="61">
        <v>1</v>
      </c>
      <c r="C6" s="56" t="s">
        <v>56</v>
      </c>
      <c r="D6" s="75">
        <f>IFERROR(VLOOKUP(C6,Articles,5,FALSE),"")</f>
        <v>45</v>
      </c>
      <c r="E6" s="62">
        <v>45</v>
      </c>
      <c r="F6" s="76">
        <f>IFERROR((D6-E6)/D6,"")</f>
        <v>0</v>
      </c>
      <c r="G6" s="77">
        <v>1</v>
      </c>
      <c r="H6" s="75">
        <f>E6*G6</f>
        <v>45</v>
      </c>
      <c r="I6" s="78"/>
      <c r="J6" s="75" t="str">
        <f>IFERROR(VLOOKUP(C6,Articles,10,FALSE),"")</f>
        <v>Toutes catégories</v>
      </c>
      <c r="K6" s="75" t="str">
        <f>IFERROR(VLOOKUP(C6,Articles,11,FALSE),"")</f>
        <v>Vêtement</v>
      </c>
      <c r="L6" s="75" t="str">
        <f>IFERROR(VLOOKUP(C6,Articles,2,FALSE),"")</f>
        <v>T-Shirt</v>
      </c>
      <c r="M6" s="75" t="str">
        <f>IFERROR(VLOOKUP(C6,Articles,3,FALSE),"")</f>
        <v>Oxbow</v>
      </c>
    </row>
    <row r="7" spans="1:13">
      <c r="A7" s="74">
        <v>42383</v>
      </c>
      <c r="B7" s="61">
        <v>1</v>
      </c>
      <c r="C7" s="56" t="s">
        <v>56</v>
      </c>
      <c r="D7" s="75">
        <f>IFERROR(VLOOKUP(C7,Articles,5,FALSE),"")</f>
        <v>45</v>
      </c>
      <c r="E7" s="62">
        <v>42</v>
      </c>
      <c r="F7" s="76">
        <f>IFERROR((D7-E7)/D7,"")</f>
        <v>6.6666666666666666E-2</v>
      </c>
      <c r="G7" s="77">
        <v>1</v>
      </c>
      <c r="H7" s="75">
        <f>E7*G7</f>
        <v>42</v>
      </c>
      <c r="I7" s="78"/>
      <c r="J7" s="75" t="str">
        <f>IFERROR(VLOOKUP(C7,Articles,10,FALSE),"")</f>
        <v>Toutes catégories</v>
      </c>
      <c r="K7" s="75" t="str">
        <f>IFERROR(VLOOKUP(C7,Articles,11,FALSE),"")</f>
        <v>Vêtement</v>
      </c>
      <c r="L7" s="75" t="str">
        <f>IFERROR(VLOOKUP(C7,Articles,2,FALSE),"")</f>
        <v>T-Shirt</v>
      </c>
      <c r="M7" s="75" t="str">
        <f>IFERROR(VLOOKUP(C7,Articles,3,FALSE),"")</f>
        <v>Oxbow</v>
      </c>
    </row>
    <row r="8" spans="1:13">
      <c r="A8" s="74">
        <v>42383</v>
      </c>
      <c r="B8" s="61">
        <v>2</v>
      </c>
      <c r="C8" s="56" t="s">
        <v>57</v>
      </c>
      <c r="D8" s="75">
        <f>IFERROR(VLOOKUP(C8,Articles,5,FALSE),"")</f>
        <v>25</v>
      </c>
      <c r="E8" s="62">
        <v>25</v>
      </c>
      <c r="F8" s="76">
        <f>IFERROR((D8-E8)/D8,"")</f>
        <v>0</v>
      </c>
      <c r="G8" s="77">
        <v>5</v>
      </c>
      <c r="H8" s="75">
        <f>E8*G8</f>
        <v>125</v>
      </c>
      <c r="I8" s="78"/>
      <c r="J8" s="75" t="str">
        <f>IFERROR(VLOOKUP(C8,Articles,10,FALSE),"")</f>
        <v>Cyclisme</v>
      </c>
      <c r="K8" s="75" t="str">
        <f>IFERROR(VLOOKUP(C8,Articles,11,FALSE),"")</f>
        <v>Prestation</v>
      </c>
      <c r="L8" s="75" t="str">
        <f>IFERROR(VLOOKUP(C8,Articles,2,FALSE),"")</f>
        <v>Réparation vélo</v>
      </c>
      <c r="M8" s="75">
        <f>IFERROR(VLOOKUP(C8,Articles,3,FALSE),"")</f>
        <v>0</v>
      </c>
    </row>
    <row r="9" spans="1:13">
      <c r="A9" s="74">
        <v>42383</v>
      </c>
      <c r="B9" s="61">
        <v>1</v>
      </c>
      <c r="C9" s="56" t="s">
        <v>71</v>
      </c>
      <c r="D9" s="75">
        <f>IFERROR(VLOOKUP(C9,Articles,5,FALSE),"")</f>
        <v>80</v>
      </c>
      <c r="E9" s="62">
        <v>80</v>
      </c>
      <c r="F9" s="76">
        <f>IFERROR((D9-E9)/D9,"")</f>
        <v>0</v>
      </c>
      <c r="G9" s="77">
        <v>1</v>
      </c>
      <c r="H9" s="75">
        <f>E9*G9</f>
        <v>80</v>
      </c>
      <c r="I9" s="78"/>
      <c r="J9" s="75" t="str">
        <f>IFERROR(VLOOKUP(C9,Articles,10,FALSE),"")</f>
        <v>Football</v>
      </c>
      <c r="K9" s="75" t="str">
        <f>IFERROR(VLOOKUP(C9,Articles,11,FALSE),"")</f>
        <v>Vêtement</v>
      </c>
      <c r="L9" s="75" t="str">
        <f>IFERROR(VLOOKUP(C9,Articles,2,FALSE),"")</f>
        <v>Maillot de foot</v>
      </c>
      <c r="M9" s="75" t="str">
        <f>IFERROR(VLOOKUP(C9,Articles,3,FALSE),"")</f>
        <v>Adidas</v>
      </c>
    </row>
    <row r="10" spans="1:13">
      <c r="A10" s="74">
        <v>42383</v>
      </c>
      <c r="B10" s="61">
        <v>1</v>
      </c>
      <c r="C10" s="56" t="s">
        <v>72</v>
      </c>
      <c r="D10" s="75">
        <f>IFERROR(VLOOKUP(C10,Articles,5,FALSE),"")</f>
        <v>150</v>
      </c>
      <c r="E10" s="62">
        <v>150</v>
      </c>
      <c r="F10" s="76">
        <f>IFERROR((D10-E10)/D10,"")</f>
        <v>0</v>
      </c>
      <c r="G10" s="77">
        <v>1</v>
      </c>
      <c r="H10" s="75">
        <f>E10*G10</f>
        <v>150</v>
      </c>
      <c r="I10" s="78"/>
      <c r="J10" s="75" t="str">
        <f>IFERROR(VLOOKUP(C10,Articles,10,FALSE),"")</f>
        <v>Football</v>
      </c>
      <c r="K10" s="75" t="str">
        <f>IFERROR(VLOOKUP(C10,Articles,11,FALSE),"")</f>
        <v>Vêtement</v>
      </c>
      <c r="L10" s="75" t="str">
        <f>IFERROR(VLOOKUP(C10,Articles,2,FALSE),"")</f>
        <v>Chaussures de foot</v>
      </c>
      <c r="M10" s="75" t="str">
        <f>IFERROR(VLOOKUP(C10,Articles,3,FALSE),"")</f>
        <v>Nike</v>
      </c>
    </row>
    <row r="11" spans="1:13">
      <c r="A11" s="74">
        <v>42383</v>
      </c>
      <c r="B11" s="61">
        <v>1</v>
      </c>
      <c r="C11" s="56" t="s">
        <v>73</v>
      </c>
      <c r="D11" s="75">
        <f>IFERROR(VLOOKUP(C11,Articles,5,FALSE),"")</f>
        <v>120</v>
      </c>
      <c r="E11" s="62">
        <v>120</v>
      </c>
      <c r="F11" s="76">
        <f>IFERROR((D11-E11)/D11,"")</f>
        <v>0</v>
      </c>
      <c r="G11" s="77">
        <v>1</v>
      </c>
      <c r="H11" s="75">
        <f>E11*G11</f>
        <v>120</v>
      </c>
      <c r="I11" s="78"/>
      <c r="J11" s="75" t="str">
        <f>IFERROR(VLOOKUP(C11,Articles,10,FALSE),"")</f>
        <v>Football</v>
      </c>
      <c r="K11" s="75" t="str">
        <f>IFERROR(VLOOKUP(C11,Articles,11,FALSE),"")</f>
        <v>Vêtement</v>
      </c>
      <c r="L11" s="75" t="str">
        <f>IFERROR(VLOOKUP(C11,Articles,2,FALSE),"")</f>
        <v>Chaussures de foot</v>
      </c>
      <c r="M11" s="75" t="str">
        <f>IFERROR(VLOOKUP(C11,Articles,3,FALSE),"")</f>
        <v>Nike</v>
      </c>
    </row>
    <row r="12" spans="1:13">
      <c r="A12" s="74">
        <v>42383</v>
      </c>
      <c r="B12" s="61">
        <v>1</v>
      </c>
      <c r="C12" s="56" t="s">
        <v>74</v>
      </c>
      <c r="D12" s="75">
        <f>IFERROR(VLOOKUP(C12,Articles,5,FALSE),"")</f>
        <v>150</v>
      </c>
      <c r="E12" s="62">
        <v>150</v>
      </c>
      <c r="F12" s="76">
        <f>IFERROR((D12-E12)/D12,"")</f>
        <v>0</v>
      </c>
      <c r="G12" s="77">
        <v>1</v>
      </c>
      <c r="H12" s="75">
        <f>E12*G12</f>
        <v>150</v>
      </c>
      <c r="I12" s="78"/>
      <c r="J12" s="75" t="str">
        <f>IFERROR(VLOOKUP(C12,Articles,10,FALSE),"")</f>
        <v>Football</v>
      </c>
      <c r="K12" s="75" t="str">
        <f>IFERROR(VLOOKUP(C12,Articles,11,FALSE),"")</f>
        <v>Vêtement</v>
      </c>
      <c r="L12" s="75" t="str">
        <f>IFERROR(VLOOKUP(C12,Articles,2,FALSE),"")</f>
        <v>Chaussures de foot</v>
      </c>
      <c r="M12" s="75" t="str">
        <f>IFERROR(VLOOKUP(C12,Articles,3,FALSE),"")</f>
        <v>Nike</v>
      </c>
    </row>
    <row r="13" spans="1:13">
      <c r="A13" s="74">
        <v>42383</v>
      </c>
      <c r="B13" s="61">
        <v>2</v>
      </c>
      <c r="C13" s="56" t="s">
        <v>75</v>
      </c>
      <c r="D13" s="75">
        <f>IFERROR(VLOOKUP(C13,Articles,5,FALSE),"")</f>
        <v>120</v>
      </c>
      <c r="E13" s="62">
        <v>110</v>
      </c>
      <c r="F13" s="76">
        <f>IFERROR((D13-E13)/D13,"")</f>
        <v>8.3333333333333329E-2</v>
      </c>
      <c r="G13" s="77">
        <v>1</v>
      </c>
      <c r="H13" s="75">
        <f>E13*G13</f>
        <v>110</v>
      </c>
      <c r="I13" s="78"/>
      <c r="J13" s="75" t="str">
        <f>IFERROR(VLOOKUP(C13,Articles,10,FALSE),"")</f>
        <v>Running</v>
      </c>
      <c r="K13" s="75" t="str">
        <f>IFERROR(VLOOKUP(C13,Articles,11,FALSE),"")</f>
        <v>Vêtement</v>
      </c>
      <c r="L13" s="75" t="str">
        <f>IFERROR(VLOOKUP(C13,Articles,2,FALSE),"")</f>
        <v>Chaussures de running</v>
      </c>
      <c r="M13" s="75" t="str">
        <f>IFERROR(VLOOKUP(C13,Articles,3,FALSE),"")</f>
        <v>Mizuno</v>
      </c>
    </row>
    <row r="14" spans="1:13">
      <c r="A14" s="74">
        <v>42383</v>
      </c>
      <c r="B14" s="61">
        <v>1</v>
      </c>
      <c r="C14" s="56" t="s">
        <v>76</v>
      </c>
      <c r="D14" s="75">
        <f t="shared" ref="D9:D54" si="0">IFERROR(VLOOKUP(C14,Articles,5,FALSE),"")</f>
        <v>100</v>
      </c>
      <c r="E14" s="62">
        <v>100</v>
      </c>
      <c r="F14" s="76">
        <f t="shared" ref="F9:F22" si="1">IFERROR((D14-E14)/D14,"")</f>
        <v>0</v>
      </c>
      <c r="G14" s="77">
        <v>1</v>
      </c>
      <c r="H14" s="75">
        <f t="shared" ref="H9:H22" si="2">E14*G14</f>
        <v>100</v>
      </c>
      <c r="I14" s="78"/>
      <c r="J14" s="75" t="str">
        <f t="shared" ref="J9:J54" si="3">IFERROR(VLOOKUP(C14,Articles,10,FALSE),"")</f>
        <v>Running</v>
      </c>
      <c r="K14" s="75" t="str">
        <f t="shared" ref="K9:K54" si="4">IFERROR(VLOOKUP(C14,Articles,11,FALSE),"")</f>
        <v>Vêtement</v>
      </c>
      <c r="L14" s="75" t="str">
        <f t="shared" ref="L9:L54" si="5">IFERROR(VLOOKUP(C14,Articles,2,FALSE),"")</f>
        <v>Chaussures de running</v>
      </c>
      <c r="M14" s="75" t="str">
        <f t="shared" ref="M9:M54" si="6">IFERROR(VLOOKUP(C14,Articles,3,FALSE),"")</f>
        <v>Asics</v>
      </c>
    </row>
    <row r="15" spans="1:13">
      <c r="A15" s="74">
        <v>42383</v>
      </c>
      <c r="B15" s="61">
        <v>2</v>
      </c>
      <c r="C15" s="56" t="s">
        <v>77</v>
      </c>
      <c r="D15" s="75">
        <f t="shared" si="0"/>
        <v>220</v>
      </c>
      <c r="E15" s="62">
        <v>220</v>
      </c>
      <c r="F15" s="76">
        <f t="shared" si="1"/>
        <v>0</v>
      </c>
      <c r="G15" s="77">
        <v>1</v>
      </c>
      <c r="H15" s="75">
        <f t="shared" si="2"/>
        <v>220</v>
      </c>
      <c r="I15" s="78"/>
      <c r="J15" s="75" t="str">
        <f t="shared" si="3"/>
        <v>Football</v>
      </c>
      <c r="K15" s="75" t="str">
        <f t="shared" si="4"/>
        <v>Vêtement</v>
      </c>
      <c r="L15" s="75" t="str">
        <f t="shared" si="5"/>
        <v>Chaussures de foot</v>
      </c>
      <c r="M15" s="75" t="str">
        <f t="shared" si="6"/>
        <v>Adidas</v>
      </c>
    </row>
    <row r="16" spans="1:13">
      <c r="A16" s="74">
        <v>42384</v>
      </c>
      <c r="B16" s="61">
        <v>1</v>
      </c>
      <c r="C16" s="56" t="s">
        <v>78</v>
      </c>
      <c r="D16" s="75">
        <f t="shared" si="0"/>
        <v>60</v>
      </c>
      <c r="E16" s="62">
        <v>55</v>
      </c>
      <c r="F16" s="76">
        <f t="shared" si="1"/>
        <v>8.3333333333333329E-2</v>
      </c>
      <c r="G16" s="77">
        <v>1</v>
      </c>
      <c r="H16" s="75">
        <f t="shared" si="2"/>
        <v>55</v>
      </c>
      <c r="I16" s="78"/>
      <c r="J16" s="75" t="str">
        <f t="shared" si="3"/>
        <v>Football</v>
      </c>
      <c r="K16" s="75" t="str">
        <f t="shared" si="4"/>
        <v>Vêtement</v>
      </c>
      <c r="L16" s="75" t="str">
        <f t="shared" si="5"/>
        <v>Chaussures de foot</v>
      </c>
      <c r="M16" s="75" t="str">
        <f t="shared" si="6"/>
        <v>Adidas</v>
      </c>
    </row>
    <row r="17" spans="1:13">
      <c r="A17" s="74">
        <v>42384</v>
      </c>
      <c r="B17" s="61">
        <v>2</v>
      </c>
      <c r="C17" s="56" t="s">
        <v>81</v>
      </c>
      <c r="D17" s="75">
        <f t="shared" si="0"/>
        <v>25</v>
      </c>
      <c r="E17" s="62">
        <v>25</v>
      </c>
      <c r="F17" s="76">
        <f t="shared" si="1"/>
        <v>0</v>
      </c>
      <c r="G17" s="77">
        <v>1</v>
      </c>
      <c r="H17" s="75">
        <f t="shared" si="2"/>
        <v>25</v>
      </c>
      <c r="I17" s="78"/>
      <c r="J17" s="75" t="str">
        <f t="shared" si="3"/>
        <v>Football</v>
      </c>
      <c r="K17" s="75" t="str">
        <f t="shared" si="4"/>
        <v>Equipement</v>
      </c>
      <c r="L17" s="75" t="str">
        <f t="shared" si="5"/>
        <v>Ballon de foot</v>
      </c>
      <c r="M17" s="75" t="str">
        <f t="shared" si="6"/>
        <v>Adidas</v>
      </c>
    </row>
    <row r="18" spans="1:13">
      <c r="A18" s="74">
        <v>42384</v>
      </c>
      <c r="B18" s="61">
        <v>2</v>
      </c>
      <c r="C18" s="56" t="s">
        <v>57</v>
      </c>
      <c r="D18" s="75">
        <f t="shared" si="0"/>
        <v>25</v>
      </c>
      <c r="E18" s="62">
        <v>25</v>
      </c>
      <c r="F18" s="76">
        <f t="shared" si="1"/>
        <v>0</v>
      </c>
      <c r="G18" s="77">
        <v>1</v>
      </c>
      <c r="H18" s="75">
        <f t="shared" si="2"/>
        <v>25</v>
      </c>
      <c r="I18" s="78"/>
      <c r="J18" s="75" t="str">
        <f t="shared" si="3"/>
        <v>Cyclisme</v>
      </c>
      <c r="K18" s="75" t="str">
        <f t="shared" si="4"/>
        <v>Prestation</v>
      </c>
      <c r="L18" s="75" t="str">
        <f t="shared" si="5"/>
        <v>Réparation vélo</v>
      </c>
      <c r="M18" s="75">
        <f t="shared" si="6"/>
        <v>0</v>
      </c>
    </row>
    <row r="19" spans="1:13">
      <c r="A19" s="74">
        <v>42384</v>
      </c>
      <c r="B19" s="61">
        <v>2</v>
      </c>
      <c r="C19" s="56" t="s">
        <v>58</v>
      </c>
      <c r="D19" s="75">
        <f t="shared" si="0"/>
        <v>250</v>
      </c>
      <c r="E19" s="62">
        <v>250</v>
      </c>
      <c r="F19" s="76">
        <f t="shared" si="1"/>
        <v>0</v>
      </c>
      <c r="G19" s="77">
        <v>1</v>
      </c>
      <c r="H19" s="75">
        <f t="shared" si="2"/>
        <v>250</v>
      </c>
      <c r="I19" s="78"/>
      <c r="J19" s="75" t="str">
        <f t="shared" si="3"/>
        <v>Cyclisme</v>
      </c>
      <c r="K19" s="75" t="str">
        <f t="shared" si="4"/>
        <v>Equipement</v>
      </c>
      <c r="L19" s="75" t="str">
        <f t="shared" si="5"/>
        <v>Vélo</v>
      </c>
      <c r="M19" s="75" t="str">
        <f t="shared" si="6"/>
        <v>Orbea</v>
      </c>
    </row>
    <row r="20" spans="1:13">
      <c r="A20" s="74">
        <v>42384</v>
      </c>
      <c r="B20" s="61">
        <v>1</v>
      </c>
      <c r="C20" s="56" t="s">
        <v>79</v>
      </c>
      <c r="D20" s="75">
        <f t="shared" si="0"/>
        <v>80</v>
      </c>
      <c r="E20" s="62">
        <v>75</v>
      </c>
      <c r="F20" s="76">
        <f t="shared" si="1"/>
        <v>6.25E-2</v>
      </c>
      <c r="G20" s="77">
        <v>1</v>
      </c>
      <c r="H20" s="75">
        <f t="shared" si="2"/>
        <v>75</v>
      </c>
      <c r="I20" s="78"/>
      <c r="J20" s="75" t="str">
        <f t="shared" si="3"/>
        <v>Tennis</v>
      </c>
      <c r="K20" s="75" t="str">
        <f t="shared" si="4"/>
        <v>Equipement</v>
      </c>
      <c r="L20" s="75" t="str">
        <f t="shared" si="5"/>
        <v>Raquette de tennis</v>
      </c>
      <c r="M20" s="75" t="str">
        <f t="shared" si="6"/>
        <v>Babolat</v>
      </c>
    </row>
    <row r="21" spans="1:13">
      <c r="A21" s="74">
        <v>42384</v>
      </c>
      <c r="B21" s="61">
        <v>1</v>
      </c>
      <c r="C21" s="56" t="s">
        <v>59</v>
      </c>
      <c r="D21" s="75">
        <f t="shared" si="0"/>
        <v>5</v>
      </c>
      <c r="E21" s="62">
        <v>5</v>
      </c>
      <c r="F21" s="76">
        <f t="shared" si="1"/>
        <v>0</v>
      </c>
      <c r="G21" s="77">
        <v>1</v>
      </c>
      <c r="H21" s="75">
        <f t="shared" si="2"/>
        <v>5</v>
      </c>
      <c r="I21" s="78"/>
      <c r="J21" s="75" t="str">
        <f t="shared" si="3"/>
        <v>Grimpe et rando</v>
      </c>
      <c r="K21" s="75" t="str">
        <f t="shared" si="4"/>
        <v>Equipement</v>
      </c>
      <c r="L21" s="75" t="str">
        <f t="shared" si="5"/>
        <v>Gourde</v>
      </c>
      <c r="M21" s="75" t="str">
        <f t="shared" si="6"/>
        <v>S+</v>
      </c>
    </row>
    <row r="22" spans="1:13">
      <c r="A22" s="74">
        <v>42384</v>
      </c>
      <c r="B22" s="61">
        <v>1</v>
      </c>
      <c r="C22" s="56" t="s">
        <v>60</v>
      </c>
      <c r="D22" s="75">
        <f t="shared" si="0"/>
        <v>25</v>
      </c>
      <c r="E22" s="62">
        <v>25</v>
      </c>
      <c r="F22" s="76">
        <f t="shared" si="1"/>
        <v>0</v>
      </c>
      <c r="G22" s="77">
        <v>1</v>
      </c>
      <c r="H22" s="75">
        <f t="shared" si="2"/>
        <v>25</v>
      </c>
      <c r="I22" s="78"/>
      <c r="J22" s="75" t="str">
        <f t="shared" si="3"/>
        <v>Grimpe et rando</v>
      </c>
      <c r="K22" s="75" t="str">
        <f t="shared" si="4"/>
        <v>Equipement</v>
      </c>
      <c r="L22" s="75" t="str">
        <f t="shared" si="5"/>
        <v>Cordage</v>
      </c>
      <c r="M22" s="75">
        <f t="shared" si="6"/>
        <v>0</v>
      </c>
    </row>
    <row r="23" spans="1:13">
      <c r="A23" s="74">
        <v>42384</v>
      </c>
      <c r="B23" s="61">
        <v>1</v>
      </c>
      <c r="C23" s="56" t="s">
        <v>56</v>
      </c>
      <c r="D23" s="75">
        <f t="shared" si="0"/>
        <v>45</v>
      </c>
      <c r="E23" s="62">
        <v>42</v>
      </c>
      <c r="F23" s="76">
        <f>IFERROR((D23-E23)/D23,"")</f>
        <v>6.6666666666666666E-2</v>
      </c>
      <c r="G23" s="77">
        <v>1</v>
      </c>
      <c r="H23" s="75">
        <f>E23*G23</f>
        <v>42</v>
      </c>
      <c r="I23" s="78"/>
      <c r="J23" s="75" t="str">
        <f t="shared" si="3"/>
        <v>Toutes catégories</v>
      </c>
      <c r="K23" s="75" t="str">
        <f t="shared" si="4"/>
        <v>Vêtement</v>
      </c>
      <c r="L23" s="75" t="str">
        <f t="shared" si="5"/>
        <v>T-Shirt</v>
      </c>
      <c r="M23" s="75" t="str">
        <f t="shared" si="6"/>
        <v>Oxbow</v>
      </c>
    </row>
    <row r="24" spans="1:13">
      <c r="A24" s="74">
        <v>42384</v>
      </c>
      <c r="B24" s="61">
        <v>1</v>
      </c>
      <c r="C24" s="56" t="s">
        <v>57</v>
      </c>
      <c r="D24" s="75">
        <f t="shared" si="0"/>
        <v>25</v>
      </c>
      <c r="E24" s="62">
        <v>25</v>
      </c>
      <c r="F24" s="76">
        <f t="shared" ref="F24:F38" si="7">IFERROR((D24-E24)/D24,"")</f>
        <v>0</v>
      </c>
      <c r="G24" s="77">
        <v>3</v>
      </c>
      <c r="H24" s="75">
        <f t="shared" ref="H24:H38" si="8">E24*G24</f>
        <v>75</v>
      </c>
      <c r="I24" s="78"/>
      <c r="J24" s="75" t="str">
        <f t="shared" si="3"/>
        <v>Cyclisme</v>
      </c>
      <c r="K24" s="75" t="str">
        <f t="shared" si="4"/>
        <v>Prestation</v>
      </c>
      <c r="L24" s="75" t="str">
        <f t="shared" si="5"/>
        <v>Réparation vélo</v>
      </c>
      <c r="M24" s="75">
        <f t="shared" si="6"/>
        <v>0</v>
      </c>
    </row>
    <row r="25" spans="1:13">
      <c r="A25" s="74">
        <v>42384</v>
      </c>
      <c r="B25" s="61">
        <v>1</v>
      </c>
      <c r="C25" s="56" t="s">
        <v>71</v>
      </c>
      <c r="D25" s="75">
        <f t="shared" si="0"/>
        <v>80</v>
      </c>
      <c r="E25" s="62">
        <v>80</v>
      </c>
      <c r="F25" s="76">
        <f t="shared" si="7"/>
        <v>0</v>
      </c>
      <c r="G25" s="77">
        <v>1</v>
      </c>
      <c r="H25" s="75">
        <f t="shared" si="8"/>
        <v>80</v>
      </c>
      <c r="I25" s="78"/>
      <c r="J25" s="75" t="str">
        <f t="shared" si="3"/>
        <v>Football</v>
      </c>
      <c r="K25" s="75" t="str">
        <f t="shared" si="4"/>
        <v>Vêtement</v>
      </c>
      <c r="L25" s="75" t="str">
        <f t="shared" si="5"/>
        <v>Maillot de foot</v>
      </c>
      <c r="M25" s="75" t="str">
        <f t="shared" si="6"/>
        <v>Adidas</v>
      </c>
    </row>
    <row r="26" spans="1:13">
      <c r="A26" s="74">
        <v>42384</v>
      </c>
      <c r="B26" s="61">
        <v>1</v>
      </c>
      <c r="C26" s="56" t="s">
        <v>72</v>
      </c>
      <c r="D26" s="75">
        <f t="shared" si="0"/>
        <v>150</v>
      </c>
      <c r="E26" s="62">
        <v>150</v>
      </c>
      <c r="F26" s="76">
        <f t="shared" si="7"/>
        <v>0</v>
      </c>
      <c r="G26" s="77">
        <v>1</v>
      </c>
      <c r="H26" s="75">
        <f t="shared" si="8"/>
        <v>150</v>
      </c>
      <c r="I26" s="78"/>
      <c r="J26" s="75" t="str">
        <f t="shared" si="3"/>
        <v>Football</v>
      </c>
      <c r="K26" s="75" t="str">
        <f t="shared" si="4"/>
        <v>Vêtement</v>
      </c>
      <c r="L26" s="75" t="str">
        <f t="shared" si="5"/>
        <v>Chaussures de foot</v>
      </c>
      <c r="M26" s="75" t="str">
        <f t="shared" si="6"/>
        <v>Nike</v>
      </c>
    </row>
    <row r="27" spans="1:13">
      <c r="A27" s="74">
        <v>42384</v>
      </c>
      <c r="B27" s="61">
        <v>2</v>
      </c>
      <c r="C27" s="56" t="s">
        <v>73</v>
      </c>
      <c r="D27" s="75">
        <f t="shared" si="0"/>
        <v>120</v>
      </c>
      <c r="E27" s="62">
        <v>120</v>
      </c>
      <c r="F27" s="76">
        <f t="shared" si="7"/>
        <v>0</v>
      </c>
      <c r="G27" s="77">
        <v>1</v>
      </c>
      <c r="H27" s="75">
        <f t="shared" si="8"/>
        <v>120</v>
      </c>
      <c r="I27" s="78"/>
      <c r="J27" s="75" t="str">
        <f t="shared" si="3"/>
        <v>Football</v>
      </c>
      <c r="K27" s="75" t="str">
        <f t="shared" si="4"/>
        <v>Vêtement</v>
      </c>
      <c r="L27" s="75" t="str">
        <f t="shared" si="5"/>
        <v>Chaussures de foot</v>
      </c>
      <c r="M27" s="75" t="str">
        <f t="shared" si="6"/>
        <v>Nike</v>
      </c>
    </row>
    <row r="28" spans="1:13">
      <c r="A28" s="74">
        <v>42384</v>
      </c>
      <c r="B28" s="61">
        <v>1</v>
      </c>
      <c r="C28" s="56" t="s">
        <v>74</v>
      </c>
      <c r="D28" s="75">
        <f t="shared" si="0"/>
        <v>150</v>
      </c>
      <c r="E28" s="62">
        <v>150</v>
      </c>
      <c r="F28" s="76">
        <f t="shared" si="7"/>
        <v>0</v>
      </c>
      <c r="G28" s="77">
        <v>1</v>
      </c>
      <c r="H28" s="75">
        <f t="shared" si="8"/>
        <v>150</v>
      </c>
      <c r="I28" s="78"/>
      <c r="J28" s="75" t="str">
        <f t="shared" si="3"/>
        <v>Football</v>
      </c>
      <c r="K28" s="75" t="str">
        <f t="shared" si="4"/>
        <v>Vêtement</v>
      </c>
      <c r="L28" s="75" t="str">
        <f t="shared" si="5"/>
        <v>Chaussures de foot</v>
      </c>
      <c r="M28" s="75" t="str">
        <f t="shared" si="6"/>
        <v>Nike</v>
      </c>
    </row>
    <row r="29" spans="1:13">
      <c r="A29" s="74">
        <v>42384</v>
      </c>
      <c r="B29" s="61">
        <v>2</v>
      </c>
      <c r="C29" s="56" t="s">
        <v>75</v>
      </c>
      <c r="D29" s="75">
        <f t="shared" si="0"/>
        <v>120</v>
      </c>
      <c r="E29" s="62">
        <v>110</v>
      </c>
      <c r="F29" s="76">
        <f t="shared" si="7"/>
        <v>8.3333333333333329E-2</v>
      </c>
      <c r="G29" s="77">
        <v>1</v>
      </c>
      <c r="H29" s="75">
        <f t="shared" si="8"/>
        <v>110</v>
      </c>
      <c r="I29" s="78"/>
      <c r="J29" s="75" t="str">
        <f t="shared" si="3"/>
        <v>Running</v>
      </c>
      <c r="K29" s="75" t="str">
        <f t="shared" si="4"/>
        <v>Vêtement</v>
      </c>
      <c r="L29" s="75" t="str">
        <f t="shared" si="5"/>
        <v>Chaussures de running</v>
      </c>
      <c r="M29" s="75" t="str">
        <f t="shared" si="6"/>
        <v>Mizuno</v>
      </c>
    </row>
    <row r="30" spans="1:13">
      <c r="A30" s="74">
        <v>42384</v>
      </c>
      <c r="B30" s="61">
        <v>1</v>
      </c>
      <c r="C30" s="56" t="s">
        <v>76</v>
      </c>
      <c r="D30" s="75">
        <f t="shared" si="0"/>
        <v>100</v>
      </c>
      <c r="E30" s="62">
        <v>100</v>
      </c>
      <c r="F30" s="76">
        <f t="shared" si="7"/>
        <v>0</v>
      </c>
      <c r="G30" s="77">
        <v>1</v>
      </c>
      <c r="H30" s="75">
        <f t="shared" si="8"/>
        <v>100</v>
      </c>
      <c r="I30" s="78"/>
      <c r="J30" s="75" t="str">
        <f t="shared" si="3"/>
        <v>Running</v>
      </c>
      <c r="K30" s="75" t="str">
        <f t="shared" si="4"/>
        <v>Vêtement</v>
      </c>
      <c r="L30" s="75" t="str">
        <f t="shared" si="5"/>
        <v>Chaussures de running</v>
      </c>
      <c r="M30" s="75" t="str">
        <f t="shared" si="6"/>
        <v>Asics</v>
      </c>
    </row>
    <row r="31" spans="1:13">
      <c r="A31" s="74">
        <v>42384</v>
      </c>
      <c r="B31" s="61">
        <v>1</v>
      </c>
      <c r="C31" s="56" t="s">
        <v>77</v>
      </c>
      <c r="D31" s="75">
        <f t="shared" si="0"/>
        <v>220</v>
      </c>
      <c r="E31" s="62">
        <v>220</v>
      </c>
      <c r="F31" s="76">
        <f t="shared" si="7"/>
        <v>0</v>
      </c>
      <c r="G31" s="77">
        <v>1</v>
      </c>
      <c r="H31" s="75">
        <f t="shared" si="8"/>
        <v>220</v>
      </c>
      <c r="I31" s="78"/>
      <c r="J31" s="75" t="str">
        <f t="shared" si="3"/>
        <v>Football</v>
      </c>
      <c r="K31" s="75" t="str">
        <f t="shared" si="4"/>
        <v>Vêtement</v>
      </c>
      <c r="L31" s="75" t="str">
        <f t="shared" si="5"/>
        <v>Chaussures de foot</v>
      </c>
      <c r="M31" s="75" t="str">
        <f t="shared" si="6"/>
        <v>Adidas</v>
      </c>
    </row>
    <row r="32" spans="1:13">
      <c r="A32" s="74" t="s">
        <v>93</v>
      </c>
      <c r="B32" s="61">
        <v>2</v>
      </c>
      <c r="C32" s="56" t="s">
        <v>78</v>
      </c>
      <c r="D32" s="75">
        <f t="shared" si="0"/>
        <v>60</v>
      </c>
      <c r="E32" s="62">
        <v>55</v>
      </c>
      <c r="F32" s="76">
        <f t="shared" si="7"/>
        <v>8.3333333333333329E-2</v>
      </c>
      <c r="G32" s="77">
        <v>1</v>
      </c>
      <c r="H32" s="75">
        <f t="shared" si="8"/>
        <v>55</v>
      </c>
      <c r="I32" s="78"/>
      <c r="J32" s="75" t="str">
        <f t="shared" si="3"/>
        <v>Football</v>
      </c>
      <c r="K32" s="75" t="str">
        <f t="shared" si="4"/>
        <v>Vêtement</v>
      </c>
      <c r="L32" s="75" t="str">
        <f t="shared" si="5"/>
        <v>Chaussures de foot</v>
      </c>
      <c r="M32" s="75" t="str">
        <f t="shared" si="6"/>
        <v>Adidas</v>
      </c>
    </row>
    <row r="33" spans="1:13">
      <c r="A33" s="74" t="s">
        <v>93</v>
      </c>
      <c r="B33" s="61">
        <v>2</v>
      </c>
      <c r="C33" s="56" t="s">
        <v>81</v>
      </c>
      <c r="D33" s="75">
        <f t="shared" si="0"/>
        <v>25</v>
      </c>
      <c r="E33" s="62">
        <v>25</v>
      </c>
      <c r="F33" s="76">
        <f t="shared" si="7"/>
        <v>0</v>
      </c>
      <c r="G33" s="77">
        <v>1</v>
      </c>
      <c r="H33" s="75">
        <f t="shared" si="8"/>
        <v>25</v>
      </c>
      <c r="I33" s="78"/>
      <c r="J33" s="75" t="str">
        <f t="shared" si="3"/>
        <v>Football</v>
      </c>
      <c r="K33" s="75" t="str">
        <f t="shared" si="4"/>
        <v>Equipement</v>
      </c>
      <c r="L33" s="75" t="str">
        <f t="shared" si="5"/>
        <v>Ballon de foot</v>
      </c>
      <c r="M33" s="75" t="str">
        <f t="shared" si="6"/>
        <v>Adidas</v>
      </c>
    </row>
    <row r="34" spans="1:13">
      <c r="A34" s="74" t="s">
        <v>93</v>
      </c>
      <c r="B34" s="61">
        <v>2</v>
      </c>
      <c r="C34" s="56" t="s">
        <v>57</v>
      </c>
      <c r="D34" s="75">
        <f t="shared" si="0"/>
        <v>25</v>
      </c>
      <c r="E34" s="62">
        <v>25</v>
      </c>
      <c r="F34" s="76">
        <f t="shared" si="7"/>
        <v>0</v>
      </c>
      <c r="G34" s="77">
        <v>1</v>
      </c>
      <c r="H34" s="75">
        <f t="shared" si="8"/>
        <v>25</v>
      </c>
      <c r="I34" s="78"/>
      <c r="J34" s="75" t="str">
        <f t="shared" si="3"/>
        <v>Cyclisme</v>
      </c>
      <c r="K34" s="75" t="str">
        <f t="shared" si="4"/>
        <v>Prestation</v>
      </c>
      <c r="L34" s="75" t="str">
        <f t="shared" si="5"/>
        <v>Réparation vélo</v>
      </c>
      <c r="M34" s="75">
        <f t="shared" si="6"/>
        <v>0</v>
      </c>
    </row>
    <row r="35" spans="1:13">
      <c r="A35" s="74" t="s">
        <v>93</v>
      </c>
      <c r="B35" s="61">
        <v>1</v>
      </c>
      <c r="C35" s="56" t="s">
        <v>58</v>
      </c>
      <c r="D35" s="75">
        <f t="shared" si="0"/>
        <v>250</v>
      </c>
      <c r="E35" s="62">
        <v>250</v>
      </c>
      <c r="F35" s="76">
        <f t="shared" si="7"/>
        <v>0</v>
      </c>
      <c r="G35" s="77">
        <v>1</v>
      </c>
      <c r="H35" s="75">
        <f t="shared" si="8"/>
        <v>250</v>
      </c>
      <c r="I35" s="78"/>
      <c r="J35" s="75" t="str">
        <f t="shared" si="3"/>
        <v>Cyclisme</v>
      </c>
      <c r="K35" s="75" t="str">
        <f t="shared" si="4"/>
        <v>Equipement</v>
      </c>
      <c r="L35" s="75" t="str">
        <f t="shared" si="5"/>
        <v>Vélo</v>
      </c>
      <c r="M35" s="75" t="str">
        <f t="shared" si="6"/>
        <v>Orbea</v>
      </c>
    </row>
    <row r="36" spans="1:13">
      <c r="A36" s="74" t="s">
        <v>93</v>
      </c>
      <c r="B36" s="61">
        <v>1</v>
      </c>
      <c r="C36" s="56" t="s">
        <v>79</v>
      </c>
      <c r="D36" s="75">
        <f t="shared" si="0"/>
        <v>80</v>
      </c>
      <c r="E36" s="62">
        <v>75</v>
      </c>
      <c r="F36" s="76">
        <f t="shared" si="7"/>
        <v>6.25E-2</v>
      </c>
      <c r="G36" s="77">
        <v>1</v>
      </c>
      <c r="H36" s="75">
        <f t="shared" si="8"/>
        <v>75</v>
      </c>
      <c r="I36" s="78"/>
      <c r="J36" s="75" t="str">
        <f t="shared" si="3"/>
        <v>Tennis</v>
      </c>
      <c r="K36" s="75" t="str">
        <f t="shared" si="4"/>
        <v>Equipement</v>
      </c>
      <c r="L36" s="75" t="str">
        <f t="shared" si="5"/>
        <v>Raquette de tennis</v>
      </c>
      <c r="M36" s="75" t="str">
        <f t="shared" si="6"/>
        <v>Babolat</v>
      </c>
    </row>
    <row r="37" spans="1:13">
      <c r="A37" s="74" t="s">
        <v>93</v>
      </c>
      <c r="B37" s="61">
        <v>1</v>
      </c>
      <c r="C37" s="56" t="s">
        <v>59</v>
      </c>
      <c r="D37" s="75">
        <f t="shared" si="0"/>
        <v>5</v>
      </c>
      <c r="E37" s="62">
        <v>5</v>
      </c>
      <c r="F37" s="76">
        <f t="shared" si="7"/>
        <v>0</v>
      </c>
      <c r="G37" s="77">
        <v>1</v>
      </c>
      <c r="H37" s="75">
        <f t="shared" si="8"/>
        <v>5</v>
      </c>
      <c r="I37" s="78"/>
      <c r="J37" s="75" t="str">
        <f t="shared" si="3"/>
        <v>Grimpe et rando</v>
      </c>
      <c r="K37" s="75" t="str">
        <f t="shared" si="4"/>
        <v>Equipement</v>
      </c>
      <c r="L37" s="75" t="str">
        <f t="shared" si="5"/>
        <v>Gourde</v>
      </c>
      <c r="M37" s="75" t="str">
        <f t="shared" si="6"/>
        <v>S+</v>
      </c>
    </row>
    <row r="38" spans="1:13">
      <c r="A38" s="74" t="s">
        <v>93</v>
      </c>
      <c r="B38" s="61">
        <v>1</v>
      </c>
      <c r="C38" s="56" t="s">
        <v>60</v>
      </c>
      <c r="D38" s="75">
        <f t="shared" si="0"/>
        <v>25</v>
      </c>
      <c r="E38" s="62">
        <v>25</v>
      </c>
      <c r="F38" s="76">
        <f t="shared" si="7"/>
        <v>0</v>
      </c>
      <c r="G38" s="77">
        <v>1</v>
      </c>
      <c r="H38" s="75">
        <f t="shared" si="8"/>
        <v>25</v>
      </c>
      <c r="I38" s="78"/>
      <c r="J38" s="75" t="str">
        <f t="shared" si="3"/>
        <v>Grimpe et rando</v>
      </c>
      <c r="K38" s="75" t="str">
        <f t="shared" si="4"/>
        <v>Equipement</v>
      </c>
      <c r="L38" s="75" t="str">
        <f t="shared" si="5"/>
        <v>Cordage</v>
      </c>
      <c r="M38" s="75">
        <f t="shared" si="6"/>
        <v>0</v>
      </c>
    </row>
    <row r="39" spans="1:13">
      <c r="A39" s="74" t="s">
        <v>93</v>
      </c>
      <c r="B39" s="61">
        <v>1</v>
      </c>
      <c r="C39" s="56" t="s">
        <v>56</v>
      </c>
      <c r="D39" s="75">
        <f t="shared" si="0"/>
        <v>45</v>
      </c>
      <c r="E39" s="62">
        <v>40</v>
      </c>
      <c r="F39" s="76">
        <f>IFERROR((D39-E39)/D39,"")</f>
        <v>0.1111111111111111</v>
      </c>
      <c r="G39" s="77">
        <v>1</v>
      </c>
      <c r="H39" s="75">
        <f>E39*G39</f>
        <v>40</v>
      </c>
      <c r="I39" s="78"/>
      <c r="J39" s="75" t="str">
        <f t="shared" si="3"/>
        <v>Toutes catégories</v>
      </c>
      <c r="K39" s="75" t="str">
        <f t="shared" si="4"/>
        <v>Vêtement</v>
      </c>
      <c r="L39" s="75" t="str">
        <f t="shared" si="5"/>
        <v>T-Shirt</v>
      </c>
      <c r="M39" s="75" t="str">
        <f t="shared" si="6"/>
        <v>Oxbow</v>
      </c>
    </row>
    <row r="40" spans="1:13">
      <c r="A40" s="74" t="s">
        <v>93</v>
      </c>
      <c r="B40" s="61">
        <v>1</v>
      </c>
      <c r="C40" s="56" t="s">
        <v>80</v>
      </c>
      <c r="D40" s="75">
        <f t="shared" si="0"/>
        <v>15</v>
      </c>
      <c r="E40" s="62">
        <v>15</v>
      </c>
      <c r="F40" s="76">
        <f t="shared" ref="F40:F54" si="9">IFERROR((D40-E40)/D40,"")</f>
        <v>0</v>
      </c>
      <c r="G40" s="77">
        <v>1</v>
      </c>
      <c r="H40" s="75">
        <f t="shared" ref="H40:H54" si="10">E40*G40</f>
        <v>15</v>
      </c>
      <c r="I40" s="78"/>
      <c r="J40" s="75" t="str">
        <f t="shared" si="3"/>
        <v>Toutes catégories</v>
      </c>
      <c r="K40" s="75" t="str">
        <f t="shared" si="4"/>
        <v>Prestation</v>
      </c>
      <c r="L40" s="75" t="str">
        <f t="shared" si="5"/>
        <v>Main d'œuvre</v>
      </c>
      <c r="M40" s="75">
        <f t="shared" si="6"/>
        <v>0</v>
      </c>
    </row>
    <row r="41" spans="1:13">
      <c r="A41" s="74" t="s">
        <v>93</v>
      </c>
      <c r="B41" s="61">
        <v>1</v>
      </c>
      <c r="C41" s="56" t="s">
        <v>71</v>
      </c>
      <c r="D41" s="75">
        <f t="shared" si="0"/>
        <v>80</v>
      </c>
      <c r="E41" s="62">
        <v>80</v>
      </c>
      <c r="F41" s="76">
        <f t="shared" si="9"/>
        <v>0</v>
      </c>
      <c r="G41" s="77">
        <v>1</v>
      </c>
      <c r="H41" s="75">
        <f t="shared" si="10"/>
        <v>80</v>
      </c>
      <c r="I41" s="78"/>
      <c r="J41" s="75" t="str">
        <f t="shared" si="3"/>
        <v>Football</v>
      </c>
      <c r="K41" s="75" t="str">
        <f t="shared" si="4"/>
        <v>Vêtement</v>
      </c>
      <c r="L41" s="75" t="str">
        <f t="shared" si="5"/>
        <v>Maillot de foot</v>
      </c>
      <c r="M41" s="75" t="str">
        <f t="shared" si="6"/>
        <v>Adidas</v>
      </c>
    </row>
    <row r="42" spans="1:13">
      <c r="A42" s="74" t="s">
        <v>93</v>
      </c>
      <c r="B42" s="61">
        <v>2</v>
      </c>
      <c r="C42" s="56" t="s">
        <v>72</v>
      </c>
      <c r="D42" s="75">
        <f t="shared" si="0"/>
        <v>150</v>
      </c>
      <c r="E42" s="62">
        <v>150</v>
      </c>
      <c r="F42" s="76">
        <f t="shared" si="9"/>
        <v>0</v>
      </c>
      <c r="G42" s="77">
        <v>1</v>
      </c>
      <c r="H42" s="75">
        <f t="shared" si="10"/>
        <v>150</v>
      </c>
      <c r="I42" s="78"/>
      <c r="J42" s="75" t="str">
        <f t="shared" si="3"/>
        <v>Football</v>
      </c>
      <c r="K42" s="75" t="str">
        <f t="shared" si="4"/>
        <v>Vêtement</v>
      </c>
      <c r="L42" s="75" t="str">
        <f t="shared" si="5"/>
        <v>Chaussures de foot</v>
      </c>
      <c r="M42" s="75" t="str">
        <f t="shared" si="6"/>
        <v>Nike</v>
      </c>
    </row>
    <row r="43" spans="1:13">
      <c r="A43" s="74" t="s">
        <v>93</v>
      </c>
      <c r="B43" s="61">
        <v>2</v>
      </c>
      <c r="C43" s="56" t="s">
        <v>73</v>
      </c>
      <c r="D43" s="75">
        <f t="shared" si="0"/>
        <v>120</v>
      </c>
      <c r="E43" s="62">
        <v>120</v>
      </c>
      <c r="F43" s="76">
        <f t="shared" si="9"/>
        <v>0</v>
      </c>
      <c r="G43" s="77">
        <v>1</v>
      </c>
      <c r="H43" s="75">
        <f t="shared" si="10"/>
        <v>120</v>
      </c>
      <c r="I43" s="78"/>
      <c r="J43" s="75" t="str">
        <f t="shared" si="3"/>
        <v>Football</v>
      </c>
      <c r="K43" s="75" t="str">
        <f t="shared" si="4"/>
        <v>Vêtement</v>
      </c>
      <c r="L43" s="75" t="str">
        <f t="shared" si="5"/>
        <v>Chaussures de foot</v>
      </c>
      <c r="M43" s="75" t="str">
        <f t="shared" si="6"/>
        <v>Nike</v>
      </c>
    </row>
    <row r="44" spans="1:13">
      <c r="A44" s="74" t="s">
        <v>93</v>
      </c>
      <c r="B44" s="61">
        <v>1</v>
      </c>
      <c r="C44" s="56" t="s">
        <v>74</v>
      </c>
      <c r="D44" s="75">
        <f t="shared" si="0"/>
        <v>150</v>
      </c>
      <c r="E44" s="62">
        <v>150</v>
      </c>
      <c r="F44" s="76">
        <f t="shared" si="9"/>
        <v>0</v>
      </c>
      <c r="G44" s="77">
        <v>1</v>
      </c>
      <c r="H44" s="75">
        <f t="shared" si="10"/>
        <v>150</v>
      </c>
      <c r="I44" s="78"/>
      <c r="J44" s="75" t="str">
        <f t="shared" si="3"/>
        <v>Football</v>
      </c>
      <c r="K44" s="75" t="str">
        <f t="shared" si="4"/>
        <v>Vêtement</v>
      </c>
      <c r="L44" s="75" t="str">
        <f t="shared" si="5"/>
        <v>Chaussures de foot</v>
      </c>
      <c r="M44" s="75" t="str">
        <f t="shared" si="6"/>
        <v>Nike</v>
      </c>
    </row>
    <row r="45" spans="1:13">
      <c r="A45" s="74" t="s">
        <v>93</v>
      </c>
      <c r="B45" s="61">
        <v>1</v>
      </c>
      <c r="C45" s="56" t="s">
        <v>75</v>
      </c>
      <c r="D45" s="75">
        <f t="shared" si="0"/>
        <v>120</v>
      </c>
      <c r="E45" s="62">
        <v>110</v>
      </c>
      <c r="F45" s="76">
        <f t="shared" si="9"/>
        <v>8.3333333333333329E-2</v>
      </c>
      <c r="G45" s="77">
        <v>1</v>
      </c>
      <c r="H45" s="75">
        <f t="shared" si="10"/>
        <v>110</v>
      </c>
      <c r="I45" s="78"/>
      <c r="J45" s="75" t="str">
        <f t="shared" si="3"/>
        <v>Running</v>
      </c>
      <c r="K45" s="75" t="str">
        <f t="shared" si="4"/>
        <v>Vêtement</v>
      </c>
      <c r="L45" s="75" t="str">
        <f t="shared" si="5"/>
        <v>Chaussures de running</v>
      </c>
      <c r="M45" s="75" t="str">
        <f t="shared" si="6"/>
        <v>Mizuno</v>
      </c>
    </row>
    <row r="46" spans="1:13">
      <c r="A46" s="74" t="s">
        <v>93</v>
      </c>
      <c r="B46" s="61">
        <v>2</v>
      </c>
      <c r="C46" s="56" t="s">
        <v>76</v>
      </c>
      <c r="D46" s="75">
        <f t="shared" si="0"/>
        <v>100</v>
      </c>
      <c r="E46" s="62">
        <v>100</v>
      </c>
      <c r="F46" s="76">
        <f t="shared" si="9"/>
        <v>0</v>
      </c>
      <c r="G46" s="77">
        <v>1</v>
      </c>
      <c r="H46" s="75">
        <f t="shared" si="10"/>
        <v>100</v>
      </c>
      <c r="I46" s="78"/>
      <c r="J46" s="75" t="str">
        <f t="shared" si="3"/>
        <v>Running</v>
      </c>
      <c r="K46" s="75" t="str">
        <f t="shared" si="4"/>
        <v>Vêtement</v>
      </c>
      <c r="L46" s="75" t="str">
        <f t="shared" si="5"/>
        <v>Chaussures de running</v>
      </c>
      <c r="M46" s="75" t="str">
        <f t="shared" si="6"/>
        <v>Asics</v>
      </c>
    </row>
    <row r="47" spans="1:13">
      <c r="A47" s="74" t="s">
        <v>93</v>
      </c>
      <c r="B47" s="61">
        <v>1</v>
      </c>
      <c r="C47" s="56" t="s">
        <v>77</v>
      </c>
      <c r="D47" s="75">
        <f t="shared" si="0"/>
        <v>220</v>
      </c>
      <c r="E47" s="62">
        <v>220</v>
      </c>
      <c r="F47" s="76">
        <f t="shared" si="9"/>
        <v>0</v>
      </c>
      <c r="G47" s="77">
        <v>1</v>
      </c>
      <c r="H47" s="75">
        <f t="shared" si="10"/>
        <v>220</v>
      </c>
      <c r="I47" s="78"/>
      <c r="J47" s="75" t="str">
        <f t="shared" si="3"/>
        <v>Football</v>
      </c>
      <c r="K47" s="75" t="str">
        <f t="shared" si="4"/>
        <v>Vêtement</v>
      </c>
      <c r="L47" s="75" t="str">
        <f t="shared" si="5"/>
        <v>Chaussures de foot</v>
      </c>
      <c r="M47" s="75" t="str">
        <f t="shared" si="6"/>
        <v>Adidas</v>
      </c>
    </row>
    <row r="48" spans="1:13">
      <c r="A48" s="74" t="s">
        <v>93</v>
      </c>
      <c r="B48" s="61">
        <v>1</v>
      </c>
      <c r="C48" s="56" t="s">
        <v>78</v>
      </c>
      <c r="D48" s="75">
        <f t="shared" si="0"/>
        <v>60</v>
      </c>
      <c r="E48" s="62">
        <v>58</v>
      </c>
      <c r="F48" s="76">
        <f t="shared" si="9"/>
        <v>3.3333333333333333E-2</v>
      </c>
      <c r="G48" s="77">
        <v>1</v>
      </c>
      <c r="H48" s="75">
        <f t="shared" si="10"/>
        <v>58</v>
      </c>
      <c r="I48" s="78"/>
      <c r="J48" s="75" t="str">
        <f t="shared" si="3"/>
        <v>Football</v>
      </c>
      <c r="K48" s="75" t="str">
        <f t="shared" si="4"/>
        <v>Vêtement</v>
      </c>
      <c r="L48" s="75" t="str">
        <f t="shared" si="5"/>
        <v>Chaussures de foot</v>
      </c>
      <c r="M48" s="75" t="str">
        <f t="shared" si="6"/>
        <v>Adidas</v>
      </c>
    </row>
    <row r="49" spans="1:13">
      <c r="A49" s="74" t="s">
        <v>93</v>
      </c>
      <c r="B49" s="61">
        <v>1</v>
      </c>
      <c r="C49" s="56" t="s">
        <v>81</v>
      </c>
      <c r="D49" s="75">
        <f t="shared" si="0"/>
        <v>25</v>
      </c>
      <c r="E49" s="62">
        <v>25</v>
      </c>
      <c r="F49" s="76">
        <f t="shared" si="9"/>
        <v>0</v>
      </c>
      <c r="G49" s="77">
        <v>1</v>
      </c>
      <c r="H49" s="75">
        <f t="shared" si="10"/>
        <v>25</v>
      </c>
      <c r="I49" s="78"/>
      <c r="J49" s="75" t="str">
        <f t="shared" si="3"/>
        <v>Football</v>
      </c>
      <c r="K49" s="75" t="str">
        <f t="shared" si="4"/>
        <v>Equipement</v>
      </c>
      <c r="L49" s="75" t="str">
        <f t="shared" si="5"/>
        <v>Ballon de foot</v>
      </c>
      <c r="M49" s="75" t="str">
        <f t="shared" si="6"/>
        <v>Adidas</v>
      </c>
    </row>
    <row r="50" spans="1:13">
      <c r="A50" s="74" t="s">
        <v>93</v>
      </c>
      <c r="B50" s="61">
        <v>2</v>
      </c>
      <c r="C50" s="56" t="s">
        <v>57</v>
      </c>
      <c r="D50" s="75">
        <f t="shared" si="0"/>
        <v>25</v>
      </c>
      <c r="E50" s="62">
        <v>25</v>
      </c>
      <c r="F50" s="76">
        <f t="shared" si="9"/>
        <v>0</v>
      </c>
      <c r="G50" s="77">
        <v>1</v>
      </c>
      <c r="H50" s="75">
        <f t="shared" si="10"/>
        <v>25</v>
      </c>
      <c r="I50" s="78"/>
      <c r="J50" s="75" t="str">
        <f t="shared" si="3"/>
        <v>Cyclisme</v>
      </c>
      <c r="K50" s="75" t="str">
        <f t="shared" si="4"/>
        <v>Prestation</v>
      </c>
      <c r="L50" s="75" t="str">
        <f t="shared" si="5"/>
        <v>Réparation vélo</v>
      </c>
      <c r="M50" s="75">
        <f t="shared" si="6"/>
        <v>0</v>
      </c>
    </row>
    <row r="51" spans="1:13">
      <c r="A51" s="74" t="s">
        <v>93</v>
      </c>
      <c r="B51" s="61">
        <v>2</v>
      </c>
      <c r="C51" s="56" t="s">
        <v>58</v>
      </c>
      <c r="D51" s="75">
        <f t="shared" si="0"/>
        <v>250</v>
      </c>
      <c r="E51" s="62">
        <v>250</v>
      </c>
      <c r="F51" s="76">
        <f t="shared" si="9"/>
        <v>0</v>
      </c>
      <c r="G51" s="77">
        <v>1</v>
      </c>
      <c r="H51" s="75">
        <f t="shared" si="10"/>
        <v>250</v>
      </c>
      <c r="I51" s="78"/>
      <c r="J51" s="75" t="str">
        <f t="shared" si="3"/>
        <v>Cyclisme</v>
      </c>
      <c r="K51" s="75" t="str">
        <f t="shared" si="4"/>
        <v>Equipement</v>
      </c>
      <c r="L51" s="75" t="str">
        <f t="shared" si="5"/>
        <v>Vélo</v>
      </c>
      <c r="M51" s="75" t="str">
        <f t="shared" si="6"/>
        <v>Orbea</v>
      </c>
    </row>
    <row r="52" spans="1:13">
      <c r="A52" s="74" t="s">
        <v>93</v>
      </c>
      <c r="B52" s="61">
        <v>1</v>
      </c>
      <c r="C52" s="56" t="s">
        <v>79</v>
      </c>
      <c r="D52" s="75">
        <f t="shared" si="0"/>
        <v>80</v>
      </c>
      <c r="E52" s="62">
        <v>75</v>
      </c>
      <c r="F52" s="76">
        <f t="shared" si="9"/>
        <v>6.25E-2</v>
      </c>
      <c r="G52" s="77">
        <v>1</v>
      </c>
      <c r="H52" s="75">
        <f t="shared" si="10"/>
        <v>75</v>
      </c>
      <c r="I52" s="78"/>
      <c r="J52" s="75" t="str">
        <f t="shared" si="3"/>
        <v>Tennis</v>
      </c>
      <c r="K52" s="75" t="str">
        <f t="shared" si="4"/>
        <v>Equipement</v>
      </c>
      <c r="L52" s="75" t="str">
        <f t="shared" si="5"/>
        <v>Raquette de tennis</v>
      </c>
      <c r="M52" s="75" t="str">
        <f t="shared" si="6"/>
        <v>Babolat</v>
      </c>
    </row>
    <row r="53" spans="1:13">
      <c r="A53" s="74" t="s">
        <v>93</v>
      </c>
      <c r="B53" s="61">
        <v>1</v>
      </c>
      <c r="C53" s="56" t="s">
        <v>59</v>
      </c>
      <c r="D53" s="75">
        <f t="shared" si="0"/>
        <v>5</v>
      </c>
      <c r="E53" s="62">
        <v>5</v>
      </c>
      <c r="F53" s="76">
        <f t="shared" si="9"/>
        <v>0</v>
      </c>
      <c r="G53" s="77">
        <v>1</v>
      </c>
      <c r="H53" s="75">
        <f t="shared" si="10"/>
        <v>5</v>
      </c>
      <c r="I53" s="78"/>
      <c r="J53" s="75" t="str">
        <f t="shared" si="3"/>
        <v>Grimpe et rando</v>
      </c>
      <c r="K53" s="75" t="str">
        <f t="shared" si="4"/>
        <v>Equipement</v>
      </c>
      <c r="L53" s="75" t="str">
        <f t="shared" si="5"/>
        <v>Gourde</v>
      </c>
      <c r="M53" s="75" t="str">
        <f t="shared" si="6"/>
        <v>S+</v>
      </c>
    </row>
    <row r="54" spans="1:13">
      <c r="A54" s="74" t="s">
        <v>93</v>
      </c>
      <c r="B54" s="61">
        <v>1</v>
      </c>
      <c r="C54" s="56" t="s">
        <v>60</v>
      </c>
      <c r="D54" s="75">
        <f>IFERROR(VLOOKUP(C54,Articles,5,FALSE),"")</f>
        <v>25</v>
      </c>
      <c r="E54" s="62">
        <v>25</v>
      </c>
      <c r="F54" s="76">
        <f>IFERROR((D54-E54)/D54,"")</f>
        <v>0</v>
      </c>
      <c r="G54" s="77">
        <v>1</v>
      </c>
      <c r="H54" s="75">
        <f>E54*G54</f>
        <v>25</v>
      </c>
      <c r="I54" s="78"/>
      <c r="J54" s="75" t="str">
        <f>IFERROR(VLOOKUP(C54,Articles,10,FALSE),"")</f>
        <v>Grimpe et rando</v>
      </c>
      <c r="K54" s="75" t="str">
        <f>IFERROR(VLOOKUP(C54,Articles,11,FALSE),"")</f>
        <v>Equipement</v>
      </c>
      <c r="L54" s="75" t="str">
        <f>IFERROR(VLOOKUP(C54,Articles,2,FALSE),"")</f>
        <v>Cordage</v>
      </c>
      <c r="M54" s="75">
        <f>IFERROR(VLOOKUP(C54,Articles,3,FALSE),"")</f>
        <v>0</v>
      </c>
    </row>
    <row r="55" spans="1:13">
      <c r="A55" s="79"/>
      <c r="B55" s="80"/>
      <c r="C55" s="59"/>
      <c r="D55" s="67"/>
      <c r="E55" s="81"/>
      <c r="F55" s="82"/>
      <c r="G55" s="83"/>
      <c r="H55" s="67"/>
      <c r="I55" s="59"/>
      <c r="J55" s="67"/>
      <c r="K55" s="67"/>
      <c r="L55" s="67"/>
      <c r="M55" s="67"/>
    </row>
  </sheetData>
  <sheetProtection sort="0" autoFilter="0" pivotTables="0"/>
  <autoFilter ref="A4:M54">
    <filterColumn colId="6"/>
    <filterColumn colId="7"/>
    <filterColumn colId="8"/>
    <filterColumn colId="9"/>
    <filterColumn colId="10"/>
  </autoFilter>
  <dataValidations count="1">
    <dataValidation type="list" allowBlank="1" showInputMessage="1" showErrorMessage="1" errorTitle="Choisir dans la liste" error="Choisir dans la liste !" sqref="C4:C55">
      <formula1>Liste_Articles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1"/>
  <sheetViews>
    <sheetView workbookViewId="0">
      <pane ySplit="4" topLeftCell="A5" activePane="bottomLeft" state="frozen"/>
      <selection pane="bottomLeft"/>
    </sheetView>
  </sheetViews>
  <sheetFormatPr baseColWidth="10" defaultColWidth="17.42578125" defaultRowHeight="15"/>
  <cols>
    <col min="1" max="1" width="5.42578125" style="28" customWidth="1"/>
    <col min="2" max="2" width="21" style="28" customWidth="1"/>
    <col min="3" max="3" width="19.42578125" style="28" customWidth="1"/>
    <col min="4" max="4" width="17.42578125" style="28"/>
    <col min="5" max="5" width="13.28515625" style="29" customWidth="1"/>
    <col min="6" max="6" width="13.28515625" style="30" customWidth="1"/>
    <col min="7" max="7" width="13.28515625" style="29" customWidth="1"/>
    <col min="8" max="8" width="13.28515625" style="41" customWidth="1"/>
    <col min="9" max="9" width="37.140625" style="28" customWidth="1"/>
    <col min="10" max="10" width="25.140625" style="28" customWidth="1"/>
    <col min="11" max="11" width="17.85546875" style="28" customWidth="1"/>
    <col min="12" max="16384" width="17.42578125" style="28"/>
  </cols>
  <sheetData>
    <row r="1" spans="1:11" ht="23.25">
      <c r="B1" s="27" t="str">
        <f>Raison_Sociale&amp;" - "&amp;Titre&amp;" - Inventaire des articles"</f>
        <v>Ma Boutique - Registre des ventes - Inventaire des articles</v>
      </c>
    </row>
    <row r="2" spans="1:11">
      <c r="E2" s="42">
        <f>SUBTOTAL(3,A4:A21)-1</f>
        <v>16</v>
      </c>
      <c r="F2" s="43">
        <f>SUBTOTAL(9,F4:F21)</f>
        <v>65</v>
      </c>
      <c r="G2" s="32">
        <f t="shared" ref="G2:H2" si="0">SUBTOTAL(9,G4:G21)</f>
        <v>5357</v>
      </c>
      <c r="H2" s="31">
        <f t="shared" si="0"/>
        <v>0.39027777777777778</v>
      </c>
    </row>
    <row r="3" spans="1:11" ht="42" customHeight="1"/>
    <row r="4" spans="1:11" s="36" customFormat="1" ht="45">
      <c r="A4" s="44" t="s">
        <v>14</v>
      </c>
      <c r="B4" s="33" t="s">
        <v>11</v>
      </c>
      <c r="C4" s="33" t="s">
        <v>0</v>
      </c>
      <c r="D4" s="33" t="s">
        <v>12</v>
      </c>
      <c r="E4" s="35" t="s">
        <v>13</v>
      </c>
      <c r="F4" s="45" t="s">
        <v>62</v>
      </c>
      <c r="G4" s="34" t="s">
        <v>48</v>
      </c>
      <c r="H4" s="46" t="s">
        <v>49</v>
      </c>
      <c r="I4" s="33" t="s">
        <v>31</v>
      </c>
      <c r="J4" s="44" t="s">
        <v>15</v>
      </c>
      <c r="K4" s="44" t="s">
        <v>16</v>
      </c>
    </row>
    <row r="5" spans="1:11" ht="16.5">
      <c r="A5" s="47" t="str">
        <f t="shared" ref="A5:A20" si="1">K5&amp;"-"&amp;B5&amp;"-"&amp;C5&amp;" "&amp;D5</f>
        <v xml:space="preserve">Vêtement-T-Shirt-Oxbow </v>
      </c>
      <c r="B5" s="28" t="s">
        <v>3</v>
      </c>
      <c r="C5" s="28" t="s">
        <v>4</v>
      </c>
      <c r="E5" s="29">
        <v>45</v>
      </c>
      <c r="F5" s="48">
        <f>SUMIF(Ventes!C:C,A:A,Ventes!G:G)</f>
        <v>4</v>
      </c>
      <c r="G5" s="37">
        <f>SUMIF(Ventes!C:C,A:A,Ventes!H:H)</f>
        <v>169</v>
      </c>
      <c r="H5" s="38">
        <f>IFERROR(AVERAGEIF(Ventes!C:C,A:A,Ventes!F:F),"")</f>
        <v>6.1111111111111109E-2</v>
      </c>
      <c r="I5" s="3"/>
      <c r="J5" s="49" t="str">
        <f t="shared" ref="J5:J20" si="2">IFERROR(VLOOKUP(B5,Natures,3,FALSE),"")</f>
        <v>Toutes catégories</v>
      </c>
      <c r="K5" s="49" t="str">
        <f t="shared" ref="K5:K20" si="3">IFERROR(VLOOKUP(B5,Natures,2,FALSE),"")</f>
        <v>Vêtement</v>
      </c>
    </row>
    <row r="6" spans="1:11" ht="16.5">
      <c r="A6" s="47" t="str">
        <f t="shared" si="1"/>
        <v xml:space="preserve">Prestation-Main d'œuvre- </v>
      </c>
      <c r="B6" s="28" t="s">
        <v>7</v>
      </c>
      <c r="E6" s="29">
        <v>15</v>
      </c>
      <c r="F6" s="48">
        <f>SUMIF(Ventes!C:C,A:A,Ventes!G:G)</f>
        <v>1</v>
      </c>
      <c r="G6" s="37">
        <f>SUMIF(Ventes!C:C,A:A,Ventes!H:H)</f>
        <v>15</v>
      </c>
      <c r="H6" s="38">
        <f>IFERROR(AVERAGEIF(Ventes!C:C,A:A,Ventes!F:F),"")</f>
        <v>0</v>
      </c>
      <c r="I6" s="3"/>
      <c r="J6" s="49" t="str">
        <f t="shared" si="2"/>
        <v>Toutes catégories</v>
      </c>
      <c r="K6" s="49" t="str">
        <f t="shared" si="3"/>
        <v>Prestation</v>
      </c>
    </row>
    <row r="7" spans="1:11" ht="16.5">
      <c r="A7" s="47" t="str">
        <f t="shared" si="1"/>
        <v>Vêtement-Maillot de foot-Adidas Diables</v>
      </c>
      <c r="B7" s="28" t="s">
        <v>68</v>
      </c>
      <c r="C7" s="28" t="s">
        <v>1</v>
      </c>
      <c r="D7" s="28" t="s">
        <v>29</v>
      </c>
      <c r="E7" s="29">
        <v>80</v>
      </c>
      <c r="F7" s="48">
        <f>SUMIF(Ventes!C:C,A:A,Ventes!G:G)</f>
        <v>3</v>
      </c>
      <c r="G7" s="37">
        <f>SUMIF(Ventes!C:C,A:A,Ventes!H:H)</f>
        <v>240</v>
      </c>
      <c r="H7" s="38">
        <f>IFERROR(AVERAGEIF(Ventes!C:C,A:A,Ventes!F:F),"")</f>
        <v>0</v>
      </c>
      <c r="I7" s="3"/>
      <c r="J7" s="49" t="str">
        <f t="shared" si="2"/>
        <v>Football</v>
      </c>
      <c r="K7" s="49" t="str">
        <f t="shared" si="3"/>
        <v>Vêtement</v>
      </c>
    </row>
    <row r="8" spans="1:11" ht="16.5">
      <c r="A8" s="47" t="str">
        <f t="shared" si="1"/>
        <v>Vêtement-Chaussures de foot-Nike Tiempo</v>
      </c>
      <c r="B8" s="28" t="s">
        <v>67</v>
      </c>
      <c r="C8" s="28" t="s">
        <v>5</v>
      </c>
      <c r="D8" s="28" t="s">
        <v>28</v>
      </c>
      <c r="E8" s="29">
        <v>150</v>
      </c>
      <c r="F8" s="48">
        <f>SUMIF(Ventes!C:C,A:A,Ventes!G:G)</f>
        <v>3</v>
      </c>
      <c r="G8" s="37">
        <f>SUMIF(Ventes!C:C,A:A,Ventes!H:H)</f>
        <v>450</v>
      </c>
      <c r="H8" s="38">
        <f>IFERROR(AVERAGEIF(Ventes!C:C,A:A,Ventes!F:F),"")</f>
        <v>0</v>
      </c>
      <c r="I8" s="3"/>
      <c r="J8" s="49" t="str">
        <f t="shared" si="2"/>
        <v>Football</v>
      </c>
      <c r="K8" s="49" t="str">
        <f t="shared" si="3"/>
        <v>Vêtement</v>
      </c>
    </row>
    <row r="9" spans="1:11" ht="16.5">
      <c r="A9" s="47" t="str">
        <f t="shared" si="1"/>
        <v>Vêtement-Chaussures de foot-Nike Mercurial</v>
      </c>
      <c r="B9" s="28" t="s">
        <v>67</v>
      </c>
      <c r="C9" s="28" t="s">
        <v>5</v>
      </c>
      <c r="D9" s="28" t="s">
        <v>6</v>
      </c>
      <c r="E9" s="29">
        <v>120</v>
      </c>
      <c r="F9" s="48">
        <f>SUMIF(Ventes!C:C,A:A,Ventes!G:G)</f>
        <v>3</v>
      </c>
      <c r="G9" s="37">
        <f>SUMIF(Ventes!C:C,A:A,Ventes!H:H)</f>
        <v>360</v>
      </c>
      <c r="H9" s="38">
        <f>IFERROR(AVERAGEIF(Ventes!C:C,A:A,Ventes!F:F),"")</f>
        <v>0</v>
      </c>
      <c r="I9" s="3"/>
      <c r="J9" s="49" t="str">
        <f t="shared" si="2"/>
        <v>Football</v>
      </c>
      <c r="K9" s="49" t="str">
        <f t="shared" si="3"/>
        <v>Vêtement</v>
      </c>
    </row>
    <row r="10" spans="1:11" ht="16.5">
      <c r="A10" s="47" t="str">
        <f t="shared" si="1"/>
        <v>Vêtement-Chaussures de foot-Nike Magista</v>
      </c>
      <c r="B10" s="28" t="s">
        <v>67</v>
      </c>
      <c r="C10" s="28" t="s">
        <v>5</v>
      </c>
      <c r="D10" s="28" t="s">
        <v>27</v>
      </c>
      <c r="E10" s="29">
        <v>150</v>
      </c>
      <c r="F10" s="48">
        <f>SUMIF(Ventes!C:C,A:A,Ventes!G:G)</f>
        <v>13</v>
      </c>
      <c r="G10" s="37">
        <f>SUMIF(Ventes!C:C,A:A,Ventes!H:H)</f>
        <v>1250</v>
      </c>
      <c r="H10" s="38">
        <f>IFERROR(AVERAGEIF(Ventes!C:C,A:A,Ventes!F:F),"")</f>
        <v>0.11666666666666667</v>
      </c>
      <c r="I10" s="3"/>
      <c r="J10" s="49" t="str">
        <f t="shared" si="2"/>
        <v>Football</v>
      </c>
      <c r="K10" s="49" t="str">
        <f t="shared" si="3"/>
        <v>Vêtement</v>
      </c>
    </row>
    <row r="11" spans="1:11" ht="16.5">
      <c r="A11" s="47" t="str">
        <f t="shared" si="1"/>
        <v>Vêtement-Chaussures de running-Mizuno Wave Sayonara</v>
      </c>
      <c r="B11" s="28" t="s">
        <v>70</v>
      </c>
      <c r="C11" s="28" t="s">
        <v>18</v>
      </c>
      <c r="D11" s="28" t="s">
        <v>26</v>
      </c>
      <c r="E11" s="29">
        <v>120</v>
      </c>
      <c r="F11" s="48">
        <f>SUMIF(Ventes!C:C,A:A,Ventes!G:G)</f>
        <v>3</v>
      </c>
      <c r="G11" s="37">
        <f>SUMIF(Ventes!C:C,A:A,Ventes!H:H)</f>
        <v>330</v>
      </c>
      <c r="H11" s="38">
        <f>IFERROR(AVERAGEIF(Ventes!C:C,A:A,Ventes!F:F),"")</f>
        <v>8.3333333333333329E-2</v>
      </c>
      <c r="I11" s="3"/>
      <c r="J11" s="49" t="str">
        <f t="shared" si="2"/>
        <v>Running</v>
      </c>
      <c r="K11" s="49" t="str">
        <f t="shared" si="3"/>
        <v>Vêtement</v>
      </c>
    </row>
    <row r="12" spans="1:11" ht="16.5">
      <c r="A12" s="47" t="str">
        <f t="shared" si="1"/>
        <v>Vêtement-Chaussures de running-Asics GT-2000</v>
      </c>
      <c r="B12" s="28" t="s">
        <v>70</v>
      </c>
      <c r="C12" s="28" t="s">
        <v>17</v>
      </c>
      <c r="D12" s="28" t="s">
        <v>10</v>
      </c>
      <c r="E12" s="29">
        <v>100</v>
      </c>
      <c r="F12" s="48">
        <f>SUMIF(Ventes!C:C,A:A,Ventes!G:G)</f>
        <v>3</v>
      </c>
      <c r="G12" s="37">
        <f>SUMIF(Ventes!C:C,A:A,Ventes!H:H)</f>
        <v>300</v>
      </c>
      <c r="H12" s="38">
        <f>IFERROR(AVERAGEIF(Ventes!C:C,A:A,Ventes!F:F),"")</f>
        <v>0</v>
      </c>
      <c r="I12" s="3"/>
      <c r="J12" s="49" t="str">
        <f t="shared" si="2"/>
        <v>Running</v>
      </c>
      <c r="K12" s="49" t="str">
        <f t="shared" si="3"/>
        <v>Vêtement</v>
      </c>
    </row>
    <row r="13" spans="1:11" ht="16.5">
      <c r="A13" s="47" t="str">
        <f t="shared" si="1"/>
        <v>Vêtement-Chaussures de foot-Adidas Predator</v>
      </c>
      <c r="B13" s="28" t="s">
        <v>67</v>
      </c>
      <c r="C13" s="28" t="s">
        <v>1</v>
      </c>
      <c r="D13" s="28" t="s">
        <v>25</v>
      </c>
      <c r="E13" s="29">
        <v>220</v>
      </c>
      <c r="F13" s="48">
        <f>SUMIF(Ventes!C:C,A:A,Ventes!G:G)</f>
        <v>3</v>
      </c>
      <c r="G13" s="37">
        <f>SUMIF(Ventes!C:C,A:A,Ventes!H:H)</f>
        <v>660</v>
      </c>
      <c r="H13" s="38">
        <f>IFERROR(AVERAGEIF(Ventes!C:C,A:A,Ventes!F:F),"")</f>
        <v>0</v>
      </c>
      <c r="I13" s="3"/>
      <c r="J13" s="49" t="str">
        <f t="shared" si="2"/>
        <v>Football</v>
      </c>
      <c r="K13" s="49" t="str">
        <f t="shared" si="3"/>
        <v>Vêtement</v>
      </c>
    </row>
    <row r="14" spans="1:11" ht="16.5">
      <c r="A14" s="47" t="str">
        <f t="shared" si="1"/>
        <v>Vêtement-Chaussures de foot-Adidas F10</v>
      </c>
      <c r="B14" s="28" t="s">
        <v>67</v>
      </c>
      <c r="C14" s="28" t="s">
        <v>1</v>
      </c>
      <c r="D14" s="28" t="s">
        <v>2</v>
      </c>
      <c r="E14" s="29">
        <v>60</v>
      </c>
      <c r="F14" s="48">
        <f>SUMIF(Ventes!C:C,A:A,Ventes!G:G)</f>
        <v>3</v>
      </c>
      <c r="G14" s="37">
        <f>SUMIF(Ventes!C:C,A:A,Ventes!H:H)</f>
        <v>168</v>
      </c>
      <c r="H14" s="38">
        <f>IFERROR(AVERAGEIF(Ventes!C:C,A:A,Ventes!F:F),"")</f>
        <v>6.6666666666666666E-2</v>
      </c>
      <c r="I14" s="3"/>
      <c r="J14" s="49" t="str">
        <f t="shared" si="2"/>
        <v>Football</v>
      </c>
      <c r="K14" s="49" t="str">
        <f t="shared" si="3"/>
        <v>Vêtement</v>
      </c>
    </row>
    <row r="15" spans="1:11" ht="16.5">
      <c r="A15" s="47" t="str">
        <f t="shared" si="1"/>
        <v>Equipement-Ballon de foot-Adidas F50</v>
      </c>
      <c r="B15" s="28" t="s">
        <v>66</v>
      </c>
      <c r="C15" s="28" t="s">
        <v>1</v>
      </c>
      <c r="D15" s="28" t="s">
        <v>24</v>
      </c>
      <c r="E15" s="29">
        <v>25</v>
      </c>
      <c r="F15" s="48">
        <f>SUMIF(Ventes!C:C,A:A,Ventes!G:G)</f>
        <v>3</v>
      </c>
      <c r="G15" s="37">
        <f>SUMIF(Ventes!C:C,A:A,Ventes!H:H)</f>
        <v>75</v>
      </c>
      <c r="H15" s="38">
        <f>IFERROR(AVERAGEIF(Ventes!C:C,A:A,Ventes!F:F),"")</f>
        <v>0</v>
      </c>
      <c r="I15" s="3"/>
      <c r="J15" s="49" t="str">
        <f t="shared" si="2"/>
        <v>Football</v>
      </c>
      <c r="K15" s="49" t="str">
        <f t="shared" si="3"/>
        <v>Equipement</v>
      </c>
    </row>
    <row r="16" spans="1:11" ht="16.5">
      <c r="A16" s="47" t="str">
        <f t="shared" si="1"/>
        <v xml:space="preserve">Prestation-Réparation vélo- </v>
      </c>
      <c r="B16" s="28" t="s">
        <v>46</v>
      </c>
      <c r="E16" s="29">
        <v>25</v>
      </c>
      <c r="F16" s="48">
        <f>SUMIF(Ventes!C:C,A:A,Ventes!G:G)</f>
        <v>11</v>
      </c>
      <c r="G16" s="37">
        <f>SUMIF(Ventes!C:C,A:A,Ventes!H:H)</f>
        <v>275</v>
      </c>
      <c r="H16" s="38">
        <f>IFERROR(AVERAGEIF(Ventes!C:C,A:A,Ventes!F:F),"")</f>
        <v>0</v>
      </c>
      <c r="I16" s="3"/>
      <c r="J16" s="49" t="str">
        <f t="shared" si="2"/>
        <v>Cyclisme</v>
      </c>
      <c r="K16" s="49" t="str">
        <f t="shared" si="3"/>
        <v>Prestation</v>
      </c>
    </row>
    <row r="17" spans="1:11" ht="16.5">
      <c r="A17" s="47" t="str">
        <f t="shared" si="1"/>
        <v>Equipement-Vélo-Orbea Kids</v>
      </c>
      <c r="B17" s="28" t="s">
        <v>47</v>
      </c>
      <c r="C17" s="28" t="s">
        <v>20</v>
      </c>
      <c r="D17" s="28" t="s">
        <v>30</v>
      </c>
      <c r="E17" s="29">
        <v>250</v>
      </c>
      <c r="F17" s="48">
        <f>SUMIF(Ventes!C:C,A:A,Ventes!G:G)</f>
        <v>3</v>
      </c>
      <c r="G17" s="37">
        <f>SUMIF(Ventes!C:C,A:A,Ventes!H:H)</f>
        <v>750</v>
      </c>
      <c r="H17" s="38">
        <f>IFERROR(AVERAGEIF(Ventes!C:C,A:A,Ventes!F:F),"")</f>
        <v>0</v>
      </c>
      <c r="I17" s="3"/>
      <c r="J17" s="49" t="str">
        <f t="shared" si="2"/>
        <v>Cyclisme</v>
      </c>
      <c r="K17" s="49" t="str">
        <f t="shared" si="3"/>
        <v>Equipement</v>
      </c>
    </row>
    <row r="18" spans="1:11" ht="16.5">
      <c r="A18" s="47" t="str">
        <f t="shared" si="1"/>
        <v xml:space="preserve">Equipement-Raquette de tennis-Babolat </v>
      </c>
      <c r="B18" s="28" t="s">
        <v>69</v>
      </c>
      <c r="C18" s="28" t="s">
        <v>19</v>
      </c>
      <c r="E18" s="29">
        <v>80</v>
      </c>
      <c r="F18" s="48">
        <f>SUMIF(Ventes!C:C,A:A,Ventes!G:G)</f>
        <v>3</v>
      </c>
      <c r="G18" s="37">
        <f>SUMIF(Ventes!C:C,A:A,Ventes!H:H)</f>
        <v>225</v>
      </c>
      <c r="H18" s="38">
        <f>IFERROR(AVERAGEIF(Ventes!C:C,A:A,Ventes!F:F),"")</f>
        <v>6.25E-2</v>
      </c>
      <c r="I18" s="3"/>
      <c r="J18" s="49" t="str">
        <f t="shared" si="2"/>
        <v>Tennis</v>
      </c>
      <c r="K18" s="49" t="str">
        <f t="shared" si="3"/>
        <v>Equipement</v>
      </c>
    </row>
    <row r="19" spans="1:11" ht="16.5">
      <c r="A19" s="47" t="str">
        <f t="shared" si="1"/>
        <v xml:space="preserve">Equipement-Gourde-S+ </v>
      </c>
      <c r="B19" s="28" t="s">
        <v>8</v>
      </c>
      <c r="C19" s="28" t="s">
        <v>9</v>
      </c>
      <c r="E19" s="29">
        <v>5</v>
      </c>
      <c r="F19" s="48">
        <f>SUMIF(Ventes!C:C,A:A,Ventes!G:G)</f>
        <v>3</v>
      </c>
      <c r="G19" s="37">
        <f>SUMIF(Ventes!C:C,A:A,Ventes!H:H)</f>
        <v>15</v>
      </c>
      <c r="H19" s="38">
        <f>IFERROR(AVERAGEIF(Ventes!C:C,A:A,Ventes!F:F),"")</f>
        <v>0</v>
      </c>
      <c r="I19" s="3"/>
      <c r="J19" s="49" t="str">
        <f t="shared" si="2"/>
        <v>Grimpe et rando</v>
      </c>
      <c r="K19" s="49" t="str">
        <f t="shared" si="3"/>
        <v>Equipement</v>
      </c>
    </row>
    <row r="20" spans="1:11" ht="16.5">
      <c r="A20" s="47" t="str">
        <f t="shared" si="1"/>
        <v xml:space="preserve">Equipement-Cordage- </v>
      </c>
      <c r="B20" s="28" t="s">
        <v>40</v>
      </c>
      <c r="E20" s="29">
        <v>25</v>
      </c>
      <c r="F20" s="48">
        <f>SUMIF(Ventes!C:C,A:A,Ventes!G:G)</f>
        <v>3</v>
      </c>
      <c r="G20" s="37">
        <f>SUMIF(Ventes!C:C,A:A,Ventes!H:H)</f>
        <v>75</v>
      </c>
      <c r="H20" s="38">
        <f>IFERROR(AVERAGEIF(Ventes!C:C,A:A,Ventes!F:F),"")</f>
        <v>0</v>
      </c>
      <c r="I20" s="3"/>
      <c r="J20" s="49" t="str">
        <f t="shared" si="2"/>
        <v>Grimpe et rando</v>
      </c>
      <c r="K20" s="49" t="str">
        <f t="shared" si="3"/>
        <v>Equipement</v>
      </c>
    </row>
    <row r="21" spans="1:11">
      <c r="A21" s="50"/>
      <c r="B21" s="39"/>
      <c r="C21" s="39"/>
      <c r="D21" s="39"/>
      <c r="E21" s="40"/>
      <c r="F21" s="43"/>
      <c r="G21" s="32"/>
      <c r="H21" s="31"/>
      <c r="I21" s="39"/>
      <c r="J21" s="50"/>
      <c r="K21" s="50"/>
    </row>
  </sheetData>
  <autoFilter ref="A4:K20">
    <filterColumn colId="5"/>
    <filterColumn colId="6"/>
    <filterColumn colId="7"/>
    <filterColumn colId="8"/>
    <sortState ref="A6:H21">
      <sortCondition descending="1" ref="A11"/>
    </sortState>
  </autoFilter>
  <dataValidations count="2">
    <dataValidation type="list" allowBlank="1" showInputMessage="1" showErrorMessage="1" errorTitle="Choisir dans la liste" error="Choisir dans la liste !" sqref="C4:C21">
      <formula1>Liste_Marques</formula1>
    </dataValidation>
    <dataValidation type="list" allowBlank="1" showInputMessage="1" showErrorMessage="1" errorTitle="Choisir dans la liste" error="Choisir dans la liste !" sqref="B4:B21">
      <formula1>Liste_Natures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16"/>
  <sheetViews>
    <sheetView workbookViewId="0">
      <pane ySplit="4" topLeftCell="A5" activePane="bottomLeft" state="frozen"/>
      <selection activeCell="A2" sqref="A2"/>
      <selection pane="bottomLeft" activeCell="G5" sqref="G5:G15"/>
    </sheetView>
  </sheetViews>
  <sheetFormatPr baseColWidth="10" defaultColWidth="17.42578125" defaultRowHeight="15"/>
  <cols>
    <col min="1" max="1" width="26.5703125" style="28" customWidth="1"/>
    <col min="2" max="3" width="27.85546875" style="28" customWidth="1"/>
    <col min="4" max="4" width="14.5703125" style="28" customWidth="1"/>
    <col min="5" max="5" width="16.42578125" style="28" customWidth="1"/>
    <col min="6" max="6" width="15" style="41" customWidth="1"/>
    <col min="7" max="7" width="58.28515625" style="29" customWidth="1"/>
    <col min="8" max="8" width="25.140625" style="28" customWidth="1"/>
    <col min="9" max="9" width="17.85546875" style="28" customWidth="1"/>
    <col min="10" max="10" width="41.140625" style="28" customWidth="1"/>
    <col min="11" max="16384" width="17.42578125" style="28"/>
  </cols>
  <sheetData>
    <row r="1" spans="1:7" ht="23.25">
      <c r="A1" s="27" t="str">
        <f>Raison_Sociale&amp;" - "&amp;Titre&amp;" - Natures d'articles"</f>
        <v>Ma Boutique - Registre des ventes - Natures d'articles</v>
      </c>
      <c r="B1" s="27"/>
      <c r="C1" s="27"/>
    </row>
    <row r="2" spans="1:7">
      <c r="D2" s="51">
        <f>SUBTOTAL(9,D4:D16)</f>
        <v>65</v>
      </c>
      <c r="E2" s="32">
        <f>SUBTOTAL(9,E4:E16)</f>
        <v>5357</v>
      </c>
      <c r="F2" s="31">
        <f>SUBTOTAL(1,F4:F16)</f>
        <v>1.8813131313131313E-2</v>
      </c>
    </row>
    <row r="3" spans="1:7" ht="42" customHeight="1"/>
    <row r="4" spans="1:7" s="36" customFormat="1" ht="30.75" customHeight="1">
      <c r="A4" s="52" t="s">
        <v>61</v>
      </c>
      <c r="B4" s="52" t="s">
        <v>16</v>
      </c>
      <c r="C4" s="52" t="s">
        <v>15</v>
      </c>
      <c r="D4" s="45" t="s">
        <v>62</v>
      </c>
      <c r="E4" s="34" t="s">
        <v>48</v>
      </c>
      <c r="F4" s="46" t="s">
        <v>49</v>
      </c>
      <c r="G4" s="33" t="s">
        <v>31</v>
      </c>
    </row>
    <row r="5" spans="1:7">
      <c r="A5" s="28" t="s">
        <v>66</v>
      </c>
      <c r="B5" s="28" t="s">
        <v>23</v>
      </c>
      <c r="C5" s="28" t="s">
        <v>38</v>
      </c>
      <c r="D5" s="53">
        <f>SUMIF(Ventes!L:L,A:A,Ventes!G:G)</f>
        <v>3</v>
      </c>
      <c r="E5" s="37">
        <f>SUMIF(Ventes!L:L,A:A,Ventes!H:H)</f>
        <v>75</v>
      </c>
      <c r="F5" s="38">
        <f>IFERROR(AVERAGEIF(Ventes!L:L,A:A,Ventes!F:F),"")</f>
        <v>0</v>
      </c>
      <c r="G5" s="3"/>
    </row>
    <row r="6" spans="1:7">
      <c r="A6" s="28" t="s">
        <v>67</v>
      </c>
      <c r="B6" s="28" t="s">
        <v>21</v>
      </c>
      <c r="C6" s="28" t="s">
        <v>38</v>
      </c>
      <c r="D6" s="53">
        <f>SUMIF(Ventes!L:L,A:A,Ventes!G:G)</f>
        <v>25</v>
      </c>
      <c r="E6" s="37">
        <f>SUMIF(Ventes!L:L,A:A,Ventes!H:H)</f>
        <v>2888</v>
      </c>
      <c r="F6" s="38">
        <f>IFERROR(AVERAGEIF(Ventes!L:L,A:A,Ventes!F:F),"")</f>
        <v>4.1666666666666671E-2</v>
      </c>
      <c r="G6" s="3"/>
    </row>
    <row r="7" spans="1:7">
      <c r="A7" s="28" t="s">
        <v>70</v>
      </c>
      <c r="B7" s="28" t="s">
        <v>21</v>
      </c>
      <c r="C7" s="28" t="s">
        <v>39</v>
      </c>
      <c r="D7" s="53">
        <f>SUMIF(Ventes!L:L,A:A,Ventes!G:G)</f>
        <v>6</v>
      </c>
      <c r="E7" s="37">
        <f>SUMIF(Ventes!L:L,A:A,Ventes!H:H)</f>
        <v>630</v>
      </c>
      <c r="F7" s="38">
        <f>IFERROR(AVERAGEIF(Ventes!L:L,A:A,Ventes!F:F),"")</f>
        <v>4.1666666666666664E-2</v>
      </c>
      <c r="G7" s="3"/>
    </row>
    <row r="8" spans="1:7">
      <c r="A8" s="28" t="s">
        <v>40</v>
      </c>
      <c r="B8" s="28" t="s">
        <v>23</v>
      </c>
      <c r="C8" s="28" t="s">
        <v>41</v>
      </c>
      <c r="D8" s="53">
        <f>SUMIF(Ventes!L:L,A:A,Ventes!G:G)</f>
        <v>3</v>
      </c>
      <c r="E8" s="37">
        <f>SUMIF(Ventes!L:L,A:A,Ventes!H:H)</f>
        <v>75</v>
      </c>
      <c r="F8" s="38">
        <f>IFERROR(AVERAGEIF(Ventes!L:L,A:A,Ventes!F:F),"")</f>
        <v>0</v>
      </c>
      <c r="G8" s="3"/>
    </row>
    <row r="9" spans="1:7">
      <c r="A9" s="28" t="s">
        <v>8</v>
      </c>
      <c r="B9" s="28" t="s">
        <v>23</v>
      </c>
      <c r="C9" s="28" t="s">
        <v>41</v>
      </c>
      <c r="D9" s="53">
        <f>SUMIF(Ventes!L:L,A:A,Ventes!G:G)</f>
        <v>3</v>
      </c>
      <c r="E9" s="37">
        <f>SUMIF(Ventes!L:L,A:A,Ventes!H:H)</f>
        <v>15</v>
      </c>
      <c r="F9" s="38">
        <f>IFERROR(AVERAGEIF(Ventes!L:L,A:A,Ventes!F:F),"")</f>
        <v>0</v>
      </c>
      <c r="G9" s="3"/>
    </row>
    <row r="10" spans="1:7">
      <c r="A10" s="28" t="s">
        <v>68</v>
      </c>
      <c r="B10" s="28" t="s">
        <v>21</v>
      </c>
      <c r="C10" s="28" t="s">
        <v>38</v>
      </c>
      <c r="D10" s="53">
        <f>SUMIF(Ventes!L:L,A:A,Ventes!G:G)</f>
        <v>3</v>
      </c>
      <c r="E10" s="37">
        <f>SUMIF(Ventes!L:L,A:A,Ventes!H:H)</f>
        <v>240</v>
      </c>
      <c r="F10" s="38">
        <f>IFERROR(AVERAGEIF(Ventes!L:L,A:A,Ventes!F:F),"")</f>
        <v>0</v>
      </c>
      <c r="G10" s="3"/>
    </row>
    <row r="11" spans="1:7">
      <c r="A11" s="28" t="s">
        <v>7</v>
      </c>
      <c r="B11" s="28" t="s">
        <v>22</v>
      </c>
      <c r="C11" s="28" t="s">
        <v>42</v>
      </c>
      <c r="D11" s="53">
        <f>SUMIF(Ventes!L:L,A:A,Ventes!G:G)</f>
        <v>1</v>
      </c>
      <c r="E11" s="37">
        <f>SUMIF(Ventes!L:L,A:A,Ventes!H:H)</f>
        <v>15</v>
      </c>
      <c r="F11" s="38">
        <f>IFERROR(AVERAGEIF(Ventes!L:L,A:A,Ventes!F:F),"")</f>
        <v>0</v>
      </c>
      <c r="G11" s="3"/>
    </row>
    <row r="12" spans="1:7">
      <c r="A12" s="28" t="s">
        <v>69</v>
      </c>
      <c r="B12" s="28" t="s">
        <v>23</v>
      </c>
      <c r="C12" s="28" t="s">
        <v>43</v>
      </c>
      <c r="D12" s="53">
        <f>SUMIF(Ventes!L:L,A:A,Ventes!G:G)</f>
        <v>3</v>
      </c>
      <c r="E12" s="37">
        <f>SUMIF(Ventes!L:L,A:A,Ventes!H:H)</f>
        <v>225</v>
      </c>
      <c r="F12" s="38">
        <f>IFERROR(AVERAGEIF(Ventes!L:L,A:A,Ventes!F:F),"")</f>
        <v>6.25E-2</v>
      </c>
      <c r="G12" s="3"/>
    </row>
    <row r="13" spans="1:7">
      <c r="A13" s="28" t="s">
        <v>46</v>
      </c>
      <c r="B13" s="28" t="s">
        <v>22</v>
      </c>
      <c r="C13" s="28" t="s">
        <v>44</v>
      </c>
      <c r="D13" s="53">
        <f>SUMIF(Ventes!L:L,A:A,Ventes!G:G)</f>
        <v>11</v>
      </c>
      <c r="E13" s="37">
        <f>SUMIF(Ventes!L:L,A:A,Ventes!H:H)</f>
        <v>275</v>
      </c>
      <c r="F13" s="38">
        <f>IFERROR(AVERAGEIF(Ventes!L:L,A:A,Ventes!F:F),"")</f>
        <v>0</v>
      </c>
      <c r="G13" s="3"/>
    </row>
    <row r="14" spans="1:7">
      <c r="A14" s="28" t="s">
        <v>3</v>
      </c>
      <c r="B14" s="28" t="s">
        <v>21</v>
      </c>
      <c r="C14" s="28" t="s">
        <v>42</v>
      </c>
      <c r="D14" s="53">
        <f>SUMIF(Ventes!L:L,A:A,Ventes!G:G)</f>
        <v>4</v>
      </c>
      <c r="E14" s="37">
        <f>SUMIF(Ventes!L:L,A:A,Ventes!H:H)</f>
        <v>169</v>
      </c>
      <c r="F14" s="38">
        <f>IFERROR(AVERAGEIF(Ventes!L:L,A:A,Ventes!F:F),"")</f>
        <v>6.1111111111111109E-2</v>
      </c>
      <c r="G14" s="3"/>
    </row>
    <row r="15" spans="1:7">
      <c r="A15" s="28" t="s">
        <v>47</v>
      </c>
      <c r="B15" s="28" t="s">
        <v>23</v>
      </c>
      <c r="C15" s="28" t="s">
        <v>44</v>
      </c>
      <c r="D15" s="53">
        <f>SUMIF(Ventes!L:L,A:A,Ventes!G:G)</f>
        <v>3</v>
      </c>
      <c r="E15" s="37">
        <f>SUMIF(Ventes!L:L,A:A,Ventes!H:H)</f>
        <v>750</v>
      </c>
      <c r="F15" s="38">
        <f>IFERROR(AVERAGEIF(Ventes!L:L,A:A,Ventes!F:F),"")</f>
        <v>0</v>
      </c>
      <c r="G15" s="3"/>
    </row>
    <row r="16" spans="1:7">
      <c r="A16" s="54"/>
      <c r="B16" s="54"/>
      <c r="C16" s="54"/>
      <c r="D16" s="43"/>
      <c r="E16" s="32"/>
      <c r="F16" s="31"/>
      <c r="G16" s="39"/>
    </row>
  </sheetData>
  <autoFilter ref="A4:G15">
    <filterColumn colId="1"/>
    <filterColumn colId="2"/>
    <sortState ref="A5:H14">
      <sortCondition ref="A6"/>
    </sortState>
  </autoFilter>
  <dataValidations count="2">
    <dataValidation type="list" allowBlank="1" showInputMessage="1" showErrorMessage="1" errorTitle="Choisir dans la liste" error="Choisir dans la liste !" sqref="B4:B16">
      <formula1>Liste_Types</formula1>
    </dataValidation>
    <dataValidation type="list" allowBlank="1" showInputMessage="1" showErrorMessage="1" errorTitle="Choisir dans la liste" error="Choisir dans la liste !" sqref="C4:C16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2"/>
  <sheetViews>
    <sheetView workbookViewId="0">
      <pane ySplit="4" topLeftCell="A5" activePane="bottomLeft" state="frozen"/>
      <selection activeCell="A2" sqref="A2"/>
      <selection pane="bottomLeft" activeCell="E5" sqref="E5:E11"/>
    </sheetView>
  </sheetViews>
  <sheetFormatPr baseColWidth="10" defaultColWidth="17.42578125" defaultRowHeight="15"/>
  <cols>
    <col min="1" max="1" width="39.42578125" style="28" customWidth="1"/>
    <col min="2" max="2" width="14.5703125" style="28" customWidth="1"/>
    <col min="3" max="3" width="16.42578125" style="28" customWidth="1"/>
    <col min="4" max="4" width="15" style="41" customWidth="1"/>
    <col min="5" max="5" width="58.28515625" style="29" customWidth="1"/>
    <col min="6" max="6" width="25.140625" style="28" customWidth="1"/>
    <col min="7" max="7" width="17.85546875" style="28" customWidth="1"/>
    <col min="8" max="8" width="41.140625" style="28" customWidth="1"/>
    <col min="9" max="16384" width="17.42578125" style="28"/>
  </cols>
  <sheetData>
    <row r="1" spans="1:5" ht="23.25">
      <c r="A1" s="27" t="str">
        <f>Raison_Sociale&amp;" - "&amp;Titre&amp;" - Catégories d'articles"</f>
        <v>Ma Boutique - Registre des ventes - Catégories d'articles</v>
      </c>
    </row>
    <row r="2" spans="1:5">
      <c r="B2" s="51">
        <f>SUBTOTAL(9,B4:B12)</f>
        <v>65</v>
      </c>
      <c r="C2" s="32">
        <f t="shared" ref="C2" si="0">SUBTOTAL(9,C4:C12)</f>
        <v>5357</v>
      </c>
      <c r="D2" s="31">
        <f>SUBTOTAL(1,D4:D12)</f>
        <v>3.0559764309764304E-2</v>
      </c>
    </row>
    <row r="3" spans="1:5" ht="42" customHeight="1"/>
    <row r="4" spans="1:5" s="36" customFormat="1" ht="30.75" customHeight="1">
      <c r="A4" s="52" t="s">
        <v>61</v>
      </c>
      <c r="B4" s="45" t="s">
        <v>62</v>
      </c>
      <c r="C4" s="34" t="s">
        <v>48</v>
      </c>
      <c r="D4" s="46" t="s">
        <v>49</v>
      </c>
      <c r="E4" s="33" t="s">
        <v>31</v>
      </c>
    </row>
    <row r="5" spans="1:5">
      <c r="A5" s="28" t="s">
        <v>44</v>
      </c>
      <c r="B5" s="53">
        <f>SUMIF(Ventes!J:J,A:A,Ventes!G:G)</f>
        <v>14</v>
      </c>
      <c r="C5" s="37">
        <f>SUMIF(Ventes!J:J,A:A,Ventes!H:H)</f>
        <v>1025</v>
      </c>
      <c r="D5" s="38">
        <f>IFERROR(AVERAGEIF(Ventes!J:J,A:A,Ventes!F:F),"")</f>
        <v>0</v>
      </c>
      <c r="E5" s="3"/>
    </row>
    <row r="6" spans="1:5">
      <c r="A6" s="28" t="s">
        <v>38</v>
      </c>
      <c r="B6" s="53">
        <f>SUMIF(Ventes!J:J,A:A,Ventes!G:G)</f>
        <v>31</v>
      </c>
      <c r="C6" s="37">
        <f>SUMIF(Ventes!J:J,A:A,Ventes!H:H)</f>
        <v>3203</v>
      </c>
      <c r="D6" s="38">
        <f>IFERROR(AVERAGEIF(Ventes!J:J,A:A,Ventes!F:F),"")</f>
        <v>3.0303030303030307E-2</v>
      </c>
      <c r="E6" s="3"/>
    </row>
    <row r="7" spans="1:5">
      <c r="A7" s="28" t="s">
        <v>41</v>
      </c>
      <c r="B7" s="53">
        <f>SUMIF(Ventes!J:J,A:A,Ventes!G:G)</f>
        <v>6</v>
      </c>
      <c r="C7" s="37">
        <f>SUMIF(Ventes!J:J,A:A,Ventes!H:H)</f>
        <v>90</v>
      </c>
      <c r="D7" s="38">
        <f>IFERROR(AVERAGEIF(Ventes!J:J,A:A,Ventes!F:F),"")</f>
        <v>0</v>
      </c>
      <c r="E7" s="3"/>
    </row>
    <row r="8" spans="1:5">
      <c r="A8" s="28" t="s">
        <v>39</v>
      </c>
      <c r="B8" s="53">
        <f>SUMIF(Ventes!J:J,A:A,Ventes!G:G)</f>
        <v>6</v>
      </c>
      <c r="C8" s="37">
        <f>SUMIF(Ventes!J:J,A:A,Ventes!H:H)</f>
        <v>630</v>
      </c>
      <c r="D8" s="38">
        <f>IFERROR(AVERAGEIF(Ventes!J:J,A:A,Ventes!F:F),"")</f>
        <v>4.1666666666666664E-2</v>
      </c>
      <c r="E8" s="3"/>
    </row>
    <row r="9" spans="1:5">
      <c r="A9" s="28" t="s">
        <v>45</v>
      </c>
      <c r="B9" s="53">
        <f>SUMIF(Ventes!J:J,A:A,Ventes!G:G)</f>
        <v>0</v>
      </c>
      <c r="C9" s="37">
        <f>SUMIF(Ventes!J:J,A:A,Ventes!H:H)</f>
        <v>0</v>
      </c>
      <c r="D9" s="38" t="str">
        <f>IFERROR(AVERAGEIF(Ventes!J:J,A:A,Ventes!F:F),"")</f>
        <v/>
      </c>
      <c r="E9" s="3"/>
    </row>
    <row r="10" spans="1:5">
      <c r="A10" s="28" t="s">
        <v>43</v>
      </c>
      <c r="B10" s="53">
        <f>SUMIF(Ventes!J:J,A:A,Ventes!G:G)</f>
        <v>3</v>
      </c>
      <c r="C10" s="37">
        <f>SUMIF(Ventes!J:J,A:A,Ventes!H:H)</f>
        <v>225</v>
      </c>
      <c r="D10" s="38">
        <f>IFERROR(AVERAGEIF(Ventes!J:J,A:A,Ventes!F:F),"")</f>
        <v>6.25E-2</v>
      </c>
      <c r="E10" s="3"/>
    </row>
    <row r="11" spans="1:5">
      <c r="A11" s="28" t="s">
        <v>42</v>
      </c>
      <c r="B11" s="53">
        <f>SUMIF(Ventes!J:J,A:A,Ventes!G:G)</f>
        <v>5</v>
      </c>
      <c r="C11" s="37">
        <f>SUMIF(Ventes!J:J,A:A,Ventes!H:H)</f>
        <v>184</v>
      </c>
      <c r="D11" s="38">
        <f>IFERROR(AVERAGEIF(Ventes!J:J,A:A,Ventes!F:F),"")</f>
        <v>4.8888888888888885E-2</v>
      </c>
      <c r="E11" s="3"/>
    </row>
    <row r="12" spans="1:5">
      <c r="A12" s="54"/>
      <c r="B12" s="43"/>
      <c r="C12" s="32"/>
      <c r="D12" s="31"/>
      <c r="E12" s="39"/>
    </row>
  </sheetData>
  <autoFilter ref="A4:E11"/>
  <sortState ref="A5:G12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8"/>
  <sheetViews>
    <sheetView workbookViewId="0">
      <pane ySplit="4" topLeftCell="A5" activePane="bottomLeft" state="frozen"/>
      <selection activeCell="A2" sqref="A2"/>
      <selection pane="bottomLeft" activeCell="E5" sqref="E5:E7"/>
    </sheetView>
  </sheetViews>
  <sheetFormatPr baseColWidth="10" defaultColWidth="17.42578125" defaultRowHeight="15"/>
  <cols>
    <col min="1" max="1" width="39.42578125" style="28" customWidth="1"/>
    <col min="2" max="2" width="14.5703125" style="28" customWidth="1"/>
    <col min="3" max="3" width="16.42578125" style="28" customWidth="1"/>
    <col min="4" max="4" width="15" style="41" customWidth="1"/>
    <col min="5" max="5" width="58.28515625" style="29" customWidth="1"/>
    <col min="6" max="6" width="25.140625" style="28" customWidth="1"/>
    <col min="7" max="7" width="17.85546875" style="28" customWidth="1"/>
    <col min="8" max="8" width="41.140625" style="28" customWidth="1"/>
    <col min="9" max="16384" width="17.42578125" style="28"/>
  </cols>
  <sheetData>
    <row r="1" spans="1:5" ht="23.25">
      <c r="A1" s="27" t="str">
        <f>Raison_Sociale&amp;" - "&amp;Titre&amp;" - Types d'articles"</f>
        <v>Ma Boutique - Registre des ventes - Types d'articles</v>
      </c>
    </row>
    <row r="2" spans="1:5">
      <c r="B2" s="51">
        <f>SUBTOTAL(9,B4:B8)</f>
        <v>65</v>
      </c>
      <c r="C2" s="32">
        <f>SUBTOTAL(9,C4:C8)</f>
        <v>5357</v>
      </c>
      <c r="D2" s="31">
        <f>SUBTOTAL(1,D4:D8)</f>
        <v>1.7512771392081738E-2</v>
      </c>
    </row>
    <row r="3" spans="1:5" ht="42" customHeight="1"/>
    <row r="4" spans="1:5" s="36" customFormat="1" ht="30.75" customHeight="1">
      <c r="A4" s="52" t="s">
        <v>61</v>
      </c>
      <c r="B4" s="45" t="s">
        <v>62</v>
      </c>
      <c r="C4" s="34" t="s">
        <v>48</v>
      </c>
      <c r="D4" s="46" t="s">
        <v>49</v>
      </c>
      <c r="E4" s="33" t="s">
        <v>31</v>
      </c>
    </row>
    <row r="5" spans="1:5">
      <c r="A5" s="28" t="s">
        <v>21</v>
      </c>
      <c r="B5" s="53">
        <f>SUMIF(Ventes!K:K,A:A,Ventes!G:G)</f>
        <v>38</v>
      </c>
      <c r="C5" s="37">
        <f>SUMIF(Ventes!K:K,A:A,Ventes!H:H)</f>
        <v>3927</v>
      </c>
      <c r="D5" s="38">
        <f>IFERROR(AVERAGEIF(Ventes!K:K,A:A,Ventes!F:F),"")</f>
        <v>4.0038314176245211E-2</v>
      </c>
      <c r="E5" s="3"/>
    </row>
    <row r="6" spans="1:5">
      <c r="A6" s="28" t="s">
        <v>22</v>
      </c>
      <c r="B6" s="53">
        <f>SUMIF(Ventes!K:K,A:A,Ventes!G:G)</f>
        <v>12</v>
      </c>
      <c r="C6" s="37">
        <f>SUMIF(Ventes!K:K,A:A,Ventes!H:H)</f>
        <v>290</v>
      </c>
      <c r="D6" s="38">
        <f>IFERROR(AVERAGEIF(Ventes!K:K,A:A,Ventes!F:F),"")</f>
        <v>0</v>
      </c>
      <c r="E6" s="3"/>
    </row>
    <row r="7" spans="1:5">
      <c r="A7" s="28" t="s">
        <v>23</v>
      </c>
      <c r="B7" s="53">
        <f>SUMIF(Ventes!K:K,A:A,Ventes!G:G)</f>
        <v>15</v>
      </c>
      <c r="C7" s="37">
        <f>SUMIF(Ventes!K:K,A:A,Ventes!H:H)</f>
        <v>1140</v>
      </c>
      <c r="D7" s="38">
        <f>IFERROR(AVERAGEIF(Ventes!K:K,A:A,Ventes!F:F),"")</f>
        <v>1.2500000000000001E-2</v>
      </c>
      <c r="E7" s="3"/>
    </row>
    <row r="8" spans="1:5">
      <c r="A8" s="54"/>
      <c r="B8" s="43"/>
      <c r="C8" s="32"/>
      <c r="D8" s="31"/>
      <c r="E8" s="39"/>
    </row>
  </sheetData>
  <autoFilter ref="A4:E7"/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14"/>
  <sheetViews>
    <sheetView workbookViewId="0">
      <pane ySplit="4" topLeftCell="A5" activePane="bottomLeft" state="frozen"/>
      <selection activeCell="A2" sqref="A2"/>
      <selection pane="bottomLeft" activeCell="C12" sqref="C12"/>
    </sheetView>
  </sheetViews>
  <sheetFormatPr baseColWidth="10" defaultColWidth="17.42578125" defaultRowHeight="15"/>
  <cols>
    <col min="1" max="1" width="39.42578125" style="28" customWidth="1"/>
    <col min="2" max="2" width="14.5703125" style="28" customWidth="1"/>
    <col min="3" max="3" width="16.42578125" style="28" customWidth="1"/>
    <col min="4" max="4" width="15" style="41" customWidth="1"/>
    <col min="5" max="5" width="58.28515625" style="29" customWidth="1"/>
    <col min="6" max="6" width="25.140625" style="28" customWidth="1"/>
    <col min="7" max="7" width="17.85546875" style="28" customWidth="1"/>
    <col min="8" max="8" width="41.140625" style="28" customWidth="1"/>
    <col min="9" max="16384" width="17.42578125" style="28"/>
  </cols>
  <sheetData>
    <row r="1" spans="1:5" ht="23.25">
      <c r="A1" s="27" t="str">
        <f>Raison_Sociale&amp;" - "&amp;Titre&amp;" - Marques"</f>
        <v>Ma Boutique - Registre des ventes - Marques</v>
      </c>
    </row>
    <row r="2" spans="1:5">
      <c r="B2" s="51">
        <f>SUBTOTAL(9,B4:B14)</f>
        <v>50</v>
      </c>
      <c r="C2" s="32">
        <f>SUBTOTAL(9,C4:C14)</f>
        <v>4992</v>
      </c>
      <c r="D2" s="31">
        <f>SUBTOTAL(1,D4:D14)</f>
        <v>3.3784722222222216E-2</v>
      </c>
    </row>
    <row r="3" spans="1:5" ht="42" customHeight="1"/>
    <row r="4" spans="1:5" s="36" customFormat="1" ht="30.75" customHeight="1">
      <c r="A4" s="52" t="s">
        <v>61</v>
      </c>
      <c r="B4" s="45" t="s">
        <v>62</v>
      </c>
      <c r="C4" s="34" t="s">
        <v>48</v>
      </c>
      <c r="D4" s="46" t="s">
        <v>49</v>
      </c>
      <c r="E4" s="33" t="s">
        <v>31</v>
      </c>
    </row>
    <row r="5" spans="1:5">
      <c r="A5" s="28" t="s">
        <v>91</v>
      </c>
      <c r="B5" s="53"/>
      <c r="C5" s="37"/>
      <c r="D5" s="38"/>
      <c r="E5" s="3"/>
    </row>
    <row r="6" spans="1:5">
      <c r="A6" s="28" t="s">
        <v>1</v>
      </c>
      <c r="B6" s="53">
        <f>SUMIF(Ventes!M:M,A:A,Ventes!G:G)</f>
        <v>12</v>
      </c>
      <c r="C6" s="37">
        <f>SUMIF(Ventes!M:M,A:A,Ventes!H:H)</f>
        <v>1143</v>
      </c>
      <c r="D6" s="38">
        <f>IFERROR(AVERAGEIF(Ventes!M:M,A:A,Ventes!F:F),"")</f>
        <v>1.6666666666666666E-2</v>
      </c>
      <c r="E6" s="3"/>
    </row>
    <row r="7" spans="1:5">
      <c r="A7" s="28" t="s">
        <v>17</v>
      </c>
      <c r="B7" s="53">
        <f>SUMIF(Ventes!M:M,A:A,Ventes!G:G)</f>
        <v>3</v>
      </c>
      <c r="C7" s="37">
        <f>SUMIF(Ventes!M:M,A:A,Ventes!H:H)</f>
        <v>300</v>
      </c>
      <c r="D7" s="38">
        <f>IFERROR(AVERAGEIF(Ventes!M:M,A:A,Ventes!F:F),"")</f>
        <v>0</v>
      </c>
      <c r="E7" s="3"/>
    </row>
    <row r="8" spans="1:5">
      <c r="A8" s="28" t="s">
        <v>19</v>
      </c>
      <c r="B8" s="53">
        <f>SUMIF(Ventes!M:M,A:A,Ventes!G:G)</f>
        <v>3</v>
      </c>
      <c r="C8" s="37">
        <f>SUMIF(Ventes!M:M,A:A,Ventes!H:H)</f>
        <v>225</v>
      </c>
      <c r="D8" s="38">
        <f>IFERROR(AVERAGEIF(Ventes!M:M,A:A,Ventes!F:F),"")</f>
        <v>6.25E-2</v>
      </c>
      <c r="E8" s="3"/>
    </row>
    <row r="9" spans="1:5">
      <c r="A9" s="28" t="s">
        <v>18</v>
      </c>
      <c r="B9" s="53">
        <f>SUMIF(Ventes!M:M,A:A,Ventes!G:G)</f>
        <v>3</v>
      </c>
      <c r="C9" s="37">
        <f>SUMIF(Ventes!M:M,A:A,Ventes!H:H)</f>
        <v>330</v>
      </c>
      <c r="D9" s="38">
        <f>IFERROR(AVERAGEIF(Ventes!M:M,A:A,Ventes!F:F),"")</f>
        <v>8.3333333333333329E-2</v>
      </c>
      <c r="E9" s="3"/>
    </row>
    <row r="10" spans="1:5">
      <c r="A10" s="28" t="s">
        <v>5</v>
      </c>
      <c r="B10" s="53">
        <f>SUMIF(Ventes!M:M,A:A,Ventes!G:G)</f>
        <v>19</v>
      </c>
      <c r="C10" s="37">
        <f>SUMIF(Ventes!M:M,A:A,Ventes!H:H)</f>
        <v>2060</v>
      </c>
      <c r="D10" s="38">
        <f>IFERROR(AVERAGEIF(Ventes!M:M,A:A,Ventes!F:F),"")</f>
        <v>4.6666666666666669E-2</v>
      </c>
      <c r="E10" s="3"/>
    </row>
    <row r="11" spans="1:5">
      <c r="A11" s="28" t="s">
        <v>20</v>
      </c>
      <c r="B11" s="53">
        <f>SUMIF(Ventes!M:M,A:A,Ventes!G:G)</f>
        <v>3</v>
      </c>
      <c r="C11" s="37">
        <f>SUMIF(Ventes!M:M,A:A,Ventes!H:H)</f>
        <v>750</v>
      </c>
      <c r="D11" s="38">
        <f>IFERROR(AVERAGEIF(Ventes!M:M,A:A,Ventes!F:F),"")</f>
        <v>0</v>
      </c>
      <c r="E11" s="3"/>
    </row>
    <row r="12" spans="1:5">
      <c r="A12" s="28" t="s">
        <v>4</v>
      </c>
      <c r="B12" s="53">
        <f>SUMIF(Ventes!M:M,A:A,Ventes!G:G)</f>
        <v>4</v>
      </c>
      <c r="C12" s="37">
        <f>SUMIF(Ventes!M:M,A:A,Ventes!H:H)</f>
        <v>169</v>
      </c>
      <c r="D12" s="38">
        <f>IFERROR(AVERAGEIF(Ventes!M:M,A:A,Ventes!F:F),"")</f>
        <v>6.1111111111111109E-2</v>
      </c>
      <c r="E12" s="3"/>
    </row>
    <row r="13" spans="1:5">
      <c r="A13" s="28" t="s">
        <v>9</v>
      </c>
      <c r="B13" s="53">
        <f>SUMIF(Ventes!M:M,A:A,Ventes!G:G)</f>
        <v>3</v>
      </c>
      <c r="C13" s="37">
        <f>SUMIF(Ventes!M:M,A:A,Ventes!H:H)</f>
        <v>15</v>
      </c>
      <c r="D13" s="38">
        <f>IFERROR(AVERAGEIF(Ventes!M:M,A:A,Ventes!F:F),"")</f>
        <v>0</v>
      </c>
      <c r="E13" s="3"/>
    </row>
    <row r="14" spans="1:5">
      <c r="A14" s="55"/>
      <c r="B14" s="43"/>
      <c r="C14" s="32"/>
      <c r="D14" s="31"/>
      <c r="E14" s="39"/>
    </row>
  </sheetData>
  <autoFilter ref="A4:E10"/>
  <sortState ref="A5:E13">
    <sortCondition ref="A6"/>
  </sortState>
  <dataValidations count="1">
    <dataValidation type="list" allowBlank="1" showInputMessage="1" showErrorMessage="1" errorTitle="Choisir dans la liste" error="Choisir dans la liste !" sqref="A5:A13">
      <formula1>Liste_Marques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Q11"/>
  <sheetViews>
    <sheetView workbookViewId="0">
      <selection activeCell="A9" sqref="A9"/>
    </sheetView>
  </sheetViews>
  <sheetFormatPr baseColWidth="10" defaultRowHeight="15"/>
  <cols>
    <col min="1" max="1" width="21" style="1" customWidth="1"/>
    <col min="2" max="10" width="13.28515625" customWidth="1"/>
  </cols>
  <sheetData>
    <row r="1" spans="1:17" ht="23.25">
      <c r="A1" s="84" t="str">
        <f>Raison_Sociale&amp;" - "&amp;Titre&amp;" - Satistiques des ventes"</f>
        <v>Ma Boutique - Registre des ventes - Satistiques des ventes</v>
      </c>
    </row>
    <row r="2" spans="1:17" ht="39" customHeight="1"/>
    <row r="4" spans="1:17">
      <c r="A4" s="85" t="s">
        <v>15</v>
      </c>
      <c r="B4" s="8" t="s">
        <v>64</v>
      </c>
    </row>
    <row r="6" spans="1:17">
      <c r="A6" s="85" t="s">
        <v>65</v>
      </c>
      <c r="B6" s="5" t="s">
        <v>51</v>
      </c>
    </row>
    <row r="7" spans="1:17" s="7" customFormat="1">
      <c r="A7" s="86" t="s">
        <v>50</v>
      </c>
      <c r="B7" s="9">
        <v>1</v>
      </c>
      <c r="C7" s="9">
        <v>2</v>
      </c>
      <c r="D7" s="8" t="s">
        <v>63</v>
      </c>
      <c r="E7"/>
      <c r="F7"/>
      <c r="G7"/>
      <c r="H7"/>
      <c r="I7"/>
      <c r="J7"/>
      <c r="K7"/>
      <c r="L7"/>
      <c r="M7"/>
      <c r="N7"/>
      <c r="O7"/>
      <c r="P7"/>
      <c r="Q7"/>
    </row>
    <row r="8" spans="1:17">
      <c r="A8" s="87">
        <v>42383</v>
      </c>
      <c r="B8" s="6">
        <v>1487</v>
      </c>
      <c r="C8" s="6">
        <v>455</v>
      </c>
      <c r="D8" s="6">
        <v>1942</v>
      </c>
    </row>
    <row r="9" spans="1:17">
      <c r="A9" s="87">
        <v>42384</v>
      </c>
      <c r="B9" s="6">
        <v>977</v>
      </c>
      <c r="C9" s="6">
        <v>530</v>
      </c>
      <c r="D9" s="6">
        <v>1507</v>
      </c>
    </row>
    <row r="10" spans="1:17">
      <c r="A10" s="1" t="s">
        <v>93</v>
      </c>
      <c r="B10" s="6">
        <v>1158</v>
      </c>
      <c r="C10" s="6">
        <v>750</v>
      </c>
      <c r="D10" s="6">
        <v>1908</v>
      </c>
    </row>
    <row r="11" spans="1:17">
      <c r="A11" s="1" t="s">
        <v>63</v>
      </c>
      <c r="B11" s="6">
        <v>3622</v>
      </c>
      <c r="C11" s="6">
        <v>1735</v>
      </c>
      <c r="D11" s="6">
        <v>5357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K20"/>
  <sheetViews>
    <sheetView workbookViewId="0">
      <selection activeCell="D12" sqref="D12"/>
    </sheetView>
  </sheetViews>
  <sheetFormatPr baseColWidth="10" defaultRowHeight="15.75" customHeight="1"/>
  <cols>
    <col min="1" max="1" width="26.85546875" customWidth="1"/>
    <col min="2" max="2" width="41.28515625" style="1" customWidth="1"/>
  </cols>
  <sheetData>
    <row r="1" spans="1:11" ht="15.75" customHeight="1">
      <c r="A1" s="10" t="s">
        <v>32</v>
      </c>
      <c r="B1" s="11" t="s">
        <v>33</v>
      </c>
    </row>
    <row r="2" spans="1:11" ht="15.75" customHeight="1">
      <c r="A2" s="10" t="s">
        <v>36</v>
      </c>
      <c r="B2" s="11" t="s">
        <v>37</v>
      </c>
    </row>
    <row r="3" spans="1:11" ht="15.75" customHeight="1">
      <c r="A3" s="10" t="s">
        <v>34</v>
      </c>
      <c r="B3" s="11">
        <v>2016</v>
      </c>
      <c r="C3" s="24"/>
      <c r="D3" s="24"/>
      <c r="E3" s="24"/>
      <c r="F3" s="24"/>
      <c r="G3" s="24"/>
      <c r="H3" s="24"/>
      <c r="I3" s="24"/>
      <c r="J3" s="24"/>
      <c r="K3" s="24"/>
    </row>
    <row r="4" spans="1:11" ht="15.75" customHeight="1">
      <c r="A4" s="10" t="s">
        <v>35</v>
      </c>
      <c r="B4" s="11">
        <v>2</v>
      </c>
      <c r="C4" s="24"/>
      <c r="D4" s="24"/>
      <c r="E4" s="24"/>
      <c r="F4" s="24"/>
      <c r="G4" s="24"/>
      <c r="H4" s="24"/>
      <c r="I4" s="24"/>
      <c r="J4" s="24"/>
      <c r="K4" s="24"/>
    </row>
    <row r="5" spans="1:11" ht="15.75" customHeight="1">
      <c r="C5" s="24"/>
      <c r="D5" s="24"/>
      <c r="E5" s="24"/>
      <c r="F5" s="24"/>
      <c r="G5" s="24"/>
      <c r="H5" s="24"/>
      <c r="I5" s="24"/>
      <c r="J5" s="24"/>
      <c r="K5" s="24"/>
    </row>
    <row r="6" spans="1:11" ht="15.75" customHeight="1">
      <c r="A6" s="20" t="s">
        <v>90</v>
      </c>
      <c r="B6" s="21"/>
      <c r="C6" s="25"/>
      <c r="D6" s="24"/>
      <c r="E6" s="24"/>
      <c r="F6" s="24"/>
      <c r="G6" s="24"/>
      <c r="H6" s="24"/>
      <c r="I6" s="24"/>
      <c r="J6" s="24"/>
      <c r="K6" s="24"/>
    </row>
    <row r="7" spans="1:11" ht="15.75" customHeight="1">
      <c r="A7" s="22" t="s">
        <v>11</v>
      </c>
      <c r="B7" s="23" t="s">
        <v>70</v>
      </c>
      <c r="C7" s="25">
        <f>IF(ISNUMBER(MATCH(VD_Nature,Liste_Natures,0)-1),MATCH(VD_Nature,Liste_Natures,0)-1,"")</f>
        <v>3</v>
      </c>
      <c r="D7" s="24"/>
      <c r="E7" s="24"/>
      <c r="F7" s="24"/>
      <c r="G7" s="24"/>
      <c r="H7" s="24"/>
      <c r="I7" s="24"/>
      <c r="J7" s="24"/>
      <c r="K7" s="24"/>
    </row>
    <row r="8" spans="1:11" ht="15.75" customHeight="1">
      <c r="A8" s="22" t="s">
        <v>15</v>
      </c>
      <c r="B8" s="23" t="s">
        <v>41</v>
      </c>
      <c r="C8" s="25">
        <f>IF(ISNUMBER(MATCH(VD_Catégorie,Liste_Catégories,0)-1),MATCH(VD_Catégorie,Liste_Catégories,0)-1,"")</f>
        <v>3</v>
      </c>
      <c r="D8" s="24"/>
      <c r="E8" s="24"/>
      <c r="F8" s="24"/>
      <c r="G8" s="24"/>
      <c r="H8" s="24"/>
      <c r="I8" s="24"/>
      <c r="J8" s="24"/>
      <c r="K8" s="24"/>
    </row>
    <row r="9" spans="1:11" ht="15.75" customHeight="1">
      <c r="A9" s="22" t="s">
        <v>16</v>
      </c>
      <c r="B9" s="23" t="s">
        <v>21</v>
      </c>
      <c r="C9" s="25">
        <f>IF(ISNUMBER(MATCH(VD_Type,Liste_Types,0)-1),MATCH(VD_Type,Liste_Types,0)-1,"")</f>
        <v>1</v>
      </c>
      <c r="D9" s="24"/>
      <c r="E9" s="24"/>
      <c r="F9" s="24"/>
      <c r="G9" s="24"/>
      <c r="H9" s="24"/>
      <c r="I9" s="24"/>
      <c r="J9" s="24"/>
      <c r="K9" s="24"/>
    </row>
    <row r="10" spans="1:11" ht="15.75" customHeight="1">
      <c r="A10" s="22" t="s">
        <v>0</v>
      </c>
      <c r="B10" s="23" t="s">
        <v>91</v>
      </c>
      <c r="C10" s="25">
        <f>IF(ISNUMBER(MATCH(VD_Marque,Liste_Marques,0)-1),MATCH(VD_Marque,Liste_Marques,0)-1,"")</f>
        <v>1</v>
      </c>
      <c r="D10" s="24"/>
      <c r="E10" s="24"/>
      <c r="F10" s="24"/>
      <c r="G10" s="24"/>
      <c r="H10" s="24"/>
      <c r="I10" s="24"/>
      <c r="J10" s="24"/>
      <c r="K10" s="24"/>
    </row>
    <row r="11" spans="1:11" ht="15.75" customHeight="1">
      <c r="A11" s="20"/>
      <c r="B11" s="21"/>
      <c r="C11" s="26"/>
      <c r="D11" s="24"/>
      <c r="E11" s="24"/>
      <c r="F11" s="24"/>
      <c r="G11" s="24"/>
      <c r="H11" s="24"/>
      <c r="I11" s="24"/>
      <c r="J11" s="24"/>
      <c r="K11" s="24"/>
    </row>
    <row r="12" spans="1:11" ht="15.75" customHeight="1">
      <c r="A12" s="12"/>
      <c r="B12" s="19" t="e">
        <f>VLOOKUP("Essai",Coordonnées_Arrivées,2,FALSE)</f>
        <v>#NAME?</v>
      </c>
      <c r="C12" s="24"/>
      <c r="D12" s="24"/>
      <c r="E12" s="24"/>
      <c r="F12" s="24"/>
      <c r="G12" s="24"/>
      <c r="H12" s="24"/>
      <c r="I12" s="24"/>
      <c r="J12" s="24"/>
      <c r="K12" s="24"/>
    </row>
    <row r="13" spans="1:11" ht="15.75" customHeight="1">
      <c r="A13" s="15" t="s">
        <v>82</v>
      </c>
      <c r="B13" s="10"/>
      <c r="C13" s="24"/>
      <c r="D13" s="24"/>
      <c r="E13" s="24"/>
      <c r="F13" s="24"/>
      <c r="G13" s="24"/>
      <c r="H13" s="24"/>
      <c r="I13" s="24"/>
      <c r="J13" s="24"/>
      <c r="K13" s="24"/>
    </row>
    <row r="14" spans="1:11" ht="15.75" customHeight="1">
      <c r="A14" s="16" t="s">
        <v>83</v>
      </c>
      <c r="B14" s="17" t="s">
        <v>84</v>
      </c>
      <c r="C14" s="24"/>
      <c r="D14" s="24"/>
      <c r="E14" s="24"/>
      <c r="F14" s="24"/>
      <c r="G14" s="24"/>
      <c r="H14" s="24"/>
      <c r="I14" s="24"/>
      <c r="J14" s="24"/>
      <c r="K14" s="24"/>
    </row>
    <row r="15" spans="1:11" ht="15.75" customHeight="1">
      <c r="A15" s="16" t="s">
        <v>85</v>
      </c>
      <c r="B15" s="17" t="s">
        <v>86</v>
      </c>
      <c r="C15" s="24"/>
      <c r="D15" s="24"/>
      <c r="E15" s="24"/>
      <c r="F15" s="24"/>
      <c r="G15" s="24"/>
      <c r="H15" s="24"/>
      <c r="I15" s="24"/>
      <c r="J15" s="24"/>
      <c r="K15" s="24"/>
    </row>
    <row r="16" spans="1:11" ht="15.75" customHeight="1">
      <c r="A16" s="16" t="s">
        <v>87</v>
      </c>
      <c r="B16" s="17" t="s">
        <v>86</v>
      </c>
      <c r="C16" s="24"/>
      <c r="D16" s="24"/>
      <c r="E16" s="24"/>
      <c r="F16" s="24"/>
      <c r="G16" s="24"/>
      <c r="H16" s="24"/>
      <c r="I16" s="24"/>
      <c r="J16" s="24"/>
      <c r="K16" s="24"/>
    </row>
    <row r="17" spans="1:2" ht="15.75" customHeight="1">
      <c r="A17" s="16" t="s">
        <v>88</v>
      </c>
      <c r="B17" s="17" t="s">
        <v>86</v>
      </c>
    </row>
    <row r="18" spans="1:2" ht="15.75" customHeight="1">
      <c r="A18" s="15"/>
      <c r="B18" s="10"/>
    </row>
    <row r="19" spans="1:2" ht="15.75" customHeight="1">
      <c r="A19" s="12"/>
      <c r="B19" s="13"/>
    </row>
    <row r="20" spans="1:2" ht="15.75" customHeight="1">
      <c r="A20" s="14" t="s">
        <v>89</v>
      </c>
      <c r="B20" s="18" t="e">
        <f>MATCH(1,Liste_Arrivées,0)+4</f>
        <v>#NAME?</v>
      </c>
    </row>
  </sheetData>
  <conditionalFormatting sqref="B7">
    <cfRule type="expression" dxfId="8" priority="5">
      <formula>OR(AND(ISERROR(VLOOKUP(B7,Liste_Natures,1,FALSE)),LEN(B7)&gt;0),B7="Libellé")</formula>
    </cfRule>
  </conditionalFormatting>
  <conditionalFormatting sqref="B9">
    <cfRule type="expression" dxfId="7" priority="3">
      <formula>OR(AND(ISERROR(VLOOKUP(B9,Liste_Types,1,FALSE)),LEN(B9)&gt;0),B9="Libellé")</formula>
    </cfRule>
  </conditionalFormatting>
  <conditionalFormatting sqref="B10">
    <cfRule type="expression" dxfId="6" priority="2">
      <formula>OR(AND(ISERROR(VLOOKUP(B10,Liste_Marques,1,FALSE)),LEN(B10)&gt;0),B10="Libellé")</formula>
    </cfRule>
  </conditionalFormatting>
  <conditionalFormatting sqref="B8">
    <cfRule type="expression" dxfId="5" priority="1">
      <formula>OR(AND(ISERROR(VLOOKUP(B8,Liste_Catégories,1,FALSE)),LEN(B8)&gt;0),B8="Libellé")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4:B17">
      <formula1>"oui,non"</formula1>
    </dataValidation>
    <dataValidation type="list" allowBlank="1" showInputMessage="1" showErrorMessage="1" errorTitle="Choisir dans la liste" error="Choisir dans la liste !" sqref="B10">
      <formula1>Liste_Marques</formula1>
    </dataValidation>
    <dataValidation type="list" showInputMessage="1" showErrorMessage="1" errorTitle="Choisir dans la liste" error="Choisir dans la liste !" sqref="B9">
      <formula1>Liste_Types</formula1>
    </dataValidation>
    <dataValidation type="list" showInputMessage="1" showErrorMessage="1" errorTitle="Choisir dans la liste" error="Choisir dans la liste !" sqref="B8">
      <formula1>Liste_Catégories</formula1>
    </dataValidation>
    <dataValidation type="list" showInputMessage="1" showErrorMessage="1" errorTitle="Choisir dans la liste" error="Choisir dans la liste !" sqref="B7">
      <formula1>Liste_Natures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20</vt:i4>
      </vt:variant>
    </vt:vector>
  </HeadingPairs>
  <TitlesOfParts>
    <vt:vector size="29" baseType="lpstr">
      <vt:lpstr>Accueil</vt:lpstr>
      <vt:lpstr>Ventes</vt:lpstr>
      <vt:lpstr>Articles</vt:lpstr>
      <vt:lpstr>Natures</vt:lpstr>
      <vt:lpstr>Catégories</vt:lpstr>
      <vt:lpstr>Types</vt:lpstr>
      <vt:lpstr>Marques</vt:lpstr>
      <vt:lpstr>Statistiques</vt:lpstr>
      <vt:lpstr>Paramètres</vt:lpstr>
      <vt:lpstr>Articles!_FilterDatabase</vt:lpstr>
      <vt:lpstr>Année_Réf</vt:lpstr>
      <vt:lpstr>Articles</vt:lpstr>
      <vt:lpstr>Catégories</vt:lpstr>
      <vt:lpstr>Liste_Articles</vt:lpstr>
      <vt:lpstr>Liste_Catégories</vt:lpstr>
      <vt:lpstr>Liste_Marques</vt:lpstr>
      <vt:lpstr>Liste_Natures</vt:lpstr>
      <vt:lpstr>Liste_Types</vt:lpstr>
      <vt:lpstr>Marques</vt:lpstr>
      <vt:lpstr>Natures</vt:lpstr>
      <vt:lpstr>Nb_Caisses</vt:lpstr>
      <vt:lpstr>Raison_Sociale</vt:lpstr>
      <vt:lpstr>Titre</vt:lpstr>
      <vt:lpstr>Types</vt:lpstr>
      <vt:lpstr>VD_Catégorie</vt:lpstr>
      <vt:lpstr>VD_Marque</vt:lpstr>
      <vt:lpstr>VD_Nature</vt:lpstr>
      <vt:lpstr>VD_Type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Closon</dc:creator>
  <cp:lastModifiedBy>dd</cp:lastModifiedBy>
  <dcterms:created xsi:type="dcterms:W3CDTF">2015-12-18T00:38:39Z</dcterms:created>
  <dcterms:modified xsi:type="dcterms:W3CDTF">2016-01-15T20:44:52Z</dcterms:modified>
</cp:coreProperties>
</file>