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8915" windowHeight="8265"/>
  </bookViews>
  <sheets>
    <sheet name="Accueil" sheetId="7" r:id="rId1"/>
    <sheet name="Données" sheetId="1" r:id="rId2"/>
    <sheet name="Synthèses" sheetId="6" r:id="rId3"/>
    <sheet name="Tarifs" sheetId="2" r:id="rId4"/>
    <sheet name="Imputations" sheetId="5" r:id="rId5"/>
    <sheet name="Types d'occupation" sheetId="4" r:id="rId6"/>
    <sheet name="Paramètres" sheetId="3" r:id="rId7"/>
  </sheets>
  <functionGroups builtInGroupCount="17"/>
  <definedNames>
    <definedName name="_xlnm._FilterDatabase" localSheetId="1" hidden="1">Données!$A$3:$AB$10</definedName>
    <definedName name="_xlnm._FilterDatabase" localSheetId="4" hidden="1">Imputations!$A$3:$H$7</definedName>
    <definedName name="_xlnm._FilterDatabase" localSheetId="3" hidden="1">Tarifs!$A$3:$G$18</definedName>
    <definedName name="_xlnm._FilterDatabase" localSheetId="5">'Types d''occupation'!$A$3:$H$12</definedName>
    <definedName name="Année_Réf">Imputations!$G$1</definedName>
    <definedName name="Année_Réf_Tarifs">Tarifs!$E$1</definedName>
    <definedName name="Année_Réf_Types">'Types d''occupation'!$E$1</definedName>
    <definedName name="Collectivité">Paramètres!$B$1</definedName>
    <definedName name="Début">Données!$C:$C</definedName>
    <definedName name="Données">Données!$A$3:$AB$11</definedName>
    <definedName name="Durée">Données!$K:$K</definedName>
    <definedName name="Fin">Données!$D:$D</definedName>
    <definedName name="Identifiants_Tarifs">Tarifs!$G$3:$G$19</definedName>
    <definedName name="Imputations">Imputations!$A$3:$H$8</definedName>
    <definedName name="Liste_Imputations">Imputations!$H$3:$H$8</definedName>
    <definedName name="Liste_Modes_Calcul">Paramètres!$A$5:$A$13</definedName>
    <definedName name="Liste_Types">'Types d''occupation'!$A$3:$A$13</definedName>
    <definedName name="Mode_Calcul">Données!$H:$H</definedName>
    <definedName name="Modes_Calcul">Paramètres!$A$5:$C$13</definedName>
    <definedName name="Quantité">Données!$F:$F</definedName>
    <definedName name="Segment_Année">#N/A</definedName>
    <definedName name="Segment_Catégorie_d_occupation">#N/A</definedName>
    <definedName name="Segment_Imputation">#N/A</definedName>
    <definedName name="Segment_Période">#N/A</definedName>
    <definedName name="Segment_Type_d_occupation">#N/A</definedName>
    <definedName name="Service">Paramètres!$B$2</definedName>
    <definedName name="Tarif">Données!$I:$I</definedName>
    <definedName name="Tarifs">Tarifs!$A$3:$G$19</definedName>
    <definedName name="Titre">Paramètres!$B$3</definedName>
    <definedName name="Types">'Types d''occupation'!$A$3:$H$13</definedName>
    <definedName name="Unité">Données!$G:$G</definedName>
  </definedNames>
  <calcPr calcId="145621"/>
  <pivotCaches>
    <pivotCache cacheId="0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G9" i="4" l="1"/>
  <c r="H9" i="4"/>
  <c r="AA4" i="1" l="1"/>
  <c r="G7" i="4"/>
  <c r="G8" i="4"/>
  <c r="G10" i="4"/>
  <c r="G11" i="4"/>
  <c r="G12" i="4"/>
  <c r="H5" i="4"/>
  <c r="H6" i="4"/>
  <c r="H7" i="4"/>
  <c r="H8" i="4"/>
  <c r="H10" i="4"/>
  <c r="H11" i="4"/>
  <c r="H12" i="4"/>
  <c r="H4" i="4"/>
  <c r="G5" i="4"/>
  <c r="G6" i="4"/>
  <c r="G4" i="4"/>
  <c r="AA5" i="1"/>
  <c r="AB5" i="1" s="1"/>
  <c r="Z5" i="1"/>
  <c r="Y5" i="1"/>
  <c r="X5" i="1"/>
  <c r="H5" i="1"/>
  <c r="J5" i="1" s="1"/>
  <c r="G5" i="1"/>
  <c r="G12" i="2"/>
  <c r="E12" i="2"/>
  <c r="D12" i="2"/>
  <c r="E5" i="4"/>
  <c r="K5" i="1"/>
  <c r="L5" i="1"/>
  <c r="E9" i="4" l="1"/>
  <c r="I5" i="1"/>
  <c r="H5" i="5"/>
  <c r="G5" i="5" s="1"/>
  <c r="D11" i="2"/>
  <c r="E11" i="2"/>
  <c r="G11" i="2"/>
  <c r="Z4" i="1" l="1"/>
  <c r="Y4" i="1"/>
  <c r="X4" i="1"/>
  <c r="H4" i="1"/>
  <c r="G4" i="1"/>
  <c r="AA9" i="1"/>
  <c r="Z9" i="1"/>
  <c r="Y9" i="1"/>
  <c r="X9" i="1"/>
  <c r="H9" i="1"/>
  <c r="J9" i="1" s="1"/>
  <c r="G9" i="1"/>
  <c r="AA7" i="1"/>
  <c r="Z7" i="1"/>
  <c r="Y7" i="1"/>
  <c r="X7" i="1"/>
  <c r="H7" i="1"/>
  <c r="J7" i="1" s="1"/>
  <c r="G7" i="1"/>
  <c r="AA8" i="1"/>
  <c r="AA10" i="1"/>
  <c r="AA6" i="1"/>
  <c r="G5" i="2"/>
  <c r="G6" i="2"/>
  <c r="G7" i="2"/>
  <c r="G8" i="2"/>
  <c r="G9" i="2"/>
  <c r="G10" i="2"/>
  <c r="G13" i="2"/>
  <c r="G14" i="2"/>
  <c r="G15" i="2"/>
  <c r="G16" i="2"/>
  <c r="G17" i="2"/>
  <c r="G18" i="2"/>
  <c r="G4" i="2"/>
  <c r="K9" i="1"/>
  <c r="K7" i="1"/>
  <c r="L7" i="1"/>
  <c r="L9" i="1"/>
  <c r="L4" i="1"/>
  <c r="J4" i="1" l="1"/>
  <c r="I9" i="1"/>
  <c r="I4" i="1"/>
  <c r="AB4" i="1"/>
  <c r="AB9" i="1"/>
  <c r="I7" i="1"/>
  <c r="AB7" i="1"/>
  <c r="C4" i="7"/>
  <c r="C3" i="7"/>
  <c r="C2" i="7"/>
  <c r="K4" i="1"/>
  <c r="E6" i="4" l="1"/>
  <c r="E11" i="4"/>
  <c r="A1" i="4"/>
  <c r="A1" i="5"/>
  <c r="A1" i="2"/>
  <c r="A1" i="1"/>
  <c r="AB8" i="1"/>
  <c r="AB10" i="1"/>
  <c r="I8" i="1"/>
  <c r="I10" i="1"/>
  <c r="AB6" i="1"/>
  <c r="F12" i="2" l="1"/>
  <c r="E8" i="4"/>
  <c r="E7" i="4"/>
  <c r="F11" i="2"/>
  <c r="F5" i="2"/>
  <c r="I6" i="1"/>
  <c r="F18" i="2"/>
  <c r="F16" i="2"/>
  <c r="F8" i="2"/>
  <c r="F17" i="2"/>
  <c r="F15" i="2"/>
  <c r="F7" i="2"/>
  <c r="X8" i="1"/>
  <c r="Y8" i="1"/>
  <c r="X10" i="1"/>
  <c r="Y10" i="1"/>
  <c r="Y6" i="1"/>
  <c r="X6" i="1"/>
  <c r="Z8" i="1"/>
  <c r="Z10" i="1"/>
  <c r="Z6" i="1"/>
  <c r="G6" i="1"/>
  <c r="H6" i="5"/>
  <c r="H7" i="5"/>
  <c r="H4" i="5"/>
  <c r="E6" i="2"/>
  <c r="D6" i="2"/>
  <c r="H8" i="1" l="1"/>
  <c r="J8" i="1" s="1"/>
  <c r="G8" i="1"/>
  <c r="K8" i="1"/>
  <c r="L8" i="1"/>
  <c r="E4" i="2" l="1"/>
  <c r="D4" i="2"/>
  <c r="E7" i="2"/>
  <c r="D7" i="2"/>
  <c r="E9" i="2"/>
  <c r="D9" i="2"/>
  <c r="E17" i="2"/>
  <c r="D17" i="2"/>
  <c r="E15" i="2"/>
  <c r="D15" i="2"/>
  <c r="E13" i="2"/>
  <c r="D13" i="2"/>
  <c r="H10" i="1"/>
  <c r="J10" i="1" s="1"/>
  <c r="H6" i="1"/>
  <c r="J6" i="1" s="1"/>
  <c r="G10" i="1"/>
  <c r="E16" i="2"/>
  <c r="E18" i="2"/>
  <c r="E10" i="2"/>
  <c r="E8" i="2"/>
  <c r="E5" i="2"/>
  <c r="F6" i="2" s="1"/>
  <c r="E14" i="2"/>
  <c r="D14" i="2"/>
  <c r="D10" i="2"/>
  <c r="D18" i="2"/>
  <c r="D16" i="2"/>
  <c r="D5" i="2"/>
  <c r="D8" i="2"/>
  <c r="K10" i="1"/>
  <c r="K6" i="1"/>
  <c r="L10" i="1"/>
  <c r="L6" i="1"/>
  <c r="E12" i="4" l="1"/>
  <c r="F4" i="2"/>
  <c r="G7" i="5"/>
  <c r="E10" i="4" l="1"/>
  <c r="E4" i="4"/>
  <c r="L1" i="1"/>
  <c r="G4" i="5"/>
  <c r="F9" i="2"/>
  <c r="F10" i="2"/>
  <c r="F13" i="2"/>
  <c r="F14" i="2"/>
  <c r="G6" i="5"/>
  <c r="F1" i="2" l="1"/>
  <c r="F1" i="4"/>
  <c r="H1" i="5"/>
</calcChain>
</file>

<file path=xl/sharedStrings.xml><?xml version="1.0" encoding="utf-8"?>
<sst xmlns="http://schemas.openxmlformats.org/spreadsheetml/2006/main" count="182" uniqueCount="102">
  <si>
    <t>Raison sociale</t>
  </si>
  <si>
    <t>Adresse</t>
  </si>
  <si>
    <t>Téléphone 1</t>
  </si>
  <si>
    <t>Civilité</t>
  </si>
  <si>
    <t>Nom Prénom</t>
  </si>
  <si>
    <t>Mail</t>
  </si>
  <si>
    <t>Observations</t>
  </si>
  <si>
    <t>mètre linéaire</t>
  </si>
  <si>
    <t>m²</t>
  </si>
  <si>
    <t>Montant facturé</t>
  </si>
  <si>
    <t>Echafaudage</t>
  </si>
  <si>
    <t>Aménagement des aires de trottoirs</t>
  </si>
  <si>
    <t>Abaissement des bordures de trottoir</t>
  </si>
  <si>
    <t>CP</t>
  </si>
  <si>
    <t>Ville</t>
  </si>
  <si>
    <t>Téléphone 2</t>
  </si>
  <si>
    <t>Quantité</t>
  </si>
  <si>
    <t>Unité</t>
  </si>
  <si>
    <t>Imputation</t>
  </si>
  <si>
    <t>Engagement</t>
  </si>
  <si>
    <t>Tarif</t>
  </si>
  <si>
    <t>Date d'effet</t>
  </si>
  <si>
    <t>Identifiant</t>
  </si>
  <si>
    <t>Adresse occupation</t>
  </si>
  <si>
    <t>Type d'occupation</t>
  </si>
  <si>
    <t>Mode de calcul</t>
  </si>
  <si>
    <t>Modes de calcul</t>
  </si>
  <si>
    <t>Surface par mois par tarif</t>
  </si>
  <si>
    <t>Surface par tarif</t>
  </si>
  <si>
    <t>Mètres linéaire par tarif</t>
  </si>
  <si>
    <t>Terrasse 1ère catégorie</t>
  </si>
  <si>
    <t>Catégorie d'occupation</t>
  </si>
  <si>
    <t>Terrasses</t>
  </si>
  <si>
    <t>Terrasse 2ème catégorie</t>
  </si>
  <si>
    <t>Terrasse 3ème catégorie</t>
  </si>
  <si>
    <t>Installation de tables de terrasse, structure en dur</t>
  </si>
  <si>
    <t>Installation de tables de terrasse mobiles</t>
  </si>
  <si>
    <t>Installation de tables de terrasse pour manifestations occasionnelles</t>
  </si>
  <si>
    <t>Entreprises</t>
  </si>
  <si>
    <t>Services</t>
  </si>
  <si>
    <t>DST160025</t>
  </si>
  <si>
    <t>Période</t>
  </si>
  <si>
    <t>Tarif unitaire</t>
  </si>
  <si>
    <t>12 rue Léon Blum</t>
  </si>
  <si>
    <t>Début occupation</t>
  </si>
  <si>
    <t>Fin occupation</t>
  </si>
  <si>
    <t>Gest</t>
  </si>
  <si>
    <t>Nature</t>
  </si>
  <si>
    <t>Fonction</t>
  </si>
  <si>
    <t>Antenne</t>
  </si>
  <si>
    <t>Service</t>
  </si>
  <si>
    <t>Libellé</t>
  </si>
  <si>
    <t>Montants</t>
  </si>
  <si>
    <t>Année</t>
  </si>
  <si>
    <t xml:space="preserve">Année : </t>
  </si>
  <si>
    <t>DST</t>
  </si>
  <si>
    <t>DST/// : Terrasses</t>
  </si>
  <si>
    <t>DST/// : Services</t>
  </si>
  <si>
    <t>DST/// : Entreprises</t>
  </si>
  <si>
    <t>Montants facturés</t>
  </si>
  <si>
    <t>Total général</t>
  </si>
  <si>
    <t>Somme de Montant facturé</t>
  </si>
  <si>
    <t>Facturation de l'occupation du domaine public</t>
  </si>
  <si>
    <t>Identifiant tarif</t>
  </si>
  <si>
    <t>Identifiant occupation</t>
  </si>
  <si>
    <t>Collectivité</t>
  </si>
  <si>
    <t>Direction Cadre de vie</t>
  </si>
  <si>
    <t>Titre du classeur</t>
  </si>
  <si>
    <t>Données</t>
  </si>
  <si>
    <t>Synthèses</t>
  </si>
  <si>
    <t>Tarifs</t>
  </si>
  <si>
    <t>Imputations</t>
  </si>
  <si>
    <t>Types d'occupation</t>
  </si>
  <si>
    <t>Paramètres</t>
  </si>
  <si>
    <t>DST170025</t>
  </si>
  <si>
    <t>DST180025</t>
  </si>
  <si>
    <t>Durée</t>
  </si>
  <si>
    <t>Surface par jour par tarif</t>
  </si>
  <si>
    <t xml:space="preserve">34 rue Joanny Augé </t>
  </si>
  <si>
    <t>jour</t>
  </si>
  <si>
    <t>Jusqu'à 5 jours de présence par mois et par emplacement</t>
  </si>
  <si>
    <t>Ambulant</t>
  </si>
  <si>
    <t>Par jour</t>
  </si>
  <si>
    <t>Par mois</t>
  </si>
  <si>
    <t>A partir de 6 jours de présence dans le mois</t>
  </si>
  <si>
    <t>Parking avenue Galliéni à proximité de la Maison Galliéni</t>
  </si>
  <si>
    <t>DTE</t>
  </si>
  <si>
    <t>Restauration rapide occasionnelle</t>
  </si>
  <si>
    <t>Restauration rapide régulière</t>
  </si>
  <si>
    <t>Par nombre de jours dans le mois</t>
  </si>
  <si>
    <t>forfait</t>
  </si>
  <si>
    <t>Quantité*Mois*Tarif</t>
  </si>
  <si>
    <t>Quantité*Jour*Tarif</t>
  </si>
  <si>
    <t>Quantité*Tarif</t>
  </si>
  <si>
    <t>Durée*Tarif</t>
  </si>
  <si>
    <t>Formule de calcul de la durée</t>
  </si>
  <si>
    <t>Formule de calcul du montant</t>
  </si>
  <si>
    <t>Ville d'Excel-les-Bains</t>
  </si>
  <si>
    <t>Fin-Début+1</t>
  </si>
  <si>
    <t>Arrondi((Fin-Début+1)/365.25*12;0)</t>
  </si>
  <si>
    <t>Essai</t>
  </si>
  <si>
    <t>Formule 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</si>
</sst>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0000"/>
    <numFmt numFmtId="166" formatCode="&quot;&quot;;&quot;&quot;;&quot;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4" tint="-0.249977111117893"/>
      <name val="Arial"/>
      <family val="2"/>
    </font>
    <font>
      <b/>
      <sz val="14"/>
      <color theme="4" tint="-0.249977111117893"/>
      <name val="Arial"/>
      <family val="2"/>
    </font>
    <font>
      <b/>
      <sz val="14"/>
      <color theme="4" tint="-0.249977111117893"/>
      <name val="Arial Black"/>
      <family val="2"/>
    </font>
    <font>
      <b/>
      <sz val="20"/>
      <color rgb="FFFFFF00"/>
      <name val="Arial Black"/>
      <family val="2"/>
    </font>
    <font>
      <u/>
      <sz val="11"/>
      <color theme="10"/>
      <name val="Calibri"/>
      <family val="2"/>
      <scheme val="minor"/>
    </font>
    <font>
      <b/>
      <sz val="11"/>
      <color theme="4" tint="-0.249977111117893"/>
      <name val="Arial Black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1"/>
      <color theme="0"/>
      <name val="Arial Blac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ck">
        <color theme="0" tint="-4.9989318521683403E-2"/>
      </left>
      <right style="thick">
        <color theme="0"/>
      </right>
      <top style="thick">
        <color theme="0"/>
      </top>
      <bottom style="thick">
        <color theme="0" tint="-4.9989318521683403E-2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" fillId="2" borderId="0" xfId="0" applyFont="1" applyFill="1" applyAlignment="1">
      <alignment vertical="top"/>
    </xf>
    <xf numFmtId="0" fontId="3" fillId="5" borderId="0" xfId="0" applyFont="1" applyFill="1" applyAlignment="1">
      <alignment vertical="center"/>
    </xf>
    <xf numFmtId="0" fontId="4" fillId="3" borderId="0" xfId="0" applyFont="1" applyFill="1" applyAlignment="1">
      <alignment vertical="top"/>
    </xf>
    <xf numFmtId="0" fontId="4" fillId="2" borderId="0" xfId="0" applyFont="1" applyFill="1" applyAlignment="1">
      <alignment horizontal="center" vertical="top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10" fontId="3" fillId="0" borderId="0" xfId="0" applyNumberFormat="1" applyFont="1" applyAlignment="1">
      <alignment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44" fontId="3" fillId="0" borderId="0" xfId="1" applyFont="1" applyAlignment="1">
      <alignment vertical="center"/>
    </xf>
    <xf numFmtId="44" fontId="3" fillId="5" borderId="0" xfId="1" applyFont="1" applyFill="1" applyAlignment="1">
      <alignment vertical="center"/>
    </xf>
    <xf numFmtId="44" fontId="3" fillId="4" borderId="0" xfId="1" applyFont="1" applyFill="1" applyAlignment="1">
      <alignment vertical="center"/>
    </xf>
    <xf numFmtId="0" fontId="4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vertical="top" wrapText="1"/>
    </xf>
    <xf numFmtId="0" fontId="4" fillId="4" borderId="0" xfId="0" applyFont="1" applyFill="1" applyAlignment="1">
      <alignment horizontal="center" vertical="top" wrapText="1"/>
    </xf>
    <xf numFmtId="0" fontId="4" fillId="0" borderId="0" xfId="0" applyFont="1" applyAlignment="1">
      <alignment vertical="top" wrapText="1"/>
    </xf>
    <xf numFmtId="44" fontId="4" fillId="4" borderId="0" xfId="1" applyFont="1" applyFill="1" applyAlignment="1">
      <alignment horizontal="center" vertical="top" wrapText="1"/>
    </xf>
    <xf numFmtId="44" fontId="6" fillId="0" borderId="0" xfId="1" applyFont="1"/>
    <xf numFmtId="44" fontId="0" fillId="4" borderId="0" xfId="1" applyFont="1" applyFill="1"/>
    <xf numFmtId="44" fontId="0" fillId="0" borderId="0" xfId="1" applyFont="1"/>
    <xf numFmtId="0" fontId="7" fillId="0" borderId="0" xfId="0" applyFont="1" applyAlignment="1">
      <alignment vertical="center"/>
    </xf>
    <xf numFmtId="0" fontId="8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/>
    </xf>
    <xf numFmtId="0" fontId="10" fillId="6" borderId="0" xfId="0" applyFont="1" applyFill="1" applyAlignment="1">
      <alignment horizontal="right"/>
    </xf>
    <xf numFmtId="0" fontId="9" fillId="7" borderId="0" xfId="0" applyFont="1" applyFill="1" applyAlignment="1">
      <alignment horizontal="center"/>
    </xf>
    <xf numFmtId="44" fontId="0" fillId="5" borderId="0" xfId="1" quotePrefix="1" applyFont="1" applyFill="1"/>
    <xf numFmtId="44" fontId="4" fillId="3" borderId="0" xfId="1" applyFont="1" applyFill="1" applyAlignment="1">
      <alignment horizontal="center" vertical="top" wrapText="1"/>
    </xf>
    <xf numFmtId="0" fontId="3" fillId="0" borderId="0" xfId="0" applyFont="1" applyAlignment="1">
      <alignment horizontal="left" vertical="center"/>
    </xf>
    <xf numFmtId="0" fontId="4" fillId="4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center"/>
    </xf>
    <xf numFmtId="165" fontId="3" fillId="0" borderId="0" xfId="0" applyNumberFormat="1" applyFont="1" applyAlignment="1">
      <alignment horizontal="center" vertical="center"/>
    </xf>
    <xf numFmtId="165" fontId="4" fillId="2" borderId="0" xfId="0" applyNumberFormat="1" applyFont="1" applyFill="1" applyAlignment="1">
      <alignment horizontal="center" vertical="top" wrapText="1"/>
    </xf>
    <xf numFmtId="165" fontId="3" fillId="2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0" fillId="6" borderId="0" xfId="0" applyFont="1" applyFill="1" applyAlignment="1">
      <alignment horizontal="right" vertical="center"/>
    </xf>
    <xf numFmtId="0" fontId="9" fillId="7" borderId="0" xfId="0" applyFont="1" applyFill="1" applyAlignment="1">
      <alignment horizontal="center" vertical="center"/>
    </xf>
    <xf numFmtId="44" fontId="6" fillId="0" borderId="0" xfId="1" applyFont="1" applyAlignment="1">
      <alignment vertical="center"/>
    </xf>
    <xf numFmtId="0" fontId="0" fillId="0" borderId="0" xfId="0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44" fontId="4" fillId="3" borderId="0" xfId="1" applyFont="1" applyFill="1" applyAlignment="1">
      <alignment vertical="center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44" fontId="4" fillId="0" borderId="0" xfId="1" applyFont="1" applyAlignment="1">
      <alignment vertical="center"/>
    </xf>
    <xf numFmtId="44" fontId="3" fillId="0" borderId="0" xfId="1" applyFont="1" applyAlignment="1">
      <alignment horizontal="center" vertical="center"/>
    </xf>
    <xf numFmtId="44" fontId="4" fillId="2" borderId="0" xfId="1" applyFont="1" applyFill="1" applyAlignment="1">
      <alignment horizontal="center" vertical="top"/>
    </xf>
    <xf numFmtId="0" fontId="1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0" fontId="17" fillId="6" borderId="0" xfId="0" applyFont="1" applyFill="1" applyAlignment="1">
      <alignment horizontal="center"/>
    </xf>
    <xf numFmtId="0" fontId="18" fillId="7" borderId="0" xfId="0" applyFont="1" applyFill="1" applyAlignment="1">
      <alignment horizontal="center"/>
    </xf>
    <xf numFmtId="44" fontId="4" fillId="0" borderId="0" xfId="1" applyFont="1" applyAlignment="1">
      <alignment horizontal="center"/>
    </xf>
    <xf numFmtId="44" fontId="4" fillId="0" borderId="0" xfId="1" applyFont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44" fontId="4" fillId="4" borderId="0" xfId="1" applyFont="1" applyFill="1"/>
    <xf numFmtId="0" fontId="4" fillId="4" borderId="0" xfId="0" applyFont="1" applyFill="1"/>
    <xf numFmtId="0" fontId="3" fillId="0" borderId="0" xfId="0" applyFont="1" applyAlignment="1">
      <alignment horizontal="center"/>
    </xf>
    <xf numFmtId="44" fontId="3" fillId="5" borderId="0" xfId="1" quotePrefix="1" applyFont="1" applyFill="1"/>
    <xf numFmtId="0" fontId="3" fillId="5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44" fontId="3" fillId="4" borderId="0" xfId="1" applyFont="1" applyFill="1"/>
    <xf numFmtId="0" fontId="3" fillId="4" borderId="0" xfId="0" applyFont="1" applyFill="1"/>
    <xf numFmtId="44" fontId="3" fillId="0" borderId="0" xfId="1" applyFont="1"/>
    <xf numFmtId="0" fontId="0" fillId="8" borderId="0" xfId="0" applyFill="1"/>
    <xf numFmtId="0" fontId="13" fillId="8" borderId="0" xfId="0" applyFont="1" applyFill="1"/>
    <xf numFmtId="0" fontId="14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16" fillId="8" borderId="0" xfId="2" applyFont="1" applyFill="1" applyAlignment="1">
      <alignment horizontal="center" vertical="center"/>
    </xf>
    <xf numFmtId="0" fontId="16" fillId="8" borderId="0" xfId="0" applyFont="1" applyFill="1" applyAlignment="1">
      <alignment vertical="center"/>
    </xf>
    <xf numFmtId="0" fontId="19" fillId="9" borderId="1" xfId="2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4" borderId="0" xfId="0" applyFont="1" applyFill="1" applyAlignment="1">
      <alignment horizontal="left" vertical="top" wrapText="1"/>
    </xf>
    <xf numFmtId="0" fontId="7" fillId="4" borderId="0" xfId="0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top" wrapText="1"/>
    </xf>
    <xf numFmtId="0" fontId="3" fillId="5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14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5" borderId="0" xfId="0" applyFont="1" applyFill="1" applyAlignment="1">
      <alignment horizontal="center" vertical="top" wrapText="1"/>
    </xf>
    <xf numFmtId="44" fontId="3" fillId="5" borderId="0" xfId="1" applyFont="1" applyFill="1" applyAlignment="1">
      <alignment vertical="top" wrapText="1"/>
    </xf>
    <xf numFmtId="0" fontId="7" fillId="0" borderId="0" xfId="0" applyFont="1" applyAlignment="1">
      <alignment vertical="top" wrapText="1"/>
    </xf>
    <xf numFmtId="165" fontId="3" fillId="0" borderId="0" xfId="0" applyNumberFormat="1" applyFont="1" applyAlignment="1">
      <alignment horizontal="center" vertical="top" wrapText="1"/>
    </xf>
    <xf numFmtId="0" fontId="7" fillId="5" borderId="0" xfId="0" applyFont="1" applyFill="1" applyAlignment="1">
      <alignment horizontal="left" vertical="top" wrapText="1"/>
    </xf>
    <xf numFmtId="0" fontId="0" fillId="0" borderId="0" xfId="0" applyAlignment="1">
      <alignment vertical="top" wrapText="1"/>
    </xf>
    <xf numFmtId="44" fontId="6" fillId="4" borderId="0" xfId="1" applyFont="1" applyFill="1" applyAlignment="1">
      <alignment horizontal="center" vertical="top" wrapText="1"/>
    </xf>
    <xf numFmtId="0" fontId="1" fillId="0" borderId="0" xfId="0" pivotButton="1" applyFont="1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14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top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166" fontId="3" fillId="0" borderId="0" xfId="0" applyNumberFormat="1" applyFont="1" applyAlignment="1">
      <alignment vertical="center"/>
    </xf>
    <xf numFmtId="166" fontId="4" fillId="4" borderId="0" xfId="0" applyNumberFormat="1" applyFont="1" applyFill="1" applyAlignment="1">
      <alignment vertical="top"/>
    </xf>
    <xf numFmtId="166" fontId="1" fillId="5" borderId="0" xfId="0" applyNumberFormat="1" applyFont="1" applyFill="1" applyAlignment="1">
      <alignment vertical="center"/>
    </xf>
    <xf numFmtId="166" fontId="1" fillId="0" borderId="0" xfId="0" applyNumberFormat="1" applyFont="1" applyAlignment="1">
      <alignment vertical="center"/>
    </xf>
    <xf numFmtId="0" fontId="1" fillId="0" borderId="0" xfId="0" quotePrefix="1" applyFont="1" applyAlignment="1">
      <alignment vertical="top" wrapText="1"/>
    </xf>
    <xf numFmtId="49" fontId="3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top" wrapText="1"/>
    </xf>
    <xf numFmtId="49" fontId="3" fillId="5" borderId="0" xfId="0" applyNumberFormat="1" applyFont="1" applyFill="1" applyAlignment="1">
      <alignment horizontal="center" vertical="top" wrapText="1"/>
    </xf>
    <xf numFmtId="49" fontId="3" fillId="4" borderId="0" xfId="0" applyNumberFormat="1" applyFont="1" applyFill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2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name val="Arial"/>
        <scheme val="none"/>
      </font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7/relationships/slicerCache" Target="slicerCaches/slicerCache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[Facturation occupation domaine public.xlsm]Synthèses!Tableau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Synthèses!$B$3:$B$4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cat>
            <c:strRef>
              <c:f>Synthèses!$A$5:$A$8</c:f>
              <c:strCache>
                <c:ptCount val="3"/>
                <c:pt idx="0">
                  <c:v>Entreprises</c:v>
                </c:pt>
                <c:pt idx="1">
                  <c:v>Services</c:v>
                </c:pt>
                <c:pt idx="2">
                  <c:v>Terrasses</c:v>
                </c:pt>
              </c:strCache>
            </c:strRef>
          </c:cat>
          <c:val>
            <c:numRef>
              <c:f>Synthèses!$B$5:$B$8</c:f>
              <c:numCache>
                <c:formatCode>#,##0.00\ "€"</c:formatCode>
                <c:ptCount val="3"/>
                <c:pt idx="0">
                  <c:v>100</c:v>
                </c:pt>
                <c:pt idx="1">
                  <c:v>320</c:v>
                </c:pt>
                <c:pt idx="2">
                  <c:v>333.33333333333331</c:v>
                </c:pt>
              </c:numCache>
            </c:numRef>
          </c:val>
        </c:ser>
        <c:ser>
          <c:idx val="1"/>
          <c:order val="1"/>
          <c:tx>
            <c:strRef>
              <c:f>Synthèses!$C$3:$C$4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strRef>
              <c:f>Synthèses!$A$5:$A$8</c:f>
              <c:strCache>
                <c:ptCount val="3"/>
                <c:pt idx="0">
                  <c:v>Entreprises</c:v>
                </c:pt>
                <c:pt idx="1">
                  <c:v>Services</c:v>
                </c:pt>
                <c:pt idx="2">
                  <c:v>Terrasses</c:v>
                </c:pt>
              </c:strCache>
            </c:strRef>
          </c:cat>
          <c:val>
            <c:numRef>
              <c:f>Synthèses!$C$5:$C$8</c:f>
              <c:numCache>
                <c:formatCode>#,##0.00\ "€"</c:formatCode>
                <c:ptCount val="3"/>
                <c:pt idx="2">
                  <c:v>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03725440"/>
        <c:axId val="203727232"/>
        <c:axId val="0"/>
      </c:bar3DChart>
      <c:catAx>
        <c:axId val="203725440"/>
        <c:scaling>
          <c:orientation val="minMax"/>
        </c:scaling>
        <c:delete val="0"/>
        <c:axPos val="b"/>
        <c:majorTickMark val="out"/>
        <c:minorTickMark val="none"/>
        <c:tickLblPos val="nextTo"/>
        <c:crossAx val="203727232"/>
        <c:crosses val="autoZero"/>
        <c:auto val="1"/>
        <c:lblAlgn val="ctr"/>
        <c:lblOffset val="100"/>
        <c:noMultiLvlLbl val="0"/>
      </c:catAx>
      <c:valAx>
        <c:axId val="20372723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2037254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57151</xdr:colOff>
      <xdr:row>1</xdr:row>
      <xdr:rowOff>64845</xdr:rowOff>
    </xdr:from>
    <xdr:to>
      <xdr:col>1</xdr:col>
      <xdr:colOff>2400301</xdr:colOff>
      <xdr:row>8</xdr:row>
      <xdr:rowOff>19050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769695"/>
          <a:ext cx="2343150" cy="2783130"/>
        </a:xfrm>
        <a:prstGeom prst="rect">
          <a:avLst/>
        </a:prstGeom>
        <a:effectLst>
          <a:reflection blurRad="6350" stA="50000" endA="300" endPos="55500" dist="101600" dir="5400000" sy="-100000" algn="bl" rotWithShape="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12</xdr:row>
      <xdr:rowOff>152400</xdr:rowOff>
    </xdr:from>
    <xdr:to>
      <xdr:col>1</xdr:col>
      <xdr:colOff>285750</xdr:colOff>
      <xdr:row>26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Type d'occup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'occup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2438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381000</xdr:colOff>
      <xdr:row>12</xdr:row>
      <xdr:rowOff>161925</xdr:rowOff>
    </xdr:from>
    <xdr:to>
      <xdr:col>2</xdr:col>
      <xdr:colOff>790575</xdr:colOff>
      <xdr:row>26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Imput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mput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85975" y="24479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857250</xdr:colOff>
      <xdr:row>12</xdr:row>
      <xdr:rowOff>161925</xdr:rowOff>
    </xdr:from>
    <xdr:to>
      <xdr:col>3</xdr:col>
      <xdr:colOff>1266825</xdr:colOff>
      <xdr:row>26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81450" y="24479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1352550</xdr:colOff>
      <xdr:row>12</xdr:row>
      <xdr:rowOff>171450</xdr:rowOff>
    </xdr:from>
    <xdr:to>
      <xdr:col>5</xdr:col>
      <xdr:colOff>342900</xdr:colOff>
      <xdr:row>26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Périod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o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95975" y="2457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447675</xdr:colOff>
      <xdr:row>12</xdr:row>
      <xdr:rowOff>180975</xdr:rowOff>
    </xdr:from>
    <xdr:to>
      <xdr:col>7</xdr:col>
      <xdr:colOff>752475</xdr:colOff>
      <xdr:row>26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Catégorie d'occup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 d'occup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29550" y="24669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0</xdr:col>
      <xdr:colOff>176211</xdr:colOff>
      <xdr:row>26</xdr:row>
      <xdr:rowOff>128587</xdr:rowOff>
    </xdr:from>
    <xdr:to>
      <xdr:col>7</xdr:col>
      <xdr:colOff>742949</xdr:colOff>
      <xdr:row>45</xdr:row>
      <xdr:rowOff>161925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306915</xdr:colOff>
      <xdr:row>1</xdr:row>
      <xdr:rowOff>95249</xdr:rowOff>
    </xdr:from>
    <xdr:to>
      <xdr:col>6</xdr:col>
      <xdr:colOff>3153832</xdr:colOff>
      <xdr:row>1</xdr:row>
      <xdr:rowOff>563326</xdr:rowOff>
    </xdr:to>
    <xdr:sp macro="" textlink="">
      <xdr:nvSpPr>
        <xdr:cNvPr id="2" name="ZoneTexte 1"/>
        <xdr:cNvSpPr txBox="1"/>
      </xdr:nvSpPr>
      <xdr:spPr>
        <a:xfrm>
          <a:off x="5291665" y="338666"/>
          <a:ext cx="7291917" cy="468077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200" b="1"/>
            <a:t>Attention : toujours laisser</a:t>
          </a:r>
          <a:r>
            <a:rPr lang="fr-FR" sz="1200" b="1" baseline="0"/>
            <a:t> cette liste triée par ordre croissant d'identifiant (colonne G) !</a:t>
          </a:r>
          <a:br>
            <a:rPr lang="fr-FR" sz="1200" b="1" baseline="0"/>
          </a:br>
          <a:r>
            <a:rPr lang="fr-FR" sz="1200" b="1" baseline="0"/>
            <a:t>A vérifier notamment après chaque ajout de tarif...</a:t>
          </a:r>
          <a:endParaRPr lang="fr-FR" sz="1200" b="1"/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ldcor" refreshedDate="42875.446186574074" createdVersion="4" refreshedVersion="4" minRefreshableVersion="3" recordCount="6">
  <cacheSource type="worksheet">
    <worksheetSource ref="A3:AA10" sheet="Données"/>
  </cacheSource>
  <cacheFields count="26">
    <cacheField name="Engagement" numFmtId="0">
      <sharedItems containsBlank="1"/>
    </cacheField>
    <cacheField name="Type d'occupation" numFmtId="0">
      <sharedItems count="6">
        <s v="Terrasse 1ère catégorie"/>
        <s v="Terrasse 2ème catégorie"/>
        <s v="Terrasse 3ème catégorie"/>
        <s v="Abaissement des bordures de trottoir"/>
        <s v="Aménagement des aires de trottoirs"/>
        <s v="Echafaudage"/>
      </sharedItems>
    </cacheField>
    <cacheField name="Début occupation" numFmtId="14">
      <sharedItems containsSemiMixedTypes="0" containsNonDate="0" containsDate="1" containsString="0" minDate="2016-05-01T00:00:00" maxDate="2017-06-02T00:00:00"/>
    </cacheField>
    <cacheField name="Fin occupation" numFmtId="0">
      <sharedItems containsNonDate="0" containsDate="1" containsString="0" containsBlank="1" minDate="2016-07-15T00:00:00" maxDate="2017-08-31T00:00:00"/>
    </cacheField>
    <cacheField name="Adresse occupation" numFmtId="0">
      <sharedItems containsBlank="1"/>
    </cacheField>
    <cacheField name="Quantité" numFmtId="0">
      <sharedItems containsSemiMixedTypes="0" containsString="0" containsNumber="1" containsInteger="1" minValue="10" maxValue="20"/>
    </cacheField>
    <cacheField name="Unité" numFmtId="0">
      <sharedItems/>
    </cacheField>
    <cacheField name="Mode de calcul" numFmtId="0">
      <sharedItems/>
    </cacheField>
    <cacheField name="Tarif unitaire" numFmtId="44">
      <sharedItems containsSemiMixedTypes="0" containsString="0" containsNumber="1" containsInteger="1" minValue="5" maxValue="30"/>
    </cacheField>
    <cacheField name="Durée" numFmtId="0">
      <sharedItems containsMixedTypes="1" containsNumber="1" containsInteger="1" minValue="1" maxValue="3"/>
    </cacheField>
    <cacheField name="Montant facturé" numFmtId="44">
      <sharedItems containsSemiMixedTypes="0" containsString="0" containsNumber="1" minValue="33.333333333333336" maxValue="300"/>
    </cacheField>
    <cacheField name="Imputation" numFmtId="0">
      <sharedItems count="3">
        <s v="DST/// : Terrasses"/>
        <s v="DST/// : Services"/>
        <s v="DST/// : Entreprises"/>
      </sharedItems>
    </cacheField>
    <cacheField name="Raison sociale" numFmtId="0">
      <sharedItems containsBlank="1"/>
    </cacheField>
    <cacheField name="Civilité" numFmtId="0">
      <sharedItems containsBlank="1"/>
    </cacheField>
    <cacheField name="Nom Prénom" numFmtId="0">
      <sharedItems containsBlank="1"/>
    </cacheField>
    <cacheField name="Adresse" numFmtId="0">
      <sharedItems containsBlank="1"/>
    </cacheField>
    <cacheField name="CP" numFmtId="165">
      <sharedItems containsString="0" containsBlank="1" containsNumber="1" containsInteger="1" minValue="42153" maxValue="42153"/>
    </cacheField>
    <cacheField name="Ville" numFmtId="0">
      <sharedItems containsBlank="1"/>
    </cacheField>
    <cacheField name="Téléphone 1" numFmtId="0">
      <sharedItems containsNonDate="0" containsString="0" containsBlank="1"/>
    </cacheField>
    <cacheField name="Téléphone 2" numFmtId="0">
      <sharedItems containsNonDate="0" containsString="0" containsBlank="1"/>
    </cacheField>
    <cacheField name="Mail" numFmtId="0">
      <sharedItems containsNonDate="0" containsString="0" containsBlank="1"/>
    </cacheField>
    <cacheField name="Observations" numFmtId="0">
      <sharedItems containsNonDate="0" containsString="0" containsBlank="1"/>
    </cacheField>
    <cacheField name="Année" numFmtId="0">
      <sharedItems containsSemiMixedTypes="0" containsString="0" containsNumber="1" containsInteger="1" minValue="2016" maxValue="2018" count="3">
        <n v="2017"/>
        <n v="2016"/>
        <n v="2018" u="1"/>
      </sharedItems>
    </cacheField>
    <cacheField name="Période" numFmtId="0">
      <sharedItems count="9">
        <s v="2017 - 06"/>
        <s v="2016 - 07"/>
        <s v="2016 - 05"/>
        <s v="2016 - 09"/>
        <s v="2016 - 04" u="1"/>
        <e v="#REF!" u="1"/>
        <s v="2018 - 05" u="1"/>
        <s v="2017 - 05" u="1"/>
        <s v="2017 - 04" u="1"/>
      </sharedItems>
    </cacheField>
    <cacheField name="Catégorie d'occupation" numFmtId="0">
      <sharedItems count="3">
        <s v="Terrasses"/>
        <s v="Services"/>
        <s v="Entreprises"/>
      </sharedItems>
    </cacheField>
    <cacheField name="Identifiant occupation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m/>
    <x v="0"/>
    <d v="2017-06-01T00:00:00"/>
    <d v="2017-08-30T00:00:00"/>
    <s v="34 rue Joanny Augé "/>
    <n v="10"/>
    <s v="m²"/>
    <s v="Surface par mois par tarif"/>
    <n v="30"/>
    <n v="3"/>
    <n v="75"/>
    <x v="0"/>
    <s v="Bar Snack le Flash’Bar"/>
    <s v="Madame"/>
    <s v="CAPDEVIELLE Christiane"/>
    <s v="34 rue Joanny Augé "/>
    <n v="42153"/>
    <s v="Riorges"/>
    <m/>
    <m/>
    <m/>
    <m/>
    <x v="0"/>
    <x v="0"/>
    <x v="0"/>
    <s v="Terrasse 1ère catégorie - 2017/06"/>
  </r>
  <r>
    <s v="DST170025"/>
    <x v="1"/>
    <d v="2016-07-13T00:00:00"/>
    <d v="2016-07-15T00:00:00"/>
    <s v="12 rue Léon Blum"/>
    <n v="20"/>
    <s v="m²"/>
    <s v="Surface par mois par tarif"/>
    <n v="20"/>
    <n v="1"/>
    <n v="33.333333333333336"/>
    <x v="0"/>
    <s v="Bar les Poupées"/>
    <s v="Monsieur"/>
    <s v="CHAUVET Sébastien"/>
    <s v="22 rue de Saint Romain"/>
    <n v="42153"/>
    <s v="Riorges"/>
    <m/>
    <m/>
    <m/>
    <m/>
    <x v="1"/>
    <x v="1"/>
    <x v="0"/>
    <s v="Terrasse 2ème catégorie - 2016/07"/>
  </r>
  <r>
    <s v="DST170025"/>
    <x v="2"/>
    <d v="2016-07-13T00:00:00"/>
    <d v="2016-07-15T00:00:00"/>
    <s v="12 rue Léon Blum"/>
    <n v="20"/>
    <s v="m²"/>
    <s v="Surface par jour par tarif"/>
    <n v="5"/>
    <n v="3"/>
    <n v="300"/>
    <x v="0"/>
    <s v="Bar les Poupées"/>
    <s v="Monsieur"/>
    <s v="CHAUVET Sébastien"/>
    <s v="22 rue de Saint Romain"/>
    <n v="42153"/>
    <s v="Riorges"/>
    <m/>
    <m/>
    <m/>
    <m/>
    <x v="1"/>
    <x v="1"/>
    <x v="0"/>
    <s v="Terrasse 3ème catégorie - 2016/07"/>
  </r>
  <r>
    <s v="DST160025"/>
    <x v="3"/>
    <d v="2016-05-01T00:00:00"/>
    <m/>
    <m/>
    <n v="10"/>
    <s v="mètre linéaire"/>
    <s v="Mètres linéaire par tarif"/>
    <n v="12"/>
    <s v="sans objet"/>
    <n v="120"/>
    <x v="1"/>
    <m/>
    <m/>
    <m/>
    <m/>
    <m/>
    <m/>
    <m/>
    <m/>
    <m/>
    <m/>
    <x v="1"/>
    <x v="2"/>
    <x v="1"/>
    <s v="Abaissement des bordures de trottoir - 2016/05"/>
  </r>
  <r>
    <s v="DST160025"/>
    <x v="4"/>
    <d v="2016-05-01T00:00:00"/>
    <m/>
    <m/>
    <n v="10"/>
    <s v="m²"/>
    <s v="Surface par tarif"/>
    <n v="20"/>
    <s v="sans objet"/>
    <n v="200"/>
    <x v="1"/>
    <m/>
    <m/>
    <m/>
    <m/>
    <m/>
    <m/>
    <m/>
    <m/>
    <m/>
    <m/>
    <x v="1"/>
    <x v="2"/>
    <x v="1"/>
    <s v="Aménagement des aires de trottoirs - 2016/05"/>
  </r>
  <r>
    <s v="DST180025"/>
    <x v="5"/>
    <d v="2016-09-01T00:00:00"/>
    <m/>
    <m/>
    <n v="10"/>
    <s v="m²"/>
    <s v="Surface par tarif"/>
    <n v="10"/>
    <s v="sans objet"/>
    <n v="100"/>
    <x v="2"/>
    <m/>
    <m/>
    <m/>
    <m/>
    <m/>
    <m/>
    <m/>
    <m/>
    <m/>
    <m/>
    <x v="1"/>
    <x v="3"/>
    <x v="2"/>
    <s v="Echafaudage - 2016/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 chartFormat="1">
  <location ref="A3:D8" firstHeaderRow="1" firstDataRow="2" firstDataCol="1"/>
  <pivotFields count="26">
    <pivotField compact="0" outline="0" showAll="0"/>
    <pivotField compact="0" outline="0" showAll="0">
      <items count="7">
        <item x="3"/>
        <item x="4"/>
        <item x="5"/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44" outline="0" showAll="0"/>
    <pivotField compact="0" outline="0" showAll="0" defaultSubtotal="0"/>
    <pivotField dataField="1" compact="0" numFmtId="44" outline="0" showAll="0"/>
    <pivotField compact="0" outline="0" showAll="0">
      <items count="4">
        <item x="2"/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4">
        <item x="1"/>
        <item x="0"/>
        <item m="1" x="2"/>
        <item t="default"/>
      </items>
    </pivotField>
    <pivotField compact="0" outline="0" showAll="0">
      <items count="10">
        <item m="1" x="4"/>
        <item x="2"/>
        <item x="1"/>
        <item x="3"/>
        <item m="1" x="8"/>
        <item m="1" x="7"/>
        <item x="0"/>
        <item m="1" x="6"/>
        <item m="1" x="5"/>
        <item t="default"/>
      </items>
    </pivotField>
    <pivotField axis="axisRow" compact="0" outline="0" showAll="0">
      <items count="4">
        <item x="2"/>
        <item x="1"/>
        <item x="0"/>
        <item t="default"/>
      </items>
    </pivotField>
    <pivotField compact="0" outline="0" showAll="0" defaultSubtotal="0"/>
  </pivotFields>
  <rowFields count="1">
    <field x="24"/>
  </rowFields>
  <rowItems count="4">
    <i>
      <x/>
    </i>
    <i>
      <x v="1"/>
    </i>
    <i>
      <x v="2"/>
    </i>
    <i t="grand">
      <x/>
    </i>
  </rowItems>
  <colFields count="1">
    <field x="22"/>
  </colFields>
  <colItems count="3">
    <i>
      <x/>
    </i>
    <i>
      <x v="1"/>
    </i>
    <i t="grand">
      <x/>
    </i>
  </colItems>
  <dataFields count="1">
    <dataField name="Somme de Montant facturé" fld="10" baseField="24" baseItem="1" numFmtId="164"/>
  </dataFields>
  <formats count="2">
    <format dxfId="26">
      <pivotArea dataOnly="0" labelOnly="1" grandCol="1" outline="0" fieldPosition="0"/>
    </format>
    <format dxfId="25">
      <pivotArea type="all" dataOnly="0" outline="0" fieldPosition="0"/>
    </format>
  </formats>
  <chartFormats count="3"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_d_occupation" sourceName="Type d'occupation">
  <pivotTables>
    <pivotTable tabId="6" name="Tableau croisé dynamique1"/>
  </pivotTables>
  <data>
    <tabular pivotCacheId="1">
      <items count="6">
        <i x="3" s="1"/>
        <i x="4" s="1"/>
        <i x="5" s="1"/>
        <i x="0" s="1"/>
        <i x="1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mputation" sourceName="Imputation">
  <pivotTables>
    <pivotTable tabId="6" name="Tableau croisé dynamique1"/>
  </pivotTables>
  <data>
    <tabular pivotCacheId="1">
      <items count="3">
        <i x="2" s="1"/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6" name="Tableau croisé dynamique1"/>
  </pivotTables>
  <data>
    <tabular pivotCacheId="1">
      <items count="3">
        <i x="1" s="1"/>
        <i x="0" s="1"/>
        <i x="2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ériode" sourceName="Période">
  <pivotTables>
    <pivotTable tabId="6" name="Tableau croisé dynamique1"/>
  </pivotTables>
  <data>
    <tabular pivotCacheId="1">
      <items count="9">
        <i x="2" s="1"/>
        <i x="1" s="1"/>
        <i x="3" s="1"/>
        <i x="0" s="1"/>
        <i x="4" s="1" nd="1"/>
        <i x="8" s="1" nd="1"/>
        <i x="7" s="1" nd="1"/>
        <i x="6" s="1" nd="1"/>
        <i x="5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_d_occupation" sourceName="Catégorie d'occupation">
  <pivotTables>
    <pivotTable tabId="6" name="Tableau croisé dynamique1"/>
  </pivotTables>
  <data>
    <tabular pivotCacheId="1">
      <items count="3">
        <i x="2" s="1"/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ype d'occupation" cache="Segment_Type_d_occupation" caption="Type d'occupation" rowHeight="241300"/>
  <slicer name="Imputation" cache="Segment_Imputation" caption="Imputation" rowHeight="241300"/>
  <slicer name="Année" cache="Segment_Année" caption="Année" rowHeight="241300"/>
  <slicer name="Période" cache="Segment_Période" caption="Période" rowHeight="241300"/>
  <slicer name="Catégorie d'occupation" cache="Segment_Catégorie_d_occupation" caption="Catégorie d'occupation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G15"/>
  <sheetViews>
    <sheetView tabSelected="1" workbookViewId="0">
      <selection activeCell="G8" sqref="G8"/>
    </sheetView>
  </sheetViews>
  <sheetFormatPr baseColWidth="10" defaultRowHeight="15" x14ac:dyDescent="0.25"/>
  <cols>
    <col min="1" max="1" width="11.42578125" style="71"/>
    <col min="2" max="2" width="45" style="71" customWidth="1"/>
    <col min="3" max="3" width="27.140625" style="71" customWidth="1"/>
    <col min="4" max="4" width="5.5703125" style="71" customWidth="1"/>
    <col min="5" max="5" width="27.140625" style="71" customWidth="1"/>
    <col min="6" max="6" width="5.5703125" style="71" customWidth="1"/>
    <col min="7" max="7" width="27.140625" style="71" customWidth="1"/>
    <col min="8" max="10" width="24.28515625" style="71" customWidth="1"/>
    <col min="11" max="16384" width="11.42578125" style="71"/>
  </cols>
  <sheetData>
    <row r="1" spans="3:7" ht="55.5" customHeight="1" x14ac:dyDescent="0.25"/>
    <row r="2" spans="3:7" ht="24" customHeight="1" x14ac:dyDescent="0.45">
      <c r="C2" s="72" t="str">
        <f>Collectivité</f>
        <v>Ville d'Excel-les-Bains</v>
      </c>
      <c r="D2" s="72"/>
    </row>
    <row r="3" spans="3:7" ht="24" customHeight="1" x14ac:dyDescent="0.45">
      <c r="C3" s="72" t="str">
        <f>Service</f>
        <v>Direction Cadre de vie</v>
      </c>
      <c r="D3" s="72"/>
    </row>
    <row r="4" spans="3:7" s="74" customFormat="1" ht="66" customHeight="1" x14ac:dyDescent="0.25">
      <c r="C4" s="73" t="str">
        <f>Titre</f>
        <v>Facturation de l'occupation du domaine public</v>
      </c>
      <c r="D4" s="73"/>
    </row>
    <row r="5" spans="3:7" ht="15.75" thickBot="1" x14ac:dyDescent="0.3"/>
    <row r="6" spans="3:7" s="76" customFormat="1" ht="39" customHeight="1" thickTop="1" thickBot="1" x14ac:dyDescent="0.3">
      <c r="C6" s="77" t="s">
        <v>68</v>
      </c>
      <c r="D6" s="75"/>
      <c r="E6" s="77" t="s">
        <v>70</v>
      </c>
      <c r="F6" s="75"/>
      <c r="G6" s="77" t="s">
        <v>72</v>
      </c>
    </row>
    <row r="7" spans="3:7" s="76" customFormat="1" ht="15" customHeight="1" thickTop="1" thickBot="1" x14ac:dyDescent="0.3">
      <c r="C7" s="75"/>
      <c r="D7" s="75"/>
      <c r="E7" s="75"/>
      <c r="F7" s="75"/>
      <c r="G7" s="75"/>
    </row>
    <row r="8" spans="3:7" s="76" customFormat="1" ht="39" customHeight="1" thickTop="1" thickBot="1" x14ac:dyDescent="0.3">
      <c r="C8" s="77" t="s">
        <v>69</v>
      </c>
      <c r="D8" s="75"/>
      <c r="E8" s="77" t="s">
        <v>71</v>
      </c>
      <c r="F8" s="75"/>
      <c r="G8" s="77" t="s">
        <v>73</v>
      </c>
    </row>
    <row r="9" spans="3:7" ht="39" customHeight="1" thickTop="1" x14ac:dyDescent="0.25"/>
    <row r="10" spans="3:7" ht="39" customHeight="1" x14ac:dyDescent="0.25"/>
    <row r="11" spans="3:7" ht="39" customHeight="1" x14ac:dyDescent="0.25"/>
    <row r="12" spans="3:7" ht="39" customHeight="1" x14ac:dyDescent="0.25"/>
    <row r="13" spans="3:7" ht="39" customHeight="1" x14ac:dyDescent="0.25"/>
    <row r="14" spans="3:7" ht="39" customHeight="1" x14ac:dyDescent="0.25"/>
    <row r="15" spans="3:7" ht="39" customHeight="1" x14ac:dyDescent="0.25"/>
  </sheetData>
  <hyperlinks>
    <hyperlink ref="C6" location="Données!A1" display="Données"/>
    <hyperlink ref="C8" location="Synthèses!A1" display="Synthèses"/>
    <hyperlink ref="E6" location="Tarifs!A1" display="Tarifs"/>
    <hyperlink ref="E8" location="Imputations!A1" display="Imputations"/>
    <hyperlink ref="G6" location="'Types d''occupation'!A1" display="Types d'occupation"/>
    <hyperlink ref="G8" location="Paramètres!A1" display="Paramètres"/>
  </hyperlink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V14"/>
  <sheetViews>
    <sheetView zoomScale="90" zoomScaleNormal="90"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W6" sqref="W6"/>
    </sheetView>
  </sheetViews>
  <sheetFormatPr baseColWidth="10" defaultRowHeight="16.5" x14ac:dyDescent="0.25"/>
  <cols>
    <col min="1" max="1" width="15.7109375" style="2" customWidth="1"/>
    <col min="2" max="2" width="25" style="2" customWidth="1"/>
    <col min="3" max="4" width="14.85546875" style="11" customWidth="1"/>
    <col min="5" max="5" width="33.7109375" style="2" customWidth="1"/>
    <col min="6" max="7" width="11.28515625" style="11" customWidth="1"/>
    <col min="8" max="8" width="18.85546875" style="84" customWidth="1"/>
    <col min="9" max="9" width="13" style="14" customWidth="1"/>
    <col min="10" max="10" width="21.5703125" style="113" customWidth="1"/>
    <col min="11" max="11" width="18.42578125" style="11" customWidth="1"/>
    <col min="12" max="12" width="14.7109375" style="14" customWidth="1"/>
    <col min="13" max="13" width="30.28515625" style="25" customWidth="1"/>
    <col min="14" max="14" width="22.28515625" style="2" customWidth="1"/>
    <col min="15" max="15" width="17" style="2" customWidth="1"/>
    <col min="16" max="16" width="17.85546875" style="2" customWidth="1"/>
    <col min="17" max="17" width="20.85546875" style="2" customWidth="1"/>
    <col min="18" max="18" width="9" style="35" bestFit="1" customWidth="1"/>
    <col min="19" max="19" width="16.85546875" style="2" customWidth="1"/>
    <col min="20" max="21" width="15.7109375" style="2" customWidth="1"/>
    <col min="22" max="22" width="24" style="2" customWidth="1"/>
    <col min="23" max="23" width="24.85546875" style="2" customWidth="1"/>
    <col min="24" max="24" width="11.28515625" style="11" customWidth="1"/>
    <col min="25" max="25" width="11.7109375" style="11" customWidth="1"/>
    <col min="26" max="26" width="27.28515625" style="32" bestFit="1" customWidth="1"/>
    <col min="27" max="28" width="24.7109375" style="78" customWidth="1"/>
    <col min="29" max="54" width="11.42578125" style="2"/>
    <col min="55" max="74" width="11.42578125" style="1"/>
  </cols>
  <sheetData>
    <row r="1" spans="1:74" ht="20.25" x14ac:dyDescent="0.25">
      <c r="A1" s="38" t="str">
        <f>Titre&amp;" - Données de facturation"</f>
        <v>Facturation de l'occupation du domaine public - Données de facturation</v>
      </c>
      <c r="L1" s="49">
        <f ca="1">SUBTOTAL(9,L3:L11)</f>
        <v>0</v>
      </c>
    </row>
    <row r="3" spans="1:74" s="20" customFormat="1" ht="40.5" customHeight="1" x14ac:dyDescent="0.25">
      <c r="A3" s="18" t="s">
        <v>19</v>
      </c>
      <c r="B3" s="18" t="s">
        <v>24</v>
      </c>
      <c r="C3" s="17" t="s">
        <v>44</v>
      </c>
      <c r="D3" s="17" t="s">
        <v>45</v>
      </c>
      <c r="E3" s="18" t="s">
        <v>23</v>
      </c>
      <c r="F3" s="17" t="s">
        <v>16</v>
      </c>
      <c r="G3" s="19" t="s">
        <v>17</v>
      </c>
      <c r="H3" s="33" t="s">
        <v>25</v>
      </c>
      <c r="I3" s="21" t="s">
        <v>42</v>
      </c>
      <c r="J3" s="114" t="s">
        <v>101</v>
      </c>
      <c r="K3" s="19" t="s">
        <v>76</v>
      </c>
      <c r="L3" s="21" t="s">
        <v>9</v>
      </c>
      <c r="M3" s="26" t="s">
        <v>18</v>
      </c>
      <c r="N3" s="18" t="s">
        <v>0</v>
      </c>
      <c r="O3" s="18" t="s">
        <v>3</v>
      </c>
      <c r="P3" s="18" t="s">
        <v>4</v>
      </c>
      <c r="Q3" s="18" t="s">
        <v>1</v>
      </c>
      <c r="R3" s="36" t="s">
        <v>13</v>
      </c>
      <c r="S3" s="18" t="s">
        <v>14</v>
      </c>
      <c r="T3" s="18" t="s">
        <v>2</v>
      </c>
      <c r="U3" s="18" t="s">
        <v>15</v>
      </c>
      <c r="V3" s="18" t="s">
        <v>5</v>
      </c>
      <c r="W3" s="18" t="s">
        <v>6</v>
      </c>
      <c r="X3" s="19" t="s">
        <v>53</v>
      </c>
      <c r="Y3" s="19" t="s">
        <v>41</v>
      </c>
      <c r="Z3" s="33" t="s">
        <v>31</v>
      </c>
      <c r="AA3" s="79" t="s">
        <v>64</v>
      </c>
      <c r="AB3" s="79" t="s">
        <v>63</v>
      </c>
    </row>
    <row r="4" spans="1:74" s="97" customFormat="1" ht="36" customHeight="1" x14ac:dyDescent="0.25">
      <c r="A4" s="88"/>
      <c r="B4" s="89" t="s">
        <v>87</v>
      </c>
      <c r="C4" s="90">
        <v>42887</v>
      </c>
      <c r="D4" s="90">
        <v>42978</v>
      </c>
      <c r="E4" s="87" t="s">
        <v>85</v>
      </c>
      <c r="F4" s="91">
        <v>13</v>
      </c>
      <c r="G4" s="92" t="str">
        <f t="shared" ref="G4:G10" si="0">IFERROR(VLOOKUP(B4,Types,2,FALSE),"")</f>
        <v>jour</v>
      </c>
      <c r="H4" s="85" t="str">
        <f t="shared" ref="H4:H10" si="1">IFERROR(VLOOKUP(B4,Types,3,FALSE),"")</f>
        <v>Par nombre de jours dans le mois</v>
      </c>
      <c r="I4" s="93">
        <f t="shared" ref="I4:I10" si="2">IFERROR(INDEX(Tarifs,MATCH(AA4,Identifiants_Tarifs,1),3),"")</f>
        <v>10</v>
      </c>
      <c r="J4" s="115">
        <f>IFERROR(VLOOKUP(Mode_Calcul,Modes_Calcul,2,FALSE),"")</f>
        <v>0</v>
      </c>
      <c r="K4" s="92">
        <f ca="1">Définir_Durée(J4)</f>
        <v>0</v>
      </c>
      <c r="L4" s="93" t="str">
        <f ca="1">IFERROR(Définir_Montant(VLOOKUP(Mode_Calcul,Modes_Calcul,3,FALSE)),"")</f>
        <v/>
      </c>
      <c r="M4" s="94" t="s">
        <v>56</v>
      </c>
      <c r="N4" s="87"/>
      <c r="O4" s="88"/>
      <c r="P4" s="87"/>
      <c r="Q4" s="87"/>
      <c r="R4" s="95"/>
      <c r="S4" s="87"/>
      <c r="T4" s="87"/>
      <c r="U4" s="88"/>
      <c r="V4" s="88"/>
      <c r="W4" s="88"/>
      <c r="X4" s="92">
        <f>YEAR(C4)</f>
        <v>2017</v>
      </c>
      <c r="Y4" s="92" t="str">
        <f>YEAR(C4)&amp;" - "&amp;TEXT(MONTH(C4),"00")</f>
        <v>2017 - 06</v>
      </c>
      <c r="Z4" s="85" t="str">
        <f>IFERROR(VLOOKUP(B4,Types,4,FALSE),"")</f>
        <v>Ambulant</v>
      </c>
      <c r="AA4" s="96" t="str">
        <f>B4&amp;" - "&amp;TEXT(C4,"aaaa/mm")</f>
        <v>Restauration rapide occasionnelle - 2017/06</v>
      </c>
      <c r="AB4" s="96" t="str">
        <f t="shared" ref="AB4:AB10" si="3">IFERROR(INDEX(Tarifs,MATCH(AA4,Identifiants_Tarifs,1),7),"")</f>
        <v>Restauration rapide occasionnelle - 2017/05</v>
      </c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  <c r="BM4" s="88"/>
      <c r="BN4" s="88"/>
      <c r="BO4" s="88"/>
      <c r="BP4" s="88"/>
      <c r="BQ4" s="88"/>
      <c r="BR4" s="88"/>
      <c r="BS4" s="88"/>
      <c r="BT4" s="88"/>
      <c r="BU4" s="88"/>
      <c r="BV4" s="88"/>
    </row>
    <row r="5" spans="1:74" s="97" customFormat="1" ht="36" customHeight="1" x14ac:dyDescent="0.25">
      <c r="A5" s="88"/>
      <c r="B5" s="89" t="s">
        <v>100</v>
      </c>
      <c r="C5" s="90">
        <v>42917</v>
      </c>
      <c r="D5" s="90">
        <v>42978</v>
      </c>
      <c r="E5" s="87" t="s">
        <v>85</v>
      </c>
      <c r="F5" s="91"/>
      <c r="G5" s="92" t="str">
        <f t="shared" ref="G5" si="4">IFERROR(VLOOKUP(B5,Types,2,FALSE),"")</f>
        <v>jour</v>
      </c>
      <c r="H5" s="85" t="str">
        <f t="shared" ref="H5" si="5">IFERROR(VLOOKUP(B5,Types,3,FALSE),"")</f>
        <v>Par jour</v>
      </c>
      <c r="I5" s="93">
        <f t="shared" ref="I5" si="6">IFERROR(INDEX(Tarifs,MATCH(AA5,Identifiants_Tarifs,1),3),"")</f>
        <v>15</v>
      </c>
      <c r="J5" s="115" t="str">
        <f>IFERROR(VLOOKUP(Mode_Calcul,Modes_Calcul,2,FALSE),"")</f>
        <v>Fin-Début+1</v>
      </c>
      <c r="K5" s="92" t="e">
        <f t="shared" ref="K5:K10" ca="1" si="7">Définir_Durée(J5)</f>
        <v>#VALUE!</v>
      </c>
      <c r="L5" s="93" t="str">
        <f ca="1">IFERROR(Définir_Montant(VLOOKUP(Mode_Calcul,Modes_Calcul,3,FALSE)),"")</f>
        <v/>
      </c>
      <c r="M5" s="94" t="s">
        <v>56</v>
      </c>
      <c r="N5" s="87"/>
      <c r="O5" s="88"/>
      <c r="P5" s="87"/>
      <c r="Q5" s="87"/>
      <c r="R5" s="95"/>
      <c r="S5" s="87"/>
      <c r="T5" s="87"/>
      <c r="U5" s="88"/>
      <c r="V5" s="88"/>
      <c r="W5" s="88"/>
      <c r="X5" s="92">
        <f>YEAR(C5)</f>
        <v>2017</v>
      </c>
      <c r="Y5" s="92" t="str">
        <f>YEAR(C5)&amp;" - "&amp;TEXT(MONTH(C5),"00")</f>
        <v>2017 - 07</v>
      </c>
      <c r="Z5" s="85" t="str">
        <f>IFERROR(VLOOKUP(B5,Types,4,FALSE),"")</f>
        <v>Services</v>
      </c>
      <c r="AA5" s="96" t="str">
        <f>B5&amp;" - "&amp;TEXT(C5,"aaaa/mm")</f>
        <v>Essai - 2017/07</v>
      </c>
      <c r="AB5" s="96" t="str">
        <f t="shared" ref="AB5" si="8">IFERROR(INDEX(Tarifs,MATCH(AA5,Identifiants_Tarifs,1),7),"")</f>
        <v>Echafaudage - 2017/01</v>
      </c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</row>
    <row r="6" spans="1:74" s="97" customFormat="1" ht="36" customHeight="1" x14ac:dyDescent="0.25">
      <c r="A6" s="88"/>
      <c r="B6" s="88" t="s">
        <v>30</v>
      </c>
      <c r="C6" s="90">
        <v>42887</v>
      </c>
      <c r="D6" s="90">
        <v>42977</v>
      </c>
      <c r="E6" s="88" t="s">
        <v>78</v>
      </c>
      <c r="F6" s="91">
        <v>10</v>
      </c>
      <c r="G6" s="92" t="str">
        <f t="shared" si="0"/>
        <v>m²</v>
      </c>
      <c r="H6" s="85" t="str">
        <f t="shared" si="1"/>
        <v>Surface par mois par tarif</v>
      </c>
      <c r="I6" s="93">
        <f t="shared" si="2"/>
        <v>30</v>
      </c>
      <c r="J6" s="115" t="str">
        <f>IFERROR(VLOOKUP(Mode_Calcul,Modes_Calcul,2,FALSE),"")</f>
        <v>Arrondi((Fin-Début+1)/365.25*12;0)</v>
      </c>
      <c r="K6" s="92" t="e">
        <f t="shared" ca="1" si="7"/>
        <v>#VALUE!</v>
      </c>
      <c r="L6" s="93" t="str">
        <f ca="1">IFERROR(Définir_Montant(VLOOKUP(Mode_Calcul,Modes_Calcul,3,FALSE)),"")</f>
        <v/>
      </c>
      <c r="M6" s="94" t="s">
        <v>56</v>
      </c>
      <c r="N6" s="88"/>
      <c r="O6" s="88"/>
      <c r="P6" s="88"/>
      <c r="Q6" s="88"/>
      <c r="R6" s="95"/>
      <c r="S6" s="88"/>
      <c r="T6" s="88"/>
      <c r="U6" s="88"/>
      <c r="V6" s="88"/>
      <c r="W6" s="112"/>
      <c r="X6" s="92">
        <f>YEAR(C6)</f>
        <v>2017</v>
      </c>
      <c r="Y6" s="92" t="str">
        <f>YEAR(C6)&amp;" - "&amp;TEXT(MONTH(C6),"00")</f>
        <v>2017 - 06</v>
      </c>
      <c r="Z6" s="85" t="str">
        <f>IFERROR(VLOOKUP(B6,Types,4,FALSE),"")</f>
        <v>Terrasses</v>
      </c>
      <c r="AA6" s="96" t="str">
        <f t="shared" ref="AA6:AA10" si="9">B6&amp;" - "&amp;TEXT(C6,"aaaa/mm")</f>
        <v>Terrasse 1ère catégorie - 2017/06</v>
      </c>
      <c r="AB6" s="96" t="str">
        <f t="shared" si="3"/>
        <v>Terrasse 1ère catégorie - 2017/05</v>
      </c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</row>
    <row r="7" spans="1:74" s="97" customFormat="1" ht="36" customHeight="1" x14ac:dyDescent="0.25">
      <c r="A7" s="88" t="s">
        <v>74</v>
      </c>
      <c r="B7" s="88" t="s">
        <v>34</v>
      </c>
      <c r="C7" s="90">
        <v>42564</v>
      </c>
      <c r="D7" s="90">
        <v>42566</v>
      </c>
      <c r="E7" s="88" t="s">
        <v>43</v>
      </c>
      <c r="F7" s="91">
        <v>20</v>
      </c>
      <c r="G7" s="92" t="str">
        <f t="shared" si="0"/>
        <v>m²</v>
      </c>
      <c r="H7" s="85" t="str">
        <f t="shared" si="1"/>
        <v>Surface par jour par tarif</v>
      </c>
      <c r="I7" s="93">
        <f t="shared" si="2"/>
        <v>5</v>
      </c>
      <c r="J7" s="115" t="str">
        <f>IFERROR(VLOOKUP(Mode_Calcul,Modes_Calcul,2,FALSE),"")</f>
        <v>Fin-Début+1</v>
      </c>
      <c r="K7" s="92" t="e">
        <f t="shared" ca="1" si="7"/>
        <v>#VALUE!</v>
      </c>
      <c r="L7" s="93" t="str">
        <f ca="1">IFERROR(Définir_Montant(VLOOKUP(Mode_Calcul,Modes_Calcul,3,FALSE)),"")</f>
        <v/>
      </c>
      <c r="M7" s="94" t="s">
        <v>56</v>
      </c>
      <c r="N7" s="88"/>
      <c r="O7" s="88"/>
      <c r="P7" s="88"/>
      <c r="Q7" s="88"/>
      <c r="R7" s="95"/>
      <c r="S7" s="88"/>
      <c r="T7" s="88"/>
      <c r="U7" s="88"/>
      <c r="V7" s="88"/>
      <c r="W7" s="88"/>
      <c r="X7" s="92">
        <f>YEAR(C7)</f>
        <v>2016</v>
      </c>
      <c r="Y7" s="92" t="str">
        <f>YEAR(C7)&amp;" - "&amp;TEXT(MONTH(C7),"00")</f>
        <v>2016 - 07</v>
      </c>
      <c r="Z7" s="85" t="str">
        <f>IFERROR(VLOOKUP(B7,Types,4,FALSE),"")</f>
        <v>Terrasses</v>
      </c>
      <c r="AA7" s="96" t="str">
        <f t="shared" si="9"/>
        <v>Terrasse 3ème catégorie - 2016/07</v>
      </c>
      <c r="AB7" s="96" t="str">
        <f t="shared" si="3"/>
        <v>Terrasse 3ème catégorie - 2016/07</v>
      </c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88"/>
      <c r="BQ7" s="88"/>
      <c r="BR7" s="88"/>
      <c r="BS7" s="88"/>
      <c r="BT7" s="88"/>
      <c r="BU7" s="88"/>
      <c r="BV7" s="88"/>
    </row>
    <row r="8" spans="1:74" s="97" customFormat="1" ht="36" customHeight="1" x14ac:dyDescent="0.25">
      <c r="A8" s="88" t="s">
        <v>40</v>
      </c>
      <c r="B8" s="88" t="s">
        <v>12</v>
      </c>
      <c r="C8" s="90">
        <v>42491</v>
      </c>
      <c r="D8" s="90"/>
      <c r="E8" s="88"/>
      <c r="F8" s="91">
        <v>10</v>
      </c>
      <c r="G8" s="92" t="str">
        <f t="shared" si="0"/>
        <v>mètre linéaire</v>
      </c>
      <c r="H8" s="85" t="str">
        <f t="shared" si="1"/>
        <v>Mètres linéaire par tarif</v>
      </c>
      <c r="I8" s="93">
        <f t="shared" si="2"/>
        <v>12</v>
      </c>
      <c r="J8" s="115">
        <f>IFERROR(VLOOKUP(Mode_Calcul,Modes_Calcul,2,FALSE),"")</f>
        <v>0</v>
      </c>
      <c r="K8" s="92">
        <f t="shared" ca="1" si="7"/>
        <v>0</v>
      </c>
      <c r="L8" s="93" t="str">
        <f ca="1">IFERROR(Définir_Montant(VLOOKUP(Mode_Calcul,Modes_Calcul,3,FALSE)),"")</f>
        <v/>
      </c>
      <c r="M8" s="94" t="s">
        <v>57</v>
      </c>
      <c r="N8" s="88"/>
      <c r="O8" s="88"/>
      <c r="P8" s="88"/>
      <c r="Q8" s="88"/>
      <c r="R8" s="95"/>
      <c r="S8" s="88"/>
      <c r="T8" s="88"/>
      <c r="U8" s="88"/>
      <c r="V8" s="88"/>
      <c r="W8" s="88"/>
      <c r="X8" s="92">
        <f>YEAR(C8)</f>
        <v>2016</v>
      </c>
      <c r="Y8" s="92" t="str">
        <f>YEAR(C8)&amp;" - "&amp;TEXT(MONTH(C8),"00")</f>
        <v>2016 - 05</v>
      </c>
      <c r="Z8" s="85" t="str">
        <f>IFERROR(VLOOKUP(B8,Types,4,FALSE),"")</f>
        <v>Services</v>
      </c>
      <c r="AA8" s="96" t="str">
        <f t="shared" si="9"/>
        <v>Abaissement des bordures de trottoir - 2016/05</v>
      </c>
      <c r="AB8" s="96" t="str">
        <f t="shared" si="3"/>
        <v>Abaissement des bordures de trottoir - 2016/01</v>
      </c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8"/>
      <c r="BB8" s="88"/>
      <c r="BC8" s="88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8"/>
      <c r="BO8" s="88"/>
      <c r="BP8" s="88"/>
      <c r="BQ8" s="88"/>
      <c r="BR8" s="88"/>
      <c r="BS8" s="88"/>
      <c r="BT8" s="88"/>
      <c r="BU8" s="88"/>
      <c r="BV8" s="88"/>
    </row>
    <row r="9" spans="1:74" s="97" customFormat="1" ht="36" customHeight="1" x14ac:dyDescent="0.25">
      <c r="A9" s="88" t="s">
        <v>40</v>
      </c>
      <c r="B9" s="88" t="s">
        <v>11</v>
      </c>
      <c r="C9" s="90">
        <v>42491</v>
      </c>
      <c r="D9" s="90"/>
      <c r="E9" s="88"/>
      <c r="F9" s="91">
        <v>10</v>
      </c>
      <c r="G9" s="92" t="str">
        <f t="shared" si="0"/>
        <v>m²</v>
      </c>
      <c r="H9" s="85" t="str">
        <f t="shared" si="1"/>
        <v>Surface par tarif</v>
      </c>
      <c r="I9" s="93">
        <f t="shared" si="2"/>
        <v>20</v>
      </c>
      <c r="J9" s="115">
        <f>IFERROR(VLOOKUP(Mode_Calcul,Modes_Calcul,2,FALSE),"")</f>
        <v>0</v>
      </c>
      <c r="K9" s="92">
        <f t="shared" ca="1" si="7"/>
        <v>0</v>
      </c>
      <c r="L9" s="93" t="str">
        <f ca="1">IFERROR(Définir_Montant(VLOOKUP(Mode_Calcul,Modes_Calcul,3,FALSE)),"")</f>
        <v/>
      </c>
      <c r="M9" s="94" t="s">
        <v>57</v>
      </c>
      <c r="N9" s="88"/>
      <c r="O9" s="88"/>
      <c r="P9" s="88"/>
      <c r="Q9" s="88"/>
      <c r="R9" s="95"/>
      <c r="S9" s="88"/>
      <c r="T9" s="88"/>
      <c r="U9" s="88"/>
      <c r="V9" s="88"/>
      <c r="W9" s="88"/>
      <c r="X9" s="92">
        <f>YEAR(C9)</f>
        <v>2016</v>
      </c>
      <c r="Y9" s="92" t="str">
        <f>YEAR(C9)&amp;" - "&amp;TEXT(MONTH(C9),"00")</f>
        <v>2016 - 05</v>
      </c>
      <c r="Z9" s="85" t="str">
        <f>IFERROR(VLOOKUP(B9,Types,4,FALSE),"")</f>
        <v>Services</v>
      </c>
      <c r="AA9" s="96" t="str">
        <f t="shared" si="9"/>
        <v>Aménagement des aires de trottoirs - 2016/05</v>
      </c>
      <c r="AB9" s="96" t="str">
        <f t="shared" si="3"/>
        <v>Aménagement des aires de trottoirs - 2016/01</v>
      </c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8"/>
      <c r="BP9" s="88"/>
      <c r="BQ9" s="88"/>
      <c r="BR9" s="88"/>
      <c r="BS9" s="88"/>
      <c r="BT9" s="88"/>
      <c r="BU9" s="88"/>
      <c r="BV9" s="88"/>
    </row>
    <row r="10" spans="1:74" s="97" customFormat="1" ht="36" customHeight="1" x14ac:dyDescent="0.25">
      <c r="A10" s="88" t="s">
        <v>75</v>
      </c>
      <c r="B10" s="88" t="s">
        <v>10</v>
      </c>
      <c r="C10" s="90">
        <v>42614</v>
      </c>
      <c r="D10" s="91"/>
      <c r="E10" s="88"/>
      <c r="F10" s="91">
        <v>10</v>
      </c>
      <c r="G10" s="92" t="str">
        <f t="shared" si="0"/>
        <v>m²</v>
      </c>
      <c r="H10" s="85" t="str">
        <f t="shared" si="1"/>
        <v>Surface par tarif</v>
      </c>
      <c r="I10" s="93">
        <f t="shared" si="2"/>
        <v>10</v>
      </c>
      <c r="J10" s="115">
        <f>IFERROR(VLOOKUP(Mode_Calcul,Modes_Calcul,2,FALSE),"")</f>
        <v>0</v>
      </c>
      <c r="K10" s="92">
        <f t="shared" ca="1" si="7"/>
        <v>0</v>
      </c>
      <c r="L10" s="93" t="str">
        <f ca="1">IFERROR(Définir_Montant(VLOOKUP(Mode_Calcul,Modes_Calcul,3,FALSE)),"")</f>
        <v/>
      </c>
      <c r="M10" s="94" t="s">
        <v>58</v>
      </c>
      <c r="N10" s="88"/>
      <c r="O10" s="88"/>
      <c r="P10" s="88"/>
      <c r="Q10" s="88"/>
      <c r="R10" s="95"/>
      <c r="S10" s="88"/>
      <c r="T10" s="88"/>
      <c r="U10" s="88"/>
      <c r="V10" s="88"/>
      <c r="W10" s="88"/>
      <c r="X10" s="92">
        <f>YEAR(C10)</f>
        <v>2016</v>
      </c>
      <c r="Y10" s="92" t="str">
        <f>YEAR(C10)&amp;" - "&amp;TEXT(MONTH(C10),"00")</f>
        <v>2016 - 09</v>
      </c>
      <c r="Z10" s="85" t="str">
        <f>IFERROR(VLOOKUP(B10,Types,4,FALSE),"")</f>
        <v>Entreprises</v>
      </c>
      <c r="AA10" s="96" t="str">
        <f t="shared" si="9"/>
        <v>Echafaudage - 2016/09</v>
      </c>
      <c r="AB10" s="96" t="str">
        <f t="shared" si="3"/>
        <v>Echafaudage - 2016/01</v>
      </c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88"/>
      <c r="BN10" s="88"/>
      <c r="BO10" s="88"/>
      <c r="BP10" s="88"/>
      <c r="BQ10" s="88"/>
      <c r="BR10" s="88"/>
      <c r="BS10" s="88"/>
      <c r="BT10" s="88"/>
      <c r="BU10" s="88"/>
      <c r="BV10" s="88"/>
    </row>
    <row r="11" spans="1:74" ht="18.75" customHeight="1" x14ac:dyDescent="0.25">
      <c r="A11" s="7"/>
      <c r="B11" s="7"/>
      <c r="C11" s="12"/>
      <c r="D11" s="12"/>
      <c r="E11" s="7"/>
      <c r="F11" s="12"/>
      <c r="G11" s="13"/>
      <c r="H11" s="86"/>
      <c r="I11" s="16"/>
      <c r="J11" s="116"/>
      <c r="K11" s="13"/>
      <c r="L11" s="16"/>
      <c r="M11" s="27"/>
      <c r="N11" s="7"/>
      <c r="O11" s="7"/>
      <c r="P11" s="7"/>
      <c r="Q11" s="7"/>
      <c r="R11" s="37"/>
      <c r="S11" s="7"/>
      <c r="T11" s="7"/>
      <c r="U11" s="7"/>
      <c r="V11" s="7"/>
      <c r="W11" s="7"/>
      <c r="X11" s="13"/>
      <c r="Y11" s="13"/>
      <c r="Z11" s="34"/>
      <c r="AA11" s="80"/>
      <c r="AB11" s="80"/>
    </row>
    <row r="13" spans="1:74" x14ac:dyDescent="0.25">
      <c r="C13" s="10"/>
      <c r="D13" s="10"/>
    </row>
    <row r="14" spans="1:74" x14ac:dyDescent="0.25">
      <c r="C14" s="10"/>
      <c r="D14" s="10"/>
    </row>
  </sheetData>
  <autoFilter ref="A3:AB10"/>
  <sortState ref="A4:BW5">
    <sortCondition ref="B4:B5"/>
  </sortState>
  <conditionalFormatting sqref="D1:D3 D8 D10:D1048576">
    <cfRule type="expression" dxfId="20" priority="22">
      <formula>AND(ROW(D1)&gt;3,LEN(D1)&gt;0,D1&lt;C1)</formula>
    </cfRule>
  </conditionalFormatting>
  <conditionalFormatting sqref="D7">
    <cfRule type="expression" dxfId="19" priority="12">
      <formula>AND(ROW(D7)&gt;3,LEN(D7)&gt;0,D7&lt;C7)</formula>
    </cfRule>
  </conditionalFormatting>
  <conditionalFormatting sqref="D4">
    <cfRule type="expression" dxfId="18" priority="13">
      <formula>AND(ROW(D4)&gt;3,LEN(D4)&gt;0,D4&lt;C4)</formula>
    </cfRule>
  </conditionalFormatting>
  <conditionalFormatting sqref="D9">
    <cfRule type="expression" dxfId="17" priority="11">
      <formula>AND(ROW(D9)&gt;3,LEN(D9)&gt;0,D9&lt;C9)</formula>
    </cfRule>
  </conditionalFormatting>
  <conditionalFormatting sqref="B10:B12 B17:B1048576">
    <cfRule type="expression" dxfId="16" priority="8">
      <formula>AND(ROW(B6)&gt;ROW(Données),LEN(B6)&gt;0,ISERROR(VLOOKUP(B6,Liste_Types,1,FALSE)))</formula>
    </cfRule>
  </conditionalFormatting>
  <conditionalFormatting sqref="M10:M12 M17:M1048576">
    <cfRule type="expression" dxfId="15" priority="7">
      <formula>AND(ROW(M6)&gt;ROW(Données),LEN(M6)&gt;0,ISERROR(VLOOKUP(M6,Liste_Imputations,1,FALSE)))</formula>
    </cfRule>
  </conditionalFormatting>
  <conditionalFormatting sqref="D6">
    <cfRule type="expression" dxfId="14" priority="6">
      <formula>AND(ROW(D6)&gt;3,LEN(D6)&gt;0,D6&lt;C6)</formula>
    </cfRule>
  </conditionalFormatting>
  <conditionalFormatting sqref="B1:B4 B13:B15">
    <cfRule type="expression" dxfId="13" priority="24">
      <formula>AND(ROW(B1048574)&gt;ROW(Données),LEN(B1048574)&gt;0,ISERROR(VLOOKUP(B1048574,Liste_Types,1,FALSE)))</formula>
    </cfRule>
  </conditionalFormatting>
  <conditionalFormatting sqref="B6:B9">
    <cfRule type="expression" dxfId="12" priority="25">
      <formula>AND(ROW(B1)&gt;ROW(Données),LEN(B1)&gt;0,ISERROR(VLOOKUP(B1,Liste_Types,1,FALSE)))</formula>
    </cfRule>
  </conditionalFormatting>
  <conditionalFormatting sqref="M1:M4 M13:M15">
    <cfRule type="expression" dxfId="11" priority="27">
      <formula>AND(ROW(M1048574)&gt;ROW(Données),LEN(M1048574)&gt;0,ISERROR(VLOOKUP(M1048574,Liste_Imputations,1,FALSE)))</formula>
    </cfRule>
  </conditionalFormatting>
  <conditionalFormatting sqref="M6:M9">
    <cfRule type="expression" dxfId="10" priority="28">
      <formula>AND(ROW(M1)&gt;ROW(Données),LEN(M1)&gt;0,ISERROR(VLOOKUP(M1,Liste_Imputations,1,FALSE)))</formula>
    </cfRule>
  </conditionalFormatting>
  <conditionalFormatting sqref="D5">
    <cfRule type="expression" dxfId="9" priority="3">
      <formula>AND(ROW(D5)&gt;3,LEN(D5)&gt;0,D5&lt;C5)</formula>
    </cfRule>
  </conditionalFormatting>
  <conditionalFormatting sqref="B5">
    <cfRule type="expression" dxfId="8" priority="4">
      <formula>AND(ROW(B2)&gt;ROW(Données),LEN(B2)&gt;0,ISERROR(VLOOKUP(B2,Liste_Types,1,FALSE)))</formula>
    </cfRule>
  </conditionalFormatting>
  <conditionalFormatting sqref="M5">
    <cfRule type="expression" dxfId="7" priority="5">
      <formula>AND(ROW(M2)&gt;ROW(Données),LEN(M2)&gt;0,ISERROR(VLOOKUP(M2,Liste_Imputations,1,FALSE)))</formula>
    </cfRule>
  </conditionalFormatting>
  <conditionalFormatting sqref="B16">
    <cfRule type="expression" dxfId="6" priority="34">
      <formula>AND(ROW(#REF!)&gt;ROW(Données),LEN(#REF!)&gt;0,ISERROR(VLOOKUP(#REF!,Liste_Types,1,FALSE)))</formula>
    </cfRule>
  </conditionalFormatting>
  <conditionalFormatting sqref="M16">
    <cfRule type="expression" dxfId="5" priority="39">
      <formula>AND(ROW(#REF!)&gt;ROW(Données),LEN(#REF!)&gt;0,ISERROR(VLOOKUP(#REF!,Liste_Imputations,1,FALSE)))</formula>
    </cfRule>
  </conditionalFormatting>
  <dataValidations count="4">
    <dataValidation type="list" allowBlank="1" showInputMessage="1" showErrorMessage="1" errorTitle="Choisir dans la liste" error="Choisir dans la liste !" sqref="B3:B11">
      <formula1>Liste_Types</formula1>
    </dataValidation>
    <dataValidation type="list" allowBlank="1" showInputMessage="1" showErrorMessage="1" errorTitle="Choisir dans la liste" error="Choisir dans la liste !" sqref="M3:M11">
      <formula1>Liste_Imputations</formula1>
    </dataValidation>
    <dataValidation type="date" allowBlank="1" showInputMessage="1" showErrorMessage="1" errorTitle="Entrez une date valide" error="Entrez une date valide !" sqref="C1:D1048576">
      <formula1>1</formula1>
      <formula2>73415</formula2>
    </dataValidation>
    <dataValidation type="decimal" allowBlank="1" showInputMessage="1" showErrorMessage="1" errorTitle="Entrez un nombre valide" error="Entrez un nombre valide !" sqref="F1:F1048576">
      <formula1>0</formula1>
      <formula2>9999</formula2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8"/>
  <sheetViews>
    <sheetView topLeftCell="A19" workbookViewId="0">
      <selection activeCell="C6" sqref="C6"/>
    </sheetView>
  </sheetViews>
  <sheetFormatPr baseColWidth="10" defaultRowHeight="14.25" x14ac:dyDescent="0.2"/>
  <cols>
    <col min="1" max="1" width="25.5703125" style="1" bestFit="1" customWidth="1"/>
    <col min="2" max="5" width="21.28515625" style="1" customWidth="1"/>
    <col min="6" max="16384" width="11.42578125" style="1"/>
  </cols>
  <sheetData>
    <row r="3" spans="1:5" ht="15" x14ac:dyDescent="0.25">
      <c r="A3" s="99" t="s">
        <v>61</v>
      </c>
      <c r="B3" s="99" t="s">
        <v>53</v>
      </c>
      <c r="C3" s="100"/>
      <c r="D3" s="100"/>
      <c r="E3"/>
    </row>
    <row r="4" spans="1:5" ht="15" x14ac:dyDescent="0.25">
      <c r="A4" s="99" t="s">
        <v>31</v>
      </c>
      <c r="B4" s="100">
        <v>2016</v>
      </c>
      <c r="C4" s="100">
        <v>2017</v>
      </c>
      <c r="D4" s="101" t="s">
        <v>60</v>
      </c>
      <c r="E4"/>
    </row>
    <row r="5" spans="1:5" ht="15" x14ac:dyDescent="0.25">
      <c r="A5" s="100" t="s">
        <v>38</v>
      </c>
      <c r="B5" s="102">
        <v>100</v>
      </c>
      <c r="C5" s="102"/>
      <c r="D5" s="102">
        <v>100</v>
      </c>
      <c r="E5"/>
    </row>
    <row r="6" spans="1:5" ht="15" x14ac:dyDescent="0.25">
      <c r="A6" s="100" t="s">
        <v>39</v>
      </c>
      <c r="B6" s="102">
        <v>320</v>
      </c>
      <c r="C6" s="102"/>
      <c r="D6" s="102">
        <v>320</v>
      </c>
      <c r="E6"/>
    </row>
    <row r="7" spans="1:5" ht="15" x14ac:dyDescent="0.25">
      <c r="A7" s="100" t="s">
        <v>32</v>
      </c>
      <c r="B7" s="102">
        <v>333.33333333333331</v>
      </c>
      <c r="C7" s="102">
        <v>75</v>
      </c>
      <c r="D7" s="102">
        <v>408.33333333333331</v>
      </c>
      <c r="E7"/>
    </row>
    <row r="8" spans="1:5" ht="15" x14ac:dyDescent="0.25">
      <c r="A8" s="100" t="s">
        <v>60</v>
      </c>
      <c r="B8" s="102">
        <v>753.33333333333326</v>
      </c>
      <c r="C8" s="102">
        <v>75</v>
      </c>
      <c r="D8" s="102">
        <v>828.33333333333326</v>
      </c>
      <c r="E8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T19"/>
  <sheetViews>
    <sheetView zoomScale="90" zoomScaleNormal="9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F1" sqref="F1"/>
    </sheetView>
  </sheetViews>
  <sheetFormatPr baseColWidth="10" defaultRowHeight="15" x14ac:dyDescent="0.25"/>
  <cols>
    <col min="1" max="1" width="46.140625" style="2" customWidth="1"/>
    <col min="2" max="2" width="16.42578125" style="11" customWidth="1"/>
    <col min="3" max="3" width="12" style="50" customWidth="1"/>
    <col min="4" max="4" width="16.140625" style="2" customWidth="1"/>
    <col min="5" max="5" width="34.85546875" style="2" customWidth="1"/>
    <col min="6" max="6" width="15.5703125" style="14" customWidth="1"/>
    <col min="7" max="7" width="59.28515625" style="2" customWidth="1"/>
    <col min="8" max="72" width="11.42578125" style="2"/>
    <col min="73" max="16384" width="11.42578125" style="43"/>
  </cols>
  <sheetData>
    <row r="1" spans="1:72" ht="19.5" customHeight="1" x14ac:dyDescent="0.25">
      <c r="A1" s="39" t="str">
        <f>Titre &amp; " - Tarifs"</f>
        <v>Facturation de l'occupation du domaine public - Tarifs</v>
      </c>
      <c r="D1" s="40" t="s">
        <v>54</v>
      </c>
      <c r="E1" s="41">
        <v>2016</v>
      </c>
      <c r="F1" s="42">
        <f ca="1">SUBTOTAL(9,F3:F19)</f>
        <v>0</v>
      </c>
    </row>
    <row r="2" spans="1:72" ht="54.75" customHeight="1" x14ac:dyDescent="0.25"/>
    <row r="3" spans="1:72" s="48" customFormat="1" ht="32.25" customHeight="1" x14ac:dyDescent="0.25">
      <c r="A3" s="3" t="s">
        <v>24</v>
      </c>
      <c r="B3" s="6" t="s">
        <v>21</v>
      </c>
      <c r="C3" s="51" t="s">
        <v>20</v>
      </c>
      <c r="D3" s="5" t="s">
        <v>17</v>
      </c>
      <c r="E3" s="5" t="s">
        <v>25</v>
      </c>
      <c r="F3" s="31" t="s">
        <v>59</v>
      </c>
      <c r="G3" s="5" t="s">
        <v>22</v>
      </c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</row>
    <row r="4" spans="1:72" x14ac:dyDescent="0.25">
      <c r="A4" s="2" t="s">
        <v>12</v>
      </c>
      <c r="B4" s="10">
        <v>42370</v>
      </c>
      <c r="C4" s="50">
        <v>12</v>
      </c>
      <c r="D4" s="4" t="str">
        <f t="shared" ref="D4:D18" si="0">IFERROR(VLOOKUP(A4,Types,2,FALSE),"")</f>
        <v>mètre linéaire</v>
      </c>
      <c r="E4" s="4" t="str">
        <f t="shared" ref="E4:E18" si="1">IFERROR(VLOOKUP(A4,Types,3,FALSE),"")</f>
        <v>Mètres linéaire par tarif</v>
      </c>
      <c r="F4" s="15">
        <f ca="1">IF(Année_Réf_Tarifs&gt;0,SUMIFS(Données!L:L,Données!AB:AB,G:G,Données!X:X,Année_Réf_Tarifs),SUMIF(Données!AB:AB,G:G,Données!L:L))</f>
        <v>0</v>
      </c>
      <c r="G4" s="4" t="str">
        <f t="shared" ref="G4:G18" si="2">A4&amp;" - "&amp;TEXT(B4,"aaaa/mm")</f>
        <v>Abaissement des bordures de trottoir - 2016/01</v>
      </c>
    </row>
    <row r="5" spans="1:72" x14ac:dyDescent="0.25">
      <c r="A5" s="2" t="s">
        <v>12</v>
      </c>
      <c r="B5" s="10">
        <v>42736</v>
      </c>
      <c r="C5" s="50">
        <v>17</v>
      </c>
      <c r="D5" s="4" t="str">
        <f t="shared" si="0"/>
        <v>mètre linéaire</v>
      </c>
      <c r="E5" s="4" t="str">
        <f t="shared" si="1"/>
        <v>Mètres linéaire par tarif</v>
      </c>
      <c r="F5" s="15">
        <f>IF(Année_Réf_Tarifs&gt;0,SUMIFS(Données!L:L,Données!AB:AB,G:G,Données!X:X,Année_Réf_Tarifs),SUMIF(Données!AB:AB,G:G,Données!L:L))</f>
        <v>0</v>
      </c>
      <c r="G5" s="4" t="str">
        <f t="shared" si="2"/>
        <v>Abaissement des bordures de trottoir - 2017/01</v>
      </c>
    </row>
    <row r="6" spans="1:72" x14ac:dyDescent="0.25">
      <c r="A6" s="2" t="s">
        <v>12</v>
      </c>
      <c r="B6" s="10">
        <v>43101</v>
      </c>
      <c r="C6" s="50">
        <v>20</v>
      </c>
      <c r="D6" s="4" t="str">
        <f t="shared" si="0"/>
        <v>mètre linéaire</v>
      </c>
      <c r="E6" s="4" t="str">
        <f t="shared" si="1"/>
        <v>Mètres linéaire par tarif</v>
      </c>
      <c r="F6" s="15">
        <f>IF(Année_Réf_Tarifs&gt;0,SUMIFS(Données!L:L,Données!AB:AB,G:G,Données!X:X,Année_Réf_Tarifs),SUMIF(Données!AB:AB,G:G,Données!L:L))</f>
        <v>0</v>
      </c>
      <c r="G6" s="4" t="str">
        <f t="shared" si="2"/>
        <v>Abaissement des bordures de trottoir - 2018/01</v>
      </c>
    </row>
    <row r="7" spans="1:72" x14ac:dyDescent="0.25">
      <c r="A7" s="2" t="s">
        <v>11</v>
      </c>
      <c r="B7" s="10">
        <v>42370</v>
      </c>
      <c r="C7" s="50">
        <v>20</v>
      </c>
      <c r="D7" s="4" t="str">
        <f t="shared" si="0"/>
        <v>m²</v>
      </c>
      <c r="E7" s="4" t="str">
        <f t="shared" si="1"/>
        <v>Surface par tarif</v>
      </c>
      <c r="F7" s="15">
        <f ca="1">IF(Année_Réf_Tarifs&gt;0,SUMIFS(Données!L:L,Données!AB:AB,G:G,Données!X:X,Année_Réf_Tarifs),SUMIF(Données!AB:AB,G:G,Données!L:L))</f>
        <v>0</v>
      </c>
      <c r="G7" s="4" t="str">
        <f t="shared" si="2"/>
        <v>Aménagement des aires de trottoirs - 2016/01</v>
      </c>
    </row>
    <row r="8" spans="1:72" x14ac:dyDescent="0.25">
      <c r="A8" s="2" t="s">
        <v>11</v>
      </c>
      <c r="B8" s="10">
        <v>42736</v>
      </c>
      <c r="C8" s="50">
        <v>22</v>
      </c>
      <c r="D8" s="4" t="str">
        <f t="shared" si="0"/>
        <v>m²</v>
      </c>
      <c r="E8" s="4" t="str">
        <f t="shared" si="1"/>
        <v>Surface par tarif</v>
      </c>
      <c r="F8" s="15">
        <f>IF(Année_Réf_Tarifs&gt;0,SUMIFS(Données!L:L,Données!AB:AB,G:G,Données!X:X,Année_Réf_Tarifs),SUMIF(Données!AB:AB,G:G,Données!L:L))</f>
        <v>0</v>
      </c>
      <c r="G8" s="4" t="str">
        <f t="shared" si="2"/>
        <v>Aménagement des aires de trottoirs - 2017/01</v>
      </c>
    </row>
    <row r="9" spans="1:72" x14ac:dyDescent="0.25">
      <c r="A9" s="2" t="s">
        <v>10</v>
      </c>
      <c r="B9" s="10">
        <v>42370</v>
      </c>
      <c r="C9" s="50">
        <v>10</v>
      </c>
      <c r="D9" s="4" t="str">
        <f t="shared" si="0"/>
        <v>m²</v>
      </c>
      <c r="E9" s="4" t="str">
        <f t="shared" si="1"/>
        <v>Surface par tarif</v>
      </c>
      <c r="F9" s="15">
        <f ca="1">IF(Année_Réf_Tarifs&gt;0,SUMIFS(Données!L:L,Données!AB:AB,G:G,Données!X:X,Année_Réf_Tarifs),SUMIF(Données!AB:AB,G:G,Données!L:L))</f>
        <v>0</v>
      </c>
      <c r="G9" s="4" t="str">
        <f t="shared" si="2"/>
        <v>Echafaudage - 2016/01</v>
      </c>
    </row>
    <row r="10" spans="1:72" x14ac:dyDescent="0.25">
      <c r="A10" s="2" t="s">
        <v>10</v>
      </c>
      <c r="B10" s="10">
        <v>42736</v>
      </c>
      <c r="C10" s="50">
        <v>15</v>
      </c>
      <c r="D10" s="4" t="str">
        <f t="shared" si="0"/>
        <v>m²</v>
      </c>
      <c r="E10" s="4" t="str">
        <f t="shared" si="1"/>
        <v>Surface par tarif</v>
      </c>
      <c r="F10" s="15">
        <f>IF(Année_Réf_Tarifs&gt;0,SUMIFS(Données!L:L,Données!AB:AB,G:G,Données!X:X,Année_Réf_Tarifs),SUMIF(Données!AB:AB,G:G,Données!L:L))</f>
        <v>0</v>
      </c>
      <c r="G10" s="4" t="str">
        <f t="shared" si="2"/>
        <v>Echafaudage - 2017/01</v>
      </c>
    </row>
    <row r="11" spans="1:72" x14ac:dyDescent="0.25">
      <c r="A11" s="83" t="s">
        <v>87</v>
      </c>
      <c r="B11" s="10">
        <v>42856</v>
      </c>
      <c r="C11" s="50">
        <v>10</v>
      </c>
      <c r="D11" s="4" t="str">
        <f t="shared" si="0"/>
        <v>jour</v>
      </c>
      <c r="E11" s="4" t="str">
        <f t="shared" si="1"/>
        <v>Par nombre de jours dans le mois</v>
      </c>
      <c r="F11" s="15">
        <f>IF(Année_Réf_Tarifs&gt;0,SUMIFS(Données!L:L,Données!AB:AB,G:G,Données!X:X,Année_Réf_Tarifs),SUMIF(Données!AB:AB,G:G,Données!L:L))</f>
        <v>0</v>
      </c>
      <c r="G11" s="4" t="str">
        <f t="shared" si="2"/>
        <v>Restauration rapide occasionnelle - 2017/05</v>
      </c>
    </row>
    <row r="12" spans="1:72" x14ac:dyDescent="0.25">
      <c r="A12" s="83" t="s">
        <v>88</v>
      </c>
      <c r="B12" s="10">
        <v>42856</v>
      </c>
      <c r="C12" s="50">
        <v>100</v>
      </c>
      <c r="D12" s="4" t="str">
        <f t="shared" ref="D12" si="3">IFERROR(VLOOKUP(A12,Types,2,FALSE),"")</f>
        <v>forfait</v>
      </c>
      <c r="E12" s="4" t="str">
        <f t="shared" ref="E12" si="4">IFERROR(VLOOKUP(A12,Types,3,FALSE),"")</f>
        <v>Par mois</v>
      </c>
      <c r="F12" s="15">
        <f>IF(Année_Réf_Tarifs&gt;0,SUMIFS(Données!L:L,Données!AB:AB,G:G,Données!X:X,Année_Réf_Tarifs),SUMIF(Données!AB:AB,G:G,Données!L:L))</f>
        <v>0</v>
      </c>
      <c r="G12" s="4" t="str">
        <f t="shared" ref="G12" si="5">A12&amp;" - "&amp;TEXT(B12,"aaaa/mm")</f>
        <v>Restauration rapide régulière - 2017/05</v>
      </c>
    </row>
    <row r="13" spans="1:72" x14ac:dyDescent="0.25">
      <c r="A13" s="2" t="s">
        <v>30</v>
      </c>
      <c r="B13" s="10">
        <v>42558</v>
      </c>
      <c r="C13" s="50">
        <v>30</v>
      </c>
      <c r="D13" s="4" t="str">
        <f t="shared" si="0"/>
        <v>m²</v>
      </c>
      <c r="E13" s="4" t="str">
        <f t="shared" si="1"/>
        <v>Surface par mois par tarif</v>
      </c>
      <c r="F13" s="15">
        <f>IF(Année_Réf_Tarifs&gt;0,SUMIFS(Données!L:L,Données!AB:AB,G:G,Données!X:X,Année_Réf_Tarifs),SUMIF(Données!AB:AB,G:G,Données!L:L))</f>
        <v>0</v>
      </c>
      <c r="G13" s="4" t="str">
        <f t="shared" si="2"/>
        <v>Terrasse 1ère catégorie - 2016/07</v>
      </c>
    </row>
    <row r="14" spans="1:72" x14ac:dyDescent="0.25">
      <c r="A14" s="2" t="s">
        <v>30</v>
      </c>
      <c r="B14" s="10">
        <v>42873</v>
      </c>
      <c r="C14" s="50">
        <v>30</v>
      </c>
      <c r="D14" s="4" t="str">
        <f t="shared" si="0"/>
        <v>m²</v>
      </c>
      <c r="E14" s="4" t="str">
        <f t="shared" si="1"/>
        <v>Surface par mois par tarif</v>
      </c>
      <c r="F14" s="15">
        <f>IF(Année_Réf_Tarifs&gt;0,SUMIFS(Données!L:L,Données!AB:AB,G:G,Données!X:X,Année_Réf_Tarifs),SUMIF(Données!AB:AB,G:G,Données!L:L))</f>
        <v>0</v>
      </c>
      <c r="G14" s="4" t="str">
        <f t="shared" si="2"/>
        <v>Terrasse 1ère catégorie - 2017/05</v>
      </c>
    </row>
    <row r="15" spans="1:72" x14ac:dyDescent="0.25">
      <c r="A15" s="2" t="s">
        <v>33</v>
      </c>
      <c r="B15" s="10">
        <v>42558</v>
      </c>
      <c r="C15" s="50">
        <v>20</v>
      </c>
      <c r="D15" s="4" t="str">
        <f t="shared" si="0"/>
        <v>m²</v>
      </c>
      <c r="E15" s="4" t="str">
        <f t="shared" si="1"/>
        <v>Surface par mois par tarif</v>
      </c>
      <c r="F15" s="15">
        <f>IF(Année_Réf_Tarifs&gt;0,SUMIFS(Données!L:L,Données!AB:AB,G:G,Données!X:X,Année_Réf_Tarifs),SUMIF(Données!AB:AB,G:G,Données!L:L))</f>
        <v>0</v>
      </c>
      <c r="G15" s="4" t="str">
        <f t="shared" si="2"/>
        <v>Terrasse 2ème catégorie - 2016/07</v>
      </c>
    </row>
    <row r="16" spans="1:72" x14ac:dyDescent="0.25">
      <c r="A16" s="2" t="s">
        <v>33</v>
      </c>
      <c r="B16" s="10">
        <v>42873</v>
      </c>
      <c r="C16" s="50">
        <v>20</v>
      </c>
      <c r="D16" s="4" t="str">
        <f t="shared" si="0"/>
        <v>m²</v>
      </c>
      <c r="E16" s="4" t="str">
        <f t="shared" si="1"/>
        <v>Surface par mois par tarif</v>
      </c>
      <c r="F16" s="15">
        <f>IF(Année_Réf_Tarifs&gt;0,SUMIFS(Données!L:L,Données!AB:AB,G:G,Données!X:X,Année_Réf_Tarifs),SUMIF(Données!AB:AB,G:G,Données!L:L))</f>
        <v>0</v>
      </c>
      <c r="G16" s="4" t="str">
        <f t="shared" si="2"/>
        <v>Terrasse 2ème catégorie - 2017/05</v>
      </c>
    </row>
    <row r="17" spans="1:7" x14ac:dyDescent="0.25">
      <c r="A17" s="2" t="s">
        <v>34</v>
      </c>
      <c r="B17" s="10">
        <v>42558</v>
      </c>
      <c r="C17" s="50">
        <v>5</v>
      </c>
      <c r="D17" s="4" t="str">
        <f t="shared" si="0"/>
        <v>m²</v>
      </c>
      <c r="E17" s="4" t="str">
        <f t="shared" si="1"/>
        <v>Surface par jour par tarif</v>
      </c>
      <c r="F17" s="15">
        <f ca="1">IF(Année_Réf_Tarifs&gt;0,SUMIFS(Données!L:L,Données!AB:AB,G:G,Données!X:X,Année_Réf_Tarifs),SUMIF(Données!AB:AB,G:G,Données!L:L))</f>
        <v>0</v>
      </c>
      <c r="G17" s="4" t="str">
        <f t="shared" si="2"/>
        <v>Terrasse 3ème catégorie - 2016/07</v>
      </c>
    </row>
    <row r="18" spans="1:7" x14ac:dyDescent="0.25">
      <c r="A18" s="2" t="s">
        <v>34</v>
      </c>
      <c r="B18" s="10">
        <v>42873</v>
      </c>
      <c r="C18" s="50">
        <v>0</v>
      </c>
      <c r="D18" s="4" t="str">
        <f t="shared" si="0"/>
        <v>m²</v>
      </c>
      <c r="E18" s="4" t="str">
        <f t="shared" si="1"/>
        <v>Surface par jour par tarif</v>
      </c>
      <c r="F18" s="15">
        <f>IF(Année_Réf_Tarifs&gt;0,SUMIFS(Données!L:L,Données!AB:AB,G:G,Données!X:X,Année_Réf_Tarifs),SUMIF(Données!AB:AB,G:G,Données!L:L))</f>
        <v>0</v>
      </c>
      <c r="G18" s="4" t="str">
        <f t="shared" si="2"/>
        <v>Terrasse 3ème catégorie - 2017/05</v>
      </c>
    </row>
    <row r="19" spans="1:7" x14ac:dyDescent="0.25">
      <c r="A19" s="8"/>
      <c r="B19" s="44"/>
      <c r="C19" s="44"/>
      <c r="D19" s="45"/>
      <c r="E19" s="45"/>
      <c r="F19" s="46"/>
      <c r="G19" s="45"/>
    </row>
  </sheetData>
  <autoFilter ref="A3:G18">
    <sortState ref="A4:G17">
      <sortCondition ref="A4"/>
    </sortState>
  </autoFilter>
  <conditionalFormatting sqref="A1:A11 A13:A1048576">
    <cfRule type="expression" dxfId="4" priority="2">
      <formula>AND(ROW(A1)&gt;ROW(Tarifs),LEN(A1)&gt;0,ISERROR(VLOOKUP(A1,Liste_Types,1,FALSE)))</formula>
    </cfRule>
  </conditionalFormatting>
  <conditionalFormatting sqref="A12">
    <cfRule type="expression" dxfId="3" priority="1">
      <formula>AND(ROW(A12)&gt;ROW(Tarifs),LEN(A12)&gt;0,ISERROR(VLOOKUP(A12,Liste_Types,1,FALSE)))</formula>
    </cfRule>
  </conditionalFormatting>
  <dataValidations count="1">
    <dataValidation type="list" allowBlank="1" showInputMessage="1" showErrorMessage="1" errorTitle="Choisir dans la liste" error="Choisir dans la liste !" sqref="A3:A19">
      <formula1>Liste_Types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8"/>
  <sheetViews>
    <sheetView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6" sqref="B6"/>
    </sheetView>
  </sheetViews>
  <sheetFormatPr baseColWidth="10" defaultRowHeight="14.25" x14ac:dyDescent="0.2"/>
  <cols>
    <col min="1" max="5" width="15.5703125" style="63" customWidth="1"/>
    <col min="6" max="6" width="22.42578125" style="1" customWidth="1"/>
    <col min="7" max="7" width="14.42578125" style="70" customWidth="1"/>
    <col min="8" max="8" width="52.5703125" style="1" customWidth="1"/>
    <col min="9" max="16384" width="11.42578125" style="1"/>
  </cols>
  <sheetData>
    <row r="1" spans="1:8" s="54" customFormat="1" ht="18" x14ac:dyDescent="0.25">
      <c r="A1" s="52" t="str">
        <f>Titre&amp;" - Imputations"</f>
        <v>Facturation de l'occupation du domaine public - Imputations</v>
      </c>
      <c r="B1" s="53"/>
      <c r="C1" s="53"/>
      <c r="D1" s="53"/>
      <c r="F1" s="55" t="s">
        <v>54</v>
      </c>
      <c r="G1" s="56"/>
      <c r="H1" s="57">
        <f>SUBTOTAL(9,G3:G8)</f>
        <v>0</v>
      </c>
    </row>
    <row r="2" spans="1:8" s="54" customFormat="1" ht="15" x14ac:dyDescent="0.25">
      <c r="A2" s="53"/>
      <c r="B2" s="53"/>
      <c r="C2" s="53"/>
      <c r="D2" s="53"/>
      <c r="E2" s="53"/>
      <c r="G2" s="58"/>
    </row>
    <row r="3" spans="1:8" s="54" customFormat="1" ht="15" x14ac:dyDescent="0.25">
      <c r="A3" s="59" t="s">
        <v>46</v>
      </c>
      <c r="B3" s="59" t="s">
        <v>47</v>
      </c>
      <c r="C3" s="59" t="s">
        <v>48</v>
      </c>
      <c r="D3" s="59" t="s">
        <v>50</v>
      </c>
      <c r="E3" s="59" t="s">
        <v>49</v>
      </c>
      <c r="F3" s="60" t="s">
        <v>51</v>
      </c>
      <c r="G3" s="61" t="s">
        <v>52</v>
      </c>
      <c r="H3" s="62" t="s">
        <v>22</v>
      </c>
    </row>
    <row r="4" spans="1:8" x14ac:dyDescent="0.2">
      <c r="A4" s="63" t="s">
        <v>55</v>
      </c>
      <c r="B4" s="63">
        <v>70323</v>
      </c>
      <c r="F4" s="2" t="s">
        <v>32</v>
      </c>
      <c r="G4" s="64">
        <f>IF(Année_Réf=0,SUMIF(Données!M:M,H:H,Données!L:L),SUMIFS(Données!L:L,Données!M:M,H:H,Données!X:X,Année_Réf))</f>
        <v>0</v>
      </c>
      <c r="H4" s="65" t="str">
        <f>A4&amp;"/"&amp;B4&amp;"/"&amp;C4&amp;"/"&amp;D4&amp;" : "&amp;F4</f>
        <v>DST/70323// : Terrasses</v>
      </c>
    </row>
    <row r="5" spans="1:8" x14ac:dyDescent="0.2">
      <c r="A5" s="63" t="s">
        <v>55</v>
      </c>
      <c r="B5" s="63">
        <v>70321</v>
      </c>
      <c r="C5" s="63">
        <v>822</v>
      </c>
      <c r="D5" s="82" t="s">
        <v>86</v>
      </c>
      <c r="F5" s="81" t="s">
        <v>81</v>
      </c>
      <c r="G5" s="64">
        <f>IF(Année_Réf=0,SUMIF(Données!M:M,H:H,Données!L:L),SUMIFS(Données!L:L,Données!M:M,H:H,Données!X:X,Année_Réf))</f>
        <v>0</v>
      </c>
      <c r="H5" s="65" t="str">
        <f>A5&amp;"/"&amp;B5&amp;"/"&amp;C5&amp;"/"&amp;D5&amp;" : "&amp;F5</f>
        <v>DST/70321/822/DTE : Ambulant</v>
      </c>
    </row>
    <row r="6" spans="1:8" x14ac:dyDescent="0.2">
      <c r="A6" s="63" t="s">
        <v>55</v>
      </c>
      <c r="B6" s="63">
        <v>70324</v>
      </c>
      <c r="F6" s="2" t="s">
        <v>38</v>
      </c>
      <c r="G6" s="64">
        <f>IF(Année_Réf=0,SUMIF(Données!M:M,H:H,Données!L:L),SUMIFS(Données!L:L,Données!M:M,H:H,Données!X:X,Année_Réf))</f>
        <v>0</v>
      </c>
      <c r="H6" s="65" t="str">
        <f t="shared" ref="H6:H7" si="0">A6&amp;"/"&amp;B6&amp;"/"&amp;C6&amp;"/"&amp;D6&amp;" : "&amp;F6</f>
        <v>DST/70324// : Entreprises</v>
      </c>
    </row>
    <row r="7" spans="1:8" x14ac:dyDescent="0.2">
      <c r="A7" s="63" t="s">
        <v>55</v>
      </c>
      <c r="B7" s="63">
        <v>70325</v>
      </c>
      <c r="F7" s="2" t="s">
        <v>39</v>
      </c>
      <c r="G7" s="64">
        <f>IF(Année_Réf=0,SUMIF(Données!M:M,H:H,Données!L:L),SUMIFS(Données!L:L,Données!M:M,H:H,Données!X:X,Année_Réf))</f>
        <v>0</v>
      </c>
      <c r="H7" s="65" t="str">
        <f t="shared" si="0"/>
        <v>DST/70325// : Services</v>
      </c>
    </row>
    <row r="8" spans="1:8" x14ac:dyDescent="0.2">
      <c r="A8" s="66"/>
      <c r="B8" s="66"/>
      <c r="C8" s="66"/>
      <c r="D8" s="66"/>
      <c r="E8" s="66"/>
      <c r="F8" s="67"/>
      <c r="G8" s="68"/>
      <c r="H8" s="69"/>
    </row>
  </sheetData>
  <autoFilter ref="A3:H7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L17"/>
  <sheetViews>
    <sheetView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8" sqref="G8:H9"/>
    </sheetView>
  </sheetViews>
  <sheetFormatPr baseColWidth="10" defaultRowHeight="15" x14ac:dyDescent="0.25"/>
  <cols>
    <col min="1" max="1" width="39.85546875" style="2" customWidth="1"/>
    <col min="2" max="2" width="16.140625" style="2" customWidth="1"/>
    <col min="3" max="3" width="37.7109375" style="2" customWidth="1"/>
    <col min="4" max="4" width="27.140625" style="2" bestFit="1" customWidth="1"/>
    <col min="5" max="5" width="14.85546875" style="24" customWidth="1"/>
    <col min="6" max="6" width="65.5703125" style="2" bestFit="1" customWidth="1"/>
    <col min="7" max="7" width="37.7109375" style="108" customWidth="1"/>
    <col min="8" max="8" width="37.7109375" style="104" customWidth="1"/>
    <col min="9" max="64" width="11.42578125" style="1"/>
  </cols>
  <sheetData>
    <row r="1" spans="1:64" ht="18" x14ac:dyDescent="0.25">
      <c r="A1" s="39" t="str">
        <f>Titre &amp; " - Types d'occupation"</f>
        <v>Facturation de l'occupation du domaine public - Types d'occupation</v>
      </c>
      <c r="D1" s="28" t="s">
        <v>54</v>
      </c>
      <c r="E1" s="29"/>
      <c r="F1" s="22">
        <f ca="1">SUBTOTAL(9,E3:E13)</f>
        <v>0</v>
      </c>
      <c r="BL1"/>
    </row>
    <row r="2" spans="1:64" x14ac:dyDescent="0.25">
      <c r="E2" s="22"/>
    </row>
    <row r="3" spans="1:64" ht="30" x14ac:dyDescent="0.25">
      <c r="A3" s="3" t="s">
        <v>24</v>
      </c>
      <c r="B3" s="3" t="s">
        <v>17</v>
      </c>
      <c r="C3" s="3" t="s">
        <v>25</v>
      </c>
      <c r="D3" s="3" t="s">
        <v>31</v>
      </c>
      <c r="E3" s="98" t="s">
        <v>59</v>
      </c>
      <c r="F3" s="3" t="s">
        <v>6</v>
      </c>
      <c r="G3" s="109" t="s">
        <v>95</v>
      </c>
      <c r="H3" s="105" t="s">
        <v>96</v>
      </c>
    </row>
    <row r="4" spans="1:64" x14ac:dyDescent="0.25">
      <c r="A4" s="2" t="s">
        <v>30</v>
      </c>
      <c r="B4" s="2" t="s">
        <v>8</v>
      </c>
      <c r="C4" s="2" t="s">
        <v>27</v>
      </c>
      <c r="D4" s="2" t="s">
        <v>32</v>
      </c>
      <c r="E4" s="30">
        <f ca="1">IF(Année_Réf_Types=0,SUMIF(Données!B:B,A:A,Données!L:L),SUMIFS(Données!L:L,Données!B:B,A:A,Données!X:X,Année_Réf_Types))</f>
        <v>0</v>
      </c>
      <c r="F4" s="2" t="s">
        <v>35</v>
      </c>
      <c r="G4" s="110" t="str">
        <f t="shared" ref="G4:G12" si="0">IFERROR(VLOOKUP(C4,Modes_Calcul,2,FALSE),"")</f>
        <v>Arrondi((Fin-Début+1)/365.25*12;0)</v>
      </c>
      <c r="H4" s="106" t="str">
        <f t="shared" ref="H4:H12" si="1">IFERROR(VLOOKUP(C4,Modes_Calcul,3,FALSE),"")</f>
        <v>Quantité*Mois*Tarif</v>
      </c>
    </row>
    <row r="5" spans="1:64" x14ac:dyDescent="0.25">
      <c r="A5" s="2" t="s">
        <v>33</v>
      </c>
      <c r="B5" s="2" t="s">
        <v>8</v>
      </c>
      <c r="C5" s="2" t="s">
        <v>27</v>
      </c>
      <c r="D5" s="2" t="s">
        <v>32</v>
      </c>
      <c r="E5" s="30">
        <f>IF(Année_Réf_Types=0,SUMIF(Données!B:B,A:A,Données!L:L),SUMIFS(Données!L:L,Données!B:B,A:A,Données!X:X,Année_Réf_Types))</f>
        <v>0</v>
      </c>
      <c r="F5" s="2" t="s">
        <v>36</v>
      </c>
      <c r="G5" s="110" t="str">
        <f t="shared" si="0"/>
        <v>Arrondi((Fin-Début+1)/365.25*12;0)</v>
      </c>
      <c r="H5" s="106" t="str">
        <f t="shared" si="1"/>
        <v>Quantité*Mois*Tarif</v>
      </c>
    </row>
    <row r="6" spans="1:64" x14ac:dyDescent="0.25">
      <c r="A6" s="2" t="s">
        <v>34</v>
      </c>
      <c r="B6" s="2" t="s">
        <v>8</v>
      </c>
      <c r="C6" s="2" t="s">
        <v>77</v>
      </c>
      <c r="D6" s="2" t="s">
        <v>32</v>
      </c>
      <c r="E6" s="30">
        <f ca="1">IF(Année_Réf_Types=0,SUMIF(Données!B:B,A:A,Données!L:L),SUMIFS(Données!L:L,Données!B:B,A:A,Données!X:X,Année_Réf_Types))</f>
        <v>0</v>
      </c>
      <c r="F6" s="2" t="s">
        <v>37</v>
      </c>
      <c r="G6" s="110" t="str">
        <f t="shared" si="0"/>
        <v>Fin-Début+1</v>
      </c>
      <c r="H6" s="106" t="str">
        <f t="shared" si="1"/>
        <v>Quantité*Jour*Tarif</v>
      </c>
    </row>
    <row r="7" spans="1:64" x14ac:dyDescent="0.25">
      <c r="A7" s="83" t="s">
        <v>87</v>
      </c>
      <c r="B7" s="81" t="s">
        <v>79</v>
      </c>
      <c r="C7" s="83" t="s">
        <v>89</v>
      </c>
      <c r="D7" s="81" t="s">
        <v>81</v>
      </c>
      <c r="E7" s="30">
        <f ca="1">IF(Année_Réf_Types=0,SUMIF(Données!B:B,A:A,Données!L:L),SUMIFS(Données!L:L,Données!B:B,A:A,Données!X:X,Année_Réf_Types))</f>
        <v>0</v>
      </c>
      <c r="F7" s="81" t="s">
        <v>80</v>
      </c>
      <c r="G7" s="110">
        <f t="shared" si="0"/>
        <v>0</v>
      </c>
      <c r="H7" s="106" t="str">
        <f t="shared" si="1"/>
        <v>Quantité*Mois*Tarif</v>
      </c>
    </row>
    <row r="8" spans="1:64" x14ac:dyDescent="0.25">
      <c r="A8" s="83" t="s">
        <v>88</v>
      </c>
      <c r="B8" s="83" t="s">
        <v>90</v>
      </c>
      <c r="C8" s="83" t="s">
        <v>83</v>
      </c>
      <c r="D8" s="81" t="s">
        <v>81</v>
      </c>
      <c r="E8" s="30">
        <f>IF(Année_Réf_Types=0,SUMIF(Données!B:B,A:A,Données!L:L),SUMIFS(Données!L:L,Données!B:B,A:A,Données!X:X,Année_Réf_Types))</f>
        <v>0</v>
      </c>
      <c r="F8" s="81" t="s">
        <v>84</v>
      </c>
      <c r="G8" s="110" t="str">
        <f t="shared" si="0"/>
        <v>Arrondi((Fin-Début+1)/365.25*12;0)</v>
      </c>
      <c r="H8" s="106" t="str">
        <f t="shared" si="1"/>
        <v>Durée*Tarif</v>
      </c>
    </row>
    <row r="9" spans="1:64" x14ac:dyDescent="0.25">
      <c r="A9" s="83" t="s">
        <v>100</v>
      </c>
      <c r="B9" s="83" t="s">
        <v>79</v>
      </c>
      <c r="C9" s="83" t="s">
        <v>82</v>
      </c>
      <c r="D9" s="83" t="s">
        <v>39</v>
      </c>
      <c r="E9" s="30">
        <f ca="1">IF(Année_Réf_Types=0,SUMIF(Données!B:B,A:A,Données!L:L),SUMIFS(Données!L:L,Données!B:B,A:A,Données!X:X,Année_Réf_Types))</f>
        <v>0</v>
      </c>
      <c r="F9" s="81"/>
      <c r="G9" s="110" t="str">
        <f t="shared" ref="G9" si="2">IFERROR(VLOOKUP(C9,Modes_Calcul,2,FALSE),"")</f>
        <v>Fin-Début+1</v>
      </c>
      <c r="H9" s="106" t="str">
        <f t="shared" ref="H9" si="3">IFERROR(VLOOKUP(C9,Modes_Calcul,3,FALSE),"")</f>
        <v>Durée*Tarif</v>
      </c>
    </row>
    <row r="10" spans="1:64" x14ac:dyDescent="0.25">
      <c r="A10" s="2" t="s">
        <v>10</v>
      </c>
      <c r="B10" s="2" t="s">
        <v>8</v>
      </c>
      <c r="C10" s="2" t="s">
        <v>28</v>
      </c>
      <c r="D10" s="2" t="s">
        <v>38</v>
      </c>
      <c r="E10" s="30">
        <f ca="1">IF(Année_Réf_Types=0,SUMIF(Données!B:B,A:A,Données!L:L),SUMIFS(Données!L:L,Données!B:B,A:A,Données!X:X,Année_Réf_Types))</f>
        <v>0</v>
      </c>
      <c r="G10" s="110">
        <f t="shared" si="0"/>
        <v>0</v>
      </c>
      <c r="H10" s="106" t="str">
        <f t="shared" si="1"/>
        <v>Quantité*Tarif</v>
      </c>
    </row>
    <row r="11" spans="1:64" x14ac:dyDescent="0.25">
      <c r="A11" s="2" t="s">
        <v>11</v>
      </c>
      <c r="B11" s="2" t="s">
        <v>8</v>
      </c>
      <c r="C11" s="2" t="s">
        <v>28</v>
      </c>
      <c r="D11" s="2" t="s">
        <v>39</v>
      </c>
      <c r="E11" s="30">
        <f ca="1">IF(Année_Réf_Types=0,SUMIF(Données!B:B,A:A,Données!L:L),SUMIFS(Données!L:L,Données!B:B,A:A,Données!X:X,Année_Réf_Types))</f>
        <v>0</v>
      </c>
      <c r="G11" s="110">
        <f t="shared" si="0"/>
        <v>0</v>
      </c>
      <c r="H11" s="106" t="str">
        <f t="shared" si="1"/>
        <v>Quantité*Tarif</v>
      </c>
    </row>
    <row r="12" spans="1:64" x14ac:dyDescent="0.25">
      <c r="A12" s="2" t="s">
        <v>12</v>
      </c>
      <c r="B12" s="2" t="s">
        <v>7</v>
      </c>
      <c r="C12" s="2" t="s">
        <v>29</v>
      </c>
      <c r="D12" s="2" t="s">
        <v>39</v>
      </c>
      <c r="E12" s="30">
        <f ca="1">IF(Année_Réf_Types=0,SUMIF(Données!B:B,A:A,Données!L:L),SUMIFS(Données!L:L,Données!B:B,A:A,Données!X:X,Année_Réf_Types))</f>
        <v>0</v>
      </c>
      <c r="G12" s="110">
        <f t="shared" si="0"/>
        <v>0</v>
      </c>
      <c r="H12" s="106" t="str">
        <f t="shared" si="1"/>
        <v>Quantité*Tarif</v>
      </c>
    </row>
    <row r="13" spans="1:64" x14ac:dyDescent="0.25">
      <c r="A13" s="3"/>
      <c r="B13" s="3"/>
      <c r="C13" s="3"/>
      <c r="D13" s="3"/>
      <c r="E13" s="23"/>
      <c r="F13" s="3"/>
      <c r="G13" s="109"/>
      <c r="H13" s="105"/>
    </row>
    <row r="15" spans="1:64" x14ac:dyDescent="0.25">
      <c r="C15" s="83"/>
      <c r="G15" s="111"/>
      <c r="H15" s="107"/>
    </row>
    <row r="16" spans="1:64" x14ac:dyDescent="0.25">
      <c r="C16" s="83"/>
      <c r="G16" s="111"/>
      <c r="H16" s="107"/>
    </row>
    <row r="17" spans="4:4" x14ac:dyDescent="0.25">
      <c r="D17" s="9"/>
    </row>
  </sheetData>
  <autoFilter ref="A3:H12"/>
  <conditionalFormatting sqref="C1:C1048576 G1:G1048576">
    <cfRule type="expression" dxfId="2" priority="3">
      <formula>AND(ROW(C1)&gt;ROW(Types),LEN(C1)&gt;0,ISERROR(VLOOKUP(C1,Modes_Calcul,1,FALSE)))</formula>
    </cfRule>
  </conditionalFormatting>
  <conditionalFormatting sqref="F7:F9">
    <cfRule type="expression" dxfId="1" priority="2">
      <formula>AND(ROW(F7)&gt;ROW(Types),LEN(F7)&gt;0,ISERROR(VLOOKUP(F7,Modes_Calcul,1,FALSE)))</formula>
    </cfRule>
  </conditionalFormatting>
  <conditionalFormatting sqref="H1:H1048576">
    <cfRule type="expression" dxfId="0" priority="1">
      <formula>AND(ROW(H1)&gt;ROW(Types),LEN(H1)&gt;0,ISERROR(VLOOKUP(H1,Modes_Calcul,1,FALSE)))</formula>
    </cfRule>
  </conditionalFormatting>
  <dataValidations count="2">
    <dataValidation type="list" allowBlank="1" showInputMessage="1" showErrorMessage="1" errorTitle="Choisir dans la liste" error="Choisir dans la liste !" sqref="F7:F9 G3:H13">
      <formula1>Modes_Calcul</formula1>
    </dataValidation>
    <dataValidation type="list" allowBlank="1" showInputMessage="1" showErrorMessage="1" errorTitle="Choisir dans la liste" error="Choisir dans la liste !" sqref="C1:C1048576">
      <formula1>Liste_Modes_Calcul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G18"/>
  <sheetViews>
    <sheetView zoomScale="90" zoomScaleNormal="90" workbookViewId="0">
      <selection activeCell="B19" sqref="B19"/>
    </sheetView>
  </sheetViews>
  <sheetFormatPr baseColWidth="10" defaultRowHeight="15" x14ac:dyDescent="0.25"/>
  <cols>
    <col min="1" max="1" width="39.85546875" style="2" customWidth="1"/>
    <col min="2" max="2" width="47.7109375" style="1" customWidth="1"/>
    <col min="3" max="3" width="76" style="1" customWidth="1"/>
    <col min="4" max="58" width="11.42578125" style="1"/>
  </cols>
  <sheetData>
    <row r="1" spans="1:59" x14ac:dyDescent="0.25">
      <c r="A1" s="8" t="s">
        <v>65</v>
      </c>
      <c r="B1" s="100" t="s">
        <v>97</v>
      </c>
    </row>
    <row r="2" spans="1:59" x14ac:dyDescent="0.25">
      <c r="A2" s="8" t="s">
        <v>50</v>
      </c>
      <c r="B2" s="1" t="s">
        <v>66</v>
      </c>
    </row>
    <row r="3" spans="1:59" x14ac:dyDescent="0.25">
      <c r="A3" s="8" t="s">
        <v>67</v>
      </c>
      <c r="B3" s="1" t="s">
        <v>62</v>
      </c>
    </row>
    <row r="5" spans="1:59" x14ac:dyDescent="0.25">
      <c r="A5" s="8" t="s">
        <v>26</v>
      </c>
      <c r="B5" s="8" t="s">
        <v>95</v>
      </c>
      <c r="C5" s="8" t="s">
        <v>96</v>
      </c>
      <c r="BG5" s="1"/>
    </row>
    <row r="6" spans="1:59" x14ac:dyDescent="0.25">
      <c r="A6" s="2" t="s">
        <v>29</v>
      </c>
      <c r="B6" s="83"/>
      <c r="C6" s="2" t="s">
        <v>93</v>
      </c>
      <c r="BG6" s="1"/>
    </row>
    <row r="7" spans="1:59" x14ac:dyDescent="0.25">
      <c r="A7" s="81" t="s">
        <v>82</v>
      </c>
      <c r="B7" s="83" t="s">
        <v>98</v>
      </c>
      <c r="C7" s="81" t="s">
        <v>94</v>
      </c>
      <c r="BG7" s="1"/>
    </row>
    <row r="8" spans="1:59" x14ac:dyDescent="0.25">
      <c r="A8" s="81" t="s">
        <v>83</v>
      </c>
      <c r="B8" s="83" t="s">
        <v>99</v>
      </c>
      <c r="C8" s="81" t="s">
        <v>94</v>
      </c>
      <c r="BG8" s="1"/>
    </row>
    <row r="9" spans="1:59" x14ac:dyDescent="0.25">
      <c r="A9" s="83" t="s">
        <v>89</v>
      </c>
      <c r="B9" s="83"/>
      <c r="C9" s="2" t="s">
        <v>91</v>
      </c>
      <c r="BG9" s="1"/>
    </row>
    <row r="10" spans="1:59" x14ac:dyDescent="0.25">
      <c r="A10" s="2" t="s">
        <v>77</v>
      </c>
      <c r="B10" s="83" t="s">
        <v>98</v>
      </c>
      <c r="C10" s="2" t="s">
        <v>92</v>
      </c>
      <c r="BG10" s="1"/>
    </row>
    <row r="11" spans="1:59" x14ac:dyDescent="0.25">
      <c r="A11" s="2" t="s">
        <v>27</v>
      </c>
      <c r="B11" s="83" t="s">
        <v>99</v>
      </c>
      <c r="C11" s="2" t="s">
        <v>91</v>
      </c>
      <c r="BG11" s="1"/>
    </row>
    <row r="12" spans="1:59" x14ac:dyDescent="0.25">
      <c r="A12" s="2" t="s">
        <v>28</v>
      </c>
      <c r="B12" s="83"/>
      <c r="C12" s="2" t="s">
        <v>93</v>
      </c>
      <c r="BG12" s="1"/>
    </row>
    <row r="13" spans="1:59" x14ac:dyDescent="0.25">
      <c r="A13" s="7"/>
      <c r="B13" s="7"/>
      <c r="C13" s="7"/>
      <c r="BG13" s="1"/>
    </row>
    <row r="14" spans="1:59" x14ac:dyDescent="0.25">
      <c r="B14" s="2"/>
      <c r="C14" s="2"/>
      <c r="BG14" s="1"/>
    </row>
    <row r="15" spans="1:59" x14ac:dyDescent="0.25">
      <c r="B15" s="2"/>
      <c r="C15" s="2"/>
      <c r="BG15" s="1"/>
    </row>
    <row r="16" spans="1:59" x14ac:dyDescent="0.25">
      <c r="B16" s="103"/>
      <c r="C16" s="2"/>
      <c r="BG16" s="1"/>
    </row>
    <row r="17" spans="2:59" x14ac:dyDescent="0.25">
      <c r="B17" s="103"/>
      <c r="BG17" s="1"/>
    </row>
    <row r="18" spans="2:59" x14ac:dyDescent="0.25">
      <c r="B18" s="83"/>
      <c r="C18" s="2"/>
      <c r="BG18" s="1"/>
    </row>
  </sheetData>
  <sortState ref="A6:A11">
    <sortCondition ref="A6"/>
  </sortState>
  <dataValidations count="1">
    <dataValidation type="list" allowBlank="1" showInputMessage="1" showErrorMessage="1" errorTitle="Choisir dans la liste" error="Choisir dans la liste !" sqref="C6:C12">
      <formula1>Modes_Calcul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23</vt:i4>
      </vt:variant>
    </vt:vector>
  </HeadingPairs>
  <TitlesOfParts>
    <vt:vector size="30" baseType="lpstr">
      <vt:lpstr>Accueil</vt:lpstr>
      <vt:lpstr>Données</vt:lpstr>
      <vt:lpstr>Synthèses</vt:lpstr>
      <vt:lpstr>Tarifs</vt:lpstr>
      <vt:lpstr>Imputations</vt:lpstr>
      <vt:lpstr>Types d'occupation</vt:lpstr>
      <vt:lpstr>Paramètres</vt:lpstr>
      <vt:lpstr>'Types d''occupation'!_FilterDatabase</vt:lpstr>
      <vt:lpstr>Année_Réf</vt:lpstr>
      <vt:lpstr>Année_Réf_Tarifs</vt:lpstr>
      <vt:lpstr>Année_Réf_Types</vt:lpstr>
      <vt:lpstr>Collectivité</vt:lpstr>
      <vt:lpstr>Début</vt:lpstr>
      <vt:lpstr>Données</vt:lpstr>
      <vt:lpstr>Durée</vt:lpstr>
      <vt:lpstr>Fin</vt:lpstr>
      <vt:lpstr>Identifiants_Tarifs</vt:lpstr>
      <vt:lpstr>Imputations</vt:lpstr>
      <vt:lpstr>Liste_Imputations</vt:lpstr>
      <vt:lpstr>Liste_Modes_Calcul</vt:lpstr>
      <vt:lpstr>Liste_Types</vt:lpstr>
      <vt:lpstr>Mode_Calcul</vt:lpstr>
      <vt:lpstr>Modes_Calcul</vt:lpstr>
      <vt:lpstr>Quantité</vt:lpstr>
      <vt:lpstr>Service</vt:lpstr>
      <vt:lpstr>Tarif</vt:lpstr>
      <vt:lpstr>Tarifs</vt:lpstr>
      <vt:lpstr>Titre</vt:lpstr>
      <vt:lpstr>Types</vt:lpstr>
      <vt:lpstr>Unité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eldcor</dc:creator>
  <cp:lastModifiedBy>DanDev</cp:lastModifiedBy>
  <dcterms:created xsi:type="dcterms:W3CDTF">2016-10-24T08:31:02Z</dcterms:created>
  <dcterms:modified xsi:type="dcterms:W3CDTF">2017-06-01T08:17:14Z</dcterms:modified>
</cp:coreProperties>
</file>