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30" windowWidth="21075" windowHeight="9510"/>
  </bookViews>
  <sheets>
    <sheet name="Entêtes Locations" sheetId="10" r:id="rId1"/>
    <sheet name="Détails Locations" sheetId="9" r:id="rId2"/>
    <sheet name="Emprunteurs" sheetId="7" r:id="rId3"/>
    <sheet name="Inventaire" sheetId="3" r:id="rId4"/>
    <sheet name="Catégories Inventaire" sheetId="5" r:id="rId5"/>
    <sheet name="Catégories Emprunteurs" sheetId="8" r:id="rId6"/>
    <sheet name="Paramètres" sheetId="2" r:id="rId7"/>
  </sheets>
  <definedNames>
    <definedName name="_xlnm._FilterDatabase" localSheetId="5" hidden="1">'Catégories Emprunteurs'!$A$4:$D$7</definedName>
    <definedName name="_xlnm._FilterDatabase" localSheetId="4" hidden="1">'Catégories Inventaire'!$A$4:$C$11</definedName>
    <definedName name="_xlnm._FilterDatabase" localSheetId="1">'Détails Locations'!$A$4:$K$16</definedName>
    <definedName name="_xlnm._FilterDatabase" localSheetId="2">Emprunteurs!$A$4:$E$16</definedName>
    <definedName name="_xlnm._FilterDatabase" localSheetId="0">'Entêtes Locations'!$B$4:$L$12</definedName>
    <definedName name="_xlnm._FilterDatabase" localSheetId="3">Inventaire!$A$4:$J$15</definedName>
    <definedName name="Catégories_Emprunteurs">'Catégories Emprunteurs'!$A$4:$D$8</definedName>
    <definedName name="Collectivité">Paramètres!$B$1</definedName>
    <definedName name="Emprunteurs">Emprunteurs!$A$4:$E$17</definedName>
    <definedName name="Entetes_Locations">'Entêtes Locations'!$A$4:$L$13</definedName>
    <definedName name="Equipements">Inventaire!$A$4:$J$16</definedName>
    <definedName name="Liste_Catégories_Emprunteurs">'Catégories Emprunteurs'!$A$4:$A$8</definedName>
    <definedName name="Liste_Catégories_Inventaire">'Catégories Inventaire'!$A$4:$A$12</definedName>
    <definedName name="Liste_Emprunteurs">Emprunteurs!$A$4:$A$17</definedName>
    <definedName name="Liste_Entetes_Locations">'Entêtes Locations'!$A$4:$A$13</definedName>
    <definedName name="Liste_Equipements">Inventaire!$A$4:$A$16</definedName>
    <definedName name="Service">Paramètres!$B$2</definedName>
    <definedName name="Titre">Paramètres!$B$3</definedName>
  </definedNames>
  <calcPr calcId="145621"/>
</workbook>
</file>

<file path=xl/calcChain.xml><?xml version="1.0" encoding="utf-8"?>
<calcChain xmlns="http://schemas.openxmlformats.org/spreadsheetml/2006/main">
  <c r="I7" i="3" l="1"/>
  <c r="I10" i="3"/>
  <c r="I11" i="3"/>
  <c r="I14" i="3"/>
  <c r="K10" i="10"/>
  <c r="J10" i="10"/>
  <c r="H10" i="10"/>
  <c r="I10" i="10" s="1"/>
  <c r="A10" i="10"/>
  <c r="A1" i="9"/>
  <c r="B1" i="10"/>
  <c r="E8" i="7" s="1"/>
  <c r="J6" i="10"/>
  <c r="K6" i="10"/>
  <c r="J7" i="10"/>
  <c r="K7" i="10"/>
  <c r="J8" i="10"/>
  <c r="K8" i="10"/>
  <c r="J9" i="10"/>
  <c r="K9" i="10"/>
  <c r="J11" i="10"/>
  <c r="K11" i="10"/>
  <c r="J12" i="10"/>
  <c r="K12" i="10"/>
  <c r="K5" i="10"/>
  <c r="A6" i="10"/>
  <c r="A7" i="10"/>
  <c r="A8" i="10"/>
  <c r="A9" i="10"/>
  <c r="A11" i="10"/>
  <c r="A12" i="10"/>
  <c r="A5" i="10"/>
  <c r="H11" i="9" s="1"/>
  <c r="H6" i="10"/>
  <c r="I6" i="10" s="1"/>
  <c r="H7" i="10"/>
  <c r="I7" i="10" s="1"/>
  <c r="H8" i="10"/>
  <c r="I8" i="10" s="1"/>
  <c r="H9" i="10"/>
  <c r="I9" i="10" s="1"/>
  <c r="H11" i="10"/>
  <c r="I11" i="10" s="1"/>
  <c r="H12" i="10"/>
  <c r="I12" i="10" s="1"/>
  <c r="H5" i="10"/>
  <c r="I5" i="10" s="1"/>
  <c r="J5" i="10"/>
  <c r="A1" i="8"/>
  <c r="A1" i="7"/>
  <c r="C6" i="5"/>
  <c r="A1" i="5"/>
  <c r="H2" i="3"/>
  <c r="E12" i="7" l="1"/>
  <c r="E9" i="7"/>
  <c r="L7" i="10"/>
  <c r="E7" i="7" s="1"/>
  <c r="E11" i="7"/>
  <c r="E16" i="9"/>
  <c r="E14" i="9"/>
  <c r="E12" i="9"/>
  <c r="E10" i="9"/>
  <c r="E8" i="9"/>
  <c r="E6" i="9"/>
  <c r="E15" i="9"/>
  <c r="E13" i="9"/>
  <c r="E11" i="9"/>
  <c r="E9" i="9"/>
  <c r="E7" i="9"/>
  <c r="E5" i="9"/>
  <c r="L12" i="10"/>
  <c r="E16" i="7" s="1"/>
  <c r="L11" i="10"/>
  <c r="E15" i="7" s="1"/>
  <c r="L9" i="10"/>
  <c r="E14" i="7" s="1"/>
  <c r="H7" i="9"/>
  <c r="F15" i="9"/>
  <c r="F13" i="9"/>
  <c r="F11" i="9"/>
  <c r="F9" i="9"/>
  <c r="F7" i="9"/>
  <c r="F5" i="9"/>
  <c r="G11" i="9"/>
  <c r="F16" i="9"/>
  <c r="F14" i="9"/>
  <c r="F12" i="9"/>
  <c r="F10" i="9"/>
  <c r="F8" i="9"/>
  <c r="F6" i="9"/>
  <c r="J11" i="3"/>
  <c r="J7" i="3"/>
  <c r="K2" i="10"/>
  <c r="I15" i="9"/>
  <c r="I11" i="9"/>
  <c r="J11" i="9" s="1"/>
  <c r="I7" i="9"/>
  <c r="H16" i="9"/>
  <c r="H14" i="9"/>
  <c r="H12" i="9"/>
  <c r="H10" i="9"/>
  <c r="I14" i="9"/>
  <c r="I10" i="9"/>
  <c r="I6" i="9"/>
  <c r="H15" i="9"/>
  <c r="H13" i="9"/>
  <c r="H8" i="9"/>
  <c r="H6" i="9"/>
  <c r="H5" i="9"/>
  <c r="H9" i="9"/>
  <c r="I13" i="9"/>
  <c r="I9" i="9"/>
  <c r="I5" i="9"/>
  <c r="I16" i="9"/>
  <c r="I12" i="9"/>
  <c r="I8" i="9"/>
  <c r="C11" i="5"/>
  <c r="C7" i="5"/>
  <c r="C9" i="5"/>
  <c r="C5" i="5"/>
  <c r="C10" i="5"/>
  <c r="C8" i="5"/>
  <c r="A1" i="3"/>
  <c r="K11" i="9" l="1"/>
  <c r="I8" i="3" s="1"/>
  <c r="H2" i="9"/>
  <c r="J6" i="9"/>
  <c r="G7" i="9"/>
  <c r="K7" i="9" s="1"/>
  <c r="J9" i="9"/>
  <c r="J13" i="9"/>
  <c r="J15" i="9"/>
  <c r="J12" i="9"/>
  <c r="J16" i="9"/>
  <c r="J10" i="9"/>
  <c r="L6" i="10" s="1"/>
  <c r="E6" i="7" s="1"/>
  <c r="J14" i="9"/>
  <c r="J5" i="9"/>
  <c r="J8" i="9"/>
  <c r="J7" i="9"/>
  <c r="G5" i="9"/>
  <c r="K5" i="9" s="1"/>
  <c r="G8" i="9"/>
  <c r="K8" i="9" s="1"/>
  <c r="G15" i="9"/>
  <c r="K15" i="9" s="1"/>
  <c r="G12" i="9"/>
  <c r="K12" i="9" s="1"/>
  <c r="G16" i="9"/>
  <c r="K16" i="9" s="1"/>
  <c r="G9" i="9"/>
  <c r="K9" i="9" s="1"/>
  <c r="G6" i="9"/>
  <c r="K6" i="9" s="1"/>
  <c r="G13" i="9"/>
  <c r="K13" i="9" s="1"/>
  <c r="G10" i="9"/>
  <c r="K10" i="9" s="1"/>
  <c r="I15" i="3" s="1"/>
  <c r="G14" i="9"/>
  <c r="K14" i="9" s="1"/>
  <c r="I12" i="3" s="1"/>
  <c r="C2" i="5"/>
  <c r="L8" i="10" l="1"/>
  <c r="J2" i="9"/>
  <c r="L10" i="10"/>
  <c r="L5" i="10"/>
  <c r="I6" i="3"/>
  <c r="J6" i="3" s="1"/>
  <c r="I13" i="3"/>
  <c r="J13" i="3" s="1"/>
  <c r="I9" i="3"/>
  <c r="J9" i="3" s="1"/>
  <c r="I5" i="3"/>
  <c r="J5" i="3" s="1"/>
  <c r="J14" i="3"/>
  <c r="J12" i="3"/>
  <c r="J8" i="3"/>
  <c r="J10" i="3"/>
  <c r="J15" i="3"/>
  <c r="E10" i="7" l="1"/>
  <c r="D6" i="8"/>
  <c r="E13" i="7"/>
  <c r="D7" i="8"/>
  <c r="E5" i="7"/>
  <c r="D5" i="8"/>
  <c r="D2" i="8" s="1"/>
  <c r="I2" i="3"/>
  <c r="J2" i="3"/>
  <c r="E2" i="7"/>
  <c r="L2" i="10"/>
</calcChain>
</file>

<file path=xl/sharedStrings.xml><?xml version="1.0" encoding="utf-8"?>
<sst xmlns="http://schemas.openxmlformats.org/spreadsheetml/2006/main" count="158" uniqueCount="85">
  <si>
    <t>Collectivité</t>
  </si>
  <si>
    <t>Service</t>
  </si>
  <si>
    <t>Titre</t>
  </si>
  <si>
    <t>Ville d'Excel-les-Bains</t>
  </si>
  <si>
    <t>Patrimoine</t>
  </si>
  <si>
    <t>Location d'équipements</t>
  </si>
  <si>
    <t>Désignation</t>
  </si>
  <si>
    <t>Barrières métalliques</t>
  </si>
  <si>
    <t>Barnum 9 m²</t>
  </si>
  <si>
    <t>Barnum 40 m²</t>
  </si>
  <si>
    <t>Drapeaux</t>
  </si>
  <si>
    <t>Grilles-Caddie</t>
  </si>
  <si>
    <t>Panneaux d'exposition</t>
  </si>
  <si>
    <t>Stock</t>
  </si>
  <si>
    <t>Sorties</t>
  </si>
  <si>
    <t>Solde</t>
  </si>
  <si>
    <t>Observations</t>
  </si>
  <si>
    <t>Tables 80x60</t>
  </si>
  <si>
    <t>Grand podium</t>
  </si>
  <si>
    <t>Petit podium</t>
  </si>
  <si>
    <t>Chaises coque plastique noire</t>
  </si>
  <si>
    <t>Praticable 150x100</t>
  </si>
  <si>
    <t>Tarif jour</t>
  </si>
  <si>
    <t>Descriptif</t>
  </si>
  <si>
    <t>Catégorie</t>
  </si>
  <si>
    <t>Nombre d'éléments</t>
  </si>
  <si>
    <t>Sécurité</t>
  </si>
  <si>
    <t>Spectacle</t>
  </si>
  <si>
    <t>Mobilier</t>
  </si>
  <si>
    <t>Protocole</t>
  </si>
  <si>
    <t>Exposition</t>
  </si>
  <si>
    <t>Divers</t>
  </si>
  <si>
    <t>Contact</t>
  </si>
  <si>
    <t>Ville de Craponne</t>
  </si>
  <si>
    <t>Ville de Brignais</t>
  </si>
  <si>
    <t>Ville de Francheville</t>
  </si>
  <si>
    <t>Commune d'Irigny</t>
  </si>
  <si>
    <t>Commune d'Ecully</t>
  </si>
  <si>
    <t>Collectivités</t>
  </si>
  <si>
    <t>Associations</t>
  </si>
  <si>
    <t>Tarif collectivité</t>
  </si>
  <si>
    <t>Tarif association</t>
  </si>
  <si>
    <t>Club de Football</t>
  </si>
  <si>
    <t>Club de Pétanque</t>
  </si>
  <si>
    <t>Club de Basket-ball</t>
  </si>
  <si>
    <t>Club de Volley-ball</t>
  </si>
  <si>
    <t>Club de Philatélie</t>
  </si>
  <si>
    <t>Club d'Aéromodélisme</t>
  </si>
  <si>
    <t>Abris</t>
  </si>
  <si>
    <t>Equipement</t>
  </si>
  <si>
    <t>Tarif applicable</t>
  </si>
  <si>
    <t>Début</t>
  </si>
  <si>
    <t>Fin</t>
  </si>
  <si>
    <t>Durée</t>
  </si>
  <si>
    <t>Montant</t>
  </si>
  <si>
    <t>Retour</t>
  </si>
  <si>
    <t>Durée prévue</t>
  </si>
  <si>
    <t>Durée réelle</t>
  </si>
  <si>
    <t>Quantité</t>
  </si>
  <si>
    <t>Evénement</t>
  </si>
  <si>
    <t>Fête du Cheval</t>
  </si>
  <si>
    <t>Fête du Chien</t>
  </si>
  <si>
    <t>Fête du Chat</t>
  </si>
  <si>
    <t>Championnats Vétérans</t>
  </si>
  <si>
    <t>Championnats Poussins</t>
  </si>
  <si>
    <t>III° Rencontres Internationales</t>
  </si>
  <si>
    <t>Défi du Rail 2015</t>
  </si>
  <si>
    <t>Clé</t>
  </si>
  <si>
    <t>Clé Location</t>
  </si>
  <si>
    <t>Ville de Craponne-Fête du Cheval</t>
  </si>
  <si>
    <t>Ville de Brignais-Fête du Chien</t>
  </si>
  <si>
    <t>Club de Basket-ball-Championnats Vétérans</t>
  </si>
  <si>
    <t>Convention n°1535</t>
  </si>
  <si>
    <t>Convention n°1536</t>
  </si>
  <si>
    <t>Convention n°1537</t>
  </si>
  <si>
    <t>Convention n°1538</t>
  </si>
  <si>
    <t>Convention n°1539</t>
  </si>
  <si>
    <t>Convention n°1540</t>
  </si>
  <si>
    <t>Convention n°1541</t>
  </si>
  <si>
    <t>Tarif autre</t>
  </si>
  <si>
    <t>Entreprise Laboite &amp; Cie</t>
  </si>
  <si>
    <t>20ème anniversaire</t>
  </si>
  <si>
    <t>Entreprise Laboite &amp; Cie-20ème anniversaire</t>
  </si>
  <si>
    <t>Montants</t>
  </si>
  <si>
    <t>En stock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</si>
</sst>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</numFmts>
  <fonts count="4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4" tint="-0.24997711111789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2" fillId="2" borderId="0" xfId="0" applyFont="1" applyFill="1" applyAlignment="1">
      <alignment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0" fontId="3" fillId="0" borderId="0" xfId="0" applyFont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164" fontId="0" fillId="4" borderId="0" xfId="1" applyNumberFormat="1" applyFont="1" applyFill="1" applyAlignment="1">
      <alignment horizontal="center" vertical="center"/>
    </xf>
    <xf numFmtId="164" fontId="0" fillId="2" borderId="0" xfId="1" applyNumberFormat="1" applyFont="1" applyFill="1" applyAlignment="1">
      <alignment horizontal="center" vertical="center"/>
    </xf>
    <xf numFmtId="164" fontId="0" fillId="3" borderId="0" xfId="1" applyNumberFormat="1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2" borderId="0" xfId="0" applyFont="1" applyFill="1" applyAlignment="1">
      <alignment horizontal="left" vertical="top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left" vertical="center"/>
    </xf>
    <xf numFmtId="164" fontId="2" fillId="3" borderId="0" xfId="1" applyNumberFormat="1" applyFont="1" applyFill="1" applyAlignment="1">
      <alignment horizontal="center" vertical="top" wrapText="1"/>
    </xf>
    <xf numFmtId="44" fontId="2" fillId="0" borderId="0" xfId="2" applyFont="1" applyAlignment="1">
      <alignment horizontal="center" vertical="center"/>
    </xf>
    <xf numFmtId="44" fontId="2" fillId="3" borderId="0" xfId="2" applyFont="1" applyFill="1" applyAlignment="1">
      <alignment horizontal="center" vertical="top" wrapText="1"/>
    </xf>
    <xf numFmtId="44" fontId="0" fillId="4" borderId="0" xfId="2" applyFont="1" applyFill="1" applyAlignment="1">
      <alignment horizontal="center" vertical="center"/>
    </xf>
    <xf numFmtId="44" fontId="0" fillId="3" borderId="0" xfId="2" applyFont="1" applyFill="1" applyAlignment="1">
      <alignment horizontal="center" vertical="center"/>
    </xf>
    <xf numFmtId="44" fontId="0" fillId="0" borderId="0" xfId="2" applyFont="1" applyAlignment="1">
      <alignment horizontal="center" vertical="center"/>
    </xf>
    <xf numFmtId="44" fontId="0" fillId="2" borderId="0" xfId="2" applyFont="1" applyFill="1" applyAlignment="1">
      <alignment horizontal="center" vertical="center"/>
    </xf>
    <xf numFmtId="0" fontId="2" fillId="2" borderId="0" xfId="0" applyFont="1" applyFill="1" applyAlignment="1">
      <alignment vertical="top" wrapText="1"/>
    </xf>
    <xf numFmtId="0" fontId="2" fillId="2" borderId="0" xfId="0" applyFont="1" applyFill="1" applyAlignment="1">
      <alignment horizontal="left" vertical="top" wrapText="1"/>
    </xf>
    <xf numFmtId="164" fontId="2" fillId="2" borderId="0" xfId="1" applyNumberFormat="1" applyFont="1" applyFill="1" applyAlignment="1">
      <alignment horizontal="center" vertical="top" wrapText="1"/>
    </xf>
    <xf numFmtId="44" fontId="2" fillId="2" borderId="0" xfId="2" applyFont="1" applyFill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2" fillId="2" borderId="0" xfId="0" applyFont="1" applyFill="1" applyAlignment="1">
      <alignment horizontal="center" vertical="top" wrapText="1"/>
    </xf>
    <xf numFmtId="14" fontId="0" fillId="0" borderId="0" xfId="0" applyNumberFormat="1" applyAlignment="1">
      <alignment horizontal="center" vertical="center"/>
    </xf>
    <xf numFmtId="164" fontId="2" fillId="0" borderId="0" xfId="1" applyNumberFormat="1" applyFont="1" applyAlignment="1">
      <alignment horizontal="left" vertical="center"/>
    </xf>
    <xf numFmtId="164" fontId="0" fillId="0" borderId="0" xfId="1" applyNumberFormat="1" applyFont="1" applyAlignment="1">
      <alignment horizontal="left" vertical="center"/>
    </xf>
    <xf numFmtId="44" fontId="2" fillId="3" borderId="0" xfId="2" applyFont="1" applyFill="1" applyAlignment="1">
      <alignment vertical="top" wrapText="1"/>
    </xf>
    <xf numFmtId="44" fontId="0" fillId="4" borderId="0" xfId="2" applyFont="1" applyFill="1" applyAlignment="1">
      <alignment vertical="center"/>
    </xf>
    <xf numFmtId="44" fontId="0" fillId="3" borderId="0" xfId="2" applyFont="1" applyFill="1" applyAlignment="1">
      <alignment vertical="center"/>
    </xf>
    <xf numFmtId="14" fontId="2" fillId="0" borderId="0" xfId="0" applyNumberFormat="1" applyFont="1" applyAlignment="1">
      <alignment horizontal="center" vertical="center"/>
    </xf>
    <xf numFmtId="14" fontId="2" fillId="3" borderId="0" xfId="2" applyNumberFormat="1" applyFont="1" applyFill="1" applyAlignment="1">
      <alignment horizontal="center" vertical="top" wrapText="1"/>
    </xf>
    <xf numFmtId="14" fontId="0" fillId="4" borderId="0" xfId="2" applyNumberFormat="1" applyFont="1" applyFill="1" applyAlignment="1">
      <alignment horizontal="center" vertical="center"/>
    </xf>
    <xf numFmtId="14" fontId="0" fillId="3" borderId="0" xfId="2" applyNumberFormat="1" applyFont="1" applyFill="1" applyAlignment="1">
      <alignment horizontal="center" vertical="center"/>
    </xf>
  </cellXfs>
  <cellStyles count="3">
    <cellStyle name="Milliers" xfId="1" builtinId="3"/>
    <cellStyle name="Monétaire" xfId="2" builtinId="4"/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workbookViewId="0">
      <pane ySplit="4" topLeftCell="A5" activePane="bottomLeft" state="frozen"/>
      <selection pane="bottomLeft" activeCell="C19" sqref="C19"/>
    </sheetView>
  </sheetViews>
  <sheetFormatPr baseColWidth="10" defaultRowHeight="12.75" x14ac:dyDescent="0.2"/>
  <cols>
    <col min="1" max="1" width="5.42578125" style="5" customWidth="1"/>
    <col min="2" max="3" width="28.7109375" style="5" customWidth="1"/>
    <col min="4" max="6" width="13.140625" style="6" customWidth="1"/>
    <col min="7" max="7" width="20.42578125" style="5" customWidth="1"/>
    <col min="8" max="8" width="14.5703125" style="5" customWidth="1"/>
    <col min="9" max="9" width="18.5703125" style="5" customWidth="1"/>
    <col min="10" max="10" width="8.85546875" style="6" customWidth="1"/>
    <col min="11" max="11" width="8.85546875" style="11" customWidth="1"/>
    <col min="12" max="12" width="11.42578125" style="24"/>
    <col min="13" max="16384" width="11.42578125" style="5"/>
  </cols>
  <sheetData>
    <row r="1" spans="1:12" s="3" customFormat="1" ht="18" x14ac:dyDescent="0.2">
      <c r="B1" s="9" t="str">
        <f>Collectivité&amp;"-"&amp;Service&amp;"-"&amp;Titre&amp;" - Entêtes Locations"</f>
        <v>Ville d'Excel-les-Bains-Patrimoine-Location d'équipements - Entêtes Locations</v>
      </c>
      <c r="C1" s="9"/>
      <c r="D1" s="4"/>
      <c r="E1" s="4"/>
      <c r="F1" s="4"/>
      <c r="J1" s="4"/>
      <c r="K1" s="10"/>
      <c r="L1" s="20"/>
    </row>
    <row r="2" spans="1:12" s="3" customFormat="1" ht="19.5" customHeight="1" x14ac:dyDescent="0.2">
      <c r="D2" s="4"/>
      <c r="E2" s="4"/>
      <c r="F2" s="4"/>
      <c r="J2" s="4"/>
      <c r="K2" s="10">
        <f t="shared" ref="K2:L2" si="0">SUBTOTAL(9,K4:K13)</f>
        <v>126</v>
      </c>
      <c r="L2" s="20">
        <f t="shared" si="0"/>
        <v>1527</v>
      </c>
    </row>
    <row r="3" spans="1:12" s="3" customFormat="1" x14ac:dyDescent="0.2">
      <c r="D3" s="4"/>
      <c r="E3" s="4"/>
      <c r="F3" s="4"/>
      <c r="J3" s="4"/>
      <c r="K3" s="10"/>
      <c r="L3" s="20"/>
    </row>
    <row r="4" spans="1:12" s="30" customFormat="1" ht="27.75" customHeight="1" x14ac:dyDescent="0.2">
      <c r="A4" s="21" t="s">
        <v>67</v>
      </c>
      <c r="B4" s="26" t="s">
        <v>0</v>
      </c>
      <c r="C4" s="26" t="s">
        <v>59</v>
      </c>
      <c r="D4" s="31" t="s">
        <v>51</v>
      </c>
      <c r="E4" s="31" t="s">
        <v>52</v>
      </c>
      <c r="F4" s="31" t="s">
        <v>55</v>
      </c>
      <c r="G4" s="26" t="s">
        <v>16</v>
      </c>
      <c r="H4" s="35" t="s">
        <v>24</v>
      </c>
      <c r="I4" s="35" t="s">
        <v>50</v>
      </c>
      <c r="J4" s="19" t="s">
        <v>56</v>
      </c>
      <c r="K4" s="19" t="s">
        <v>57</v>
      </c>
      <c r="L4" s="21" t="s">
        <v>54</v>
      </c>
    </row>
    <row r="5" spans="1:12" x14ac:dyDescent="0.2">
      <c r="A5" s="22" t="str">
        <f>B5&amp;"-"&amp;C5</f>
        <v>Ville de Craponne-Fête du Cheval</v>
      </c>
      <c r="B5" s="5" t="s">
        <v>33</v>
      </c>
      <c r="C5" s="5" t="s">
        <v>60</v>
      </c>
      <c r="D5" s="32">
        <v>42273</v>
      </c>
      <c r="E5" s="32">
        <v>42281</v>
      </c>
      <c r="F5" s="32"/>
      <c r="G5" s="5" t="s">
        <v>72</v>
      </c>
      <c r="H5" s="36" t="str">
        <f t="shared" ref="H5:H12" si="1">IF(ISTEXT(VLOOKUP(B5,Emprunteurs,2,FALSE)),VLOOKUP(B5,Emprunteurs,2,FALSE),"")</f>
        <v>Collectivités</v>
      </c>
      <c r="I5" s="36" t="str">
        <f t="shared" ref="I5:I12" si="2">IF(ISTEXT(VLOOKUP(H5,Catégories_Emprunteurs,2,FALSE)),VLOOKUP(H5,Catégories_Emprunteurs,2,FALSE),"")</f>
        <v>Tarif collectivité</v>
      </c>
      <c r="J5" s="12">
        <f t="shared" ref="J5:J12" si="3">E5-D5+1</f>
        <v>9</v>
      </c>
      <c r="K5" s="12">
        <f t="shared" ref="K5:K12" si="4">IF(ISNUMBER(F5),F5-D5+1,E5-D5+1)</f>
        <v>9</v>
      </c>
      <c r="L5" s="22">
        <f>SUMIF('Détails Locations'!A:A,'Entêtes Locations'!A:A,'Détails Locations'!J:J)</f>
        <v>900</v>
      </c>
    </row>
    <row r="6" spans="1:12" x14ac:dyDescent="0.2">
      <c r="A6" s="22" t="str">
        <f t="shared" ref="A6:A12" si="5">B6&amp;"-"&amp;C6</f>
        <v>Ville de Brignais-Fête du Chien</v>
      </c>
      <c r="B6" s="5" t="s">
        <v>34</v>
      </c>
      <c r="C6" s="5" t="s">
        <v>61</v>
      </c>
      <c r="D6" s="32">
        <v>42274</v>
      </c>
      <c r="E6" s="32">
        <v>42288</v>
      </c>
      <c r="G6" s="5" t="s">
        <v>73</v>
      </c>
      <c r="H6" s="36" t="str">
        <f t="shared" si="1"/>
        <v>Collectivités</v>
      </c>
      <c r="I6" s="36" t="str">
        <f t="shared" si="2"/>
        <v>Tarif collectivité</v>
      </c>
      <c r="J6" s="12">
        <f t="shared" si="3"/>
        <v>15</v>
      </c>
      <c r="K6" s="12">
        <f t="shared" si="4"/>
        <v>15</v>
      </c>
      <c r="L6" s="22">
        <f>SUMIF('Détails Locations'!A:A,'Entêtes Locations'!A:A,'Détails Locations'!J:J)</f>
        <v>55.5</v>
      </c>
    </row>
    <row r="7" spans="1:12" x14ac:dyDescent="0.2">
      <c r="A7" s="22" t="str">
        <f t="shared" si="5"/>
        <v>Ville de Francheville-Fête du Chat</v>
      </c>
      <c r="B7" s="5" t="s">
        <v>35</v>
      </c>
      <c r="C7" s="5" t="s">
        <v>62</v>
      </c>
      <c r="D7" s="32">
        <v>42275</v>
      </c>
      <c r="E7" s="32">
        <v>42295</v>
      </c>
      <c r="G7" s="5" t="s">
        <v>74</v>
      </c>
      <c r="H7" s="36" t="str">
        <f t="shared" si="1"/>
        <v>Collectivités</v>
      </c>
      <c r="I7" s="36" t="str">
        <f t="shared" si="2"/>
        <v>Tarif collectivité</v>
      </c>
      <c r="J7" s="12">
        <f t="shared" si="3"/>
        <v>21</v>
      </c>
      <c r="K7" s="12">
        <f t="shared" si="4"/>
        <v>21</v>
      </c>
      <c r="L7" s="22">
        <f>SUMIF('Détails Locations'!A:A,'Entêtes Locations'!A:A,'Détails Locations'!J:J)</f>
        <v>0</v>
      </c>
    </row>
    <row r="8" spans="1:12" x14ac:dyDescent="0.2">
      <c r="A8" s="22" t="str">
        <f t="shared" si="5"/>
        <v>Club de Basket-ball-Championnats Vétérans</v>
      </c>
      <c r="B8" s="5" t="s">
        <v>44</v>
      </c>
      <c r="C8" s="5" t="s">
        <v>63</v>
      </c>
      <c r="D8" s="32">
        <v>42276</v>
      </c>
      <c r="E8" s="32">
        <v>42281</v>
      </c>
      <c r="G8" s="5" t="s">
        <v>75</v>
      </c>
      <c r="H8" s="36" t="str">
        <f t="shared" si="1"/>
        <v>Associations</v>
      </c>
      <c r="I8" s="36" t="str">
        <f t="shared" si="2"/>
        <v>Tarif association</v>
      </c>
      <c r="J8" s="12">
        <f t="shared" si="3"/>
        <v>6</v>
      </c>
      <c r="K8" s="12">
        <f t="shared" si="4"/>
        <v>6</v>
      </c>
      <c r="L8" s="22">
        <f>SUMIF('Détails Locations'!A:A,'Entêtes Locations'!A:A,'Détails Locations'!J:J)</f>
        <v>31.5</v>
      </c>
    </row>
    <row r="9" spans="1:12" x14ac:dyDescent="0.2">
      <c r="A9" s="22" t="str">
        <f t="shared" si="5"/>
        <v>Club de Volley-ball-Championnats Poussins</v>
      </c>
      <c r="B9" s="5" t="s">
        <v>45</v>
      </c>
      <c r="C9" s="5" t="s">
        <v>64</v>
      </c>
      <c r="D9" s="32">
        <v>42277</v>
      </c>
      <c r="E9" s="32">
        <v>42288</v>
      </c>
      <c r="G9" s="5" t="s">
        <v>76</v>
      </c>
      <c r="H9" s="36" t="str">
        <f t="shared" si="1"/>
        <v>Associations</v>
      </c>
      <c r="I9" s="36" t="str">
        <f t="shared" si="2"/>
        <v>Tarif association</v>
      </c>
      <c r="J9" s="12">
        <f t="shared" si="3"/>
        <v>12</v>
      </c>
      <c r="K9" s="12">
        <f t="shared" si="4"/>
        <v>12</v>
      </c>
      <c r="L9" s="22">
        <f>SUMIF('Détails Locations'!A:A,'Entêtes Locations'!A:A,'Détails Locations'!J:J)</f>
        <v>0</v>
      </c>
    </row>
    <row r="10" spans="1:12" x14ac:dyDescent="0.2">
      <c r="A10" s="22" t="str">
        <f t="shared" ref="A10" si="6">B10&amp;"-"&amp;C10</f>
        <v>Entreprise Laboite &amp; Cie-20ème anniversaire</v>
      </c>
      <c r="B10" s="5" t="s">
        <v>80</v>
      </c>
      <c r="C10" s="5" t="s">
        <v>81</v>
      </c>
      <c r="D10" s="32">
        <v>42278</v>
      </c>
      <c r="E10" s="32">
        <v>42295</v>
      </c>
      <c r="G10" s="5" t="s">
        <v>77</v>
      </c>
      <c r="H10" s="36" t="str">
        <f t="shared" si="1"/>
        <v>Divers</v>
      </c>
      <c r="I10" s="36" t="str">
        <f t="shared" si="2"/>
        <v>Tarif autre</v>
      </c>
      <c r="J10" s="12">
        <f t="shared" si="3"/>
        <v>18</v>
      </c>
      <c r="K10" s="12">
        <f t="shared" si="4"/>
        <v>18</v>
      </c>
      <c r="L10" s="22">
        <f>SUMIF('Détails Locations'!A:A,'Entêtes Locations'!A:A,'Détails Locations'!J:J)</f>
        <v>540</v>
      </c>
    </row>
    <row r="11" spans="1:12" x14ac:dyDescent="0.2">
      <c r="A11" s="22" t="str">
        <f t="shared" si="5"/>
        <v>Club de Philatélie-III° Rencontres Internationales</v>
      </c>
      <c r="B11" s="5" t="s">
        <v>46</v>
      </c>
      <c r="C11" s="5" t="s">
        <v>65</v>
      </c>
      <c r="D11" s="32">
        <v>42279</v>
      </c>
      <c r="E11" s="32">
        <v>42295</v>
      </c>
      <c r="G11" s="5" t="s">
        <v>77</v>
      </c>
      <c r="H11" s="36" t="str">
        <f t="shared" si="1"/>
        <v>Associations</v>
      </c>
      <c r="I11" s="36" t="str">
        <f t="shared" si="2"/>
        <v>Tarif association</v>
      </c>
      <c r="J11" s="12">
        <f t="shared" si="3"/>
        <v>17</v>
      </c>
      <c r="K11" s="12">
        <f t="shared" si="4"/>
        <v>17</v>
      </c>
      <c r="L11" s="22">
        <f>SUMIF('Détails Locations'!A:A,'Entêtes Locations'!A:A,'Détails Locations'!J:J)</f>
        <v>0</v>
      </c>
    </row>
    <row r="12" spans="1:12" x14ac:dyDescent="0.2">
      <c r="A12" s="22" t="str">
        <f t="shared" si="5"/>
        <v>Club d'Aéromodélisme-Défi du Rail 2015</v>
      </c>
      <c r="B12" s="5" t="s">
        <v>47</v>
      </c>
      <c r="C12" s="5" t="s">
        <v>66</v>
      </c>
      <c r="D12" s="32">
        <v>42280</v>
      </c>
      <c r="E12" s="32">
        <v>42307</v>
      </c>
      <c r="G12" s="5" t="s">
        <v>78</v>
      </c>
      <c r="H12" s="36" t="str">
        <f t="shared" si="1"/>
        <v>Associations</v>
      </c>
      <c r="I12" s="36" t="str">
        <f t="shared" si="2"/>
        <v>Tarif association</v>
      </c>
      <c r="J12" s="12">
        <f t="shared" si="3"/>
        <v>28</v>
      </c>
      <c r="K12" s="12">
        <f t="shared" si="4"/>
        <v>28</v>
      </c>
      <c r="L12" s="22">
        <f>SUMIF('Détails Locations'!A:A,'Entêtes Locations'!A:A,'Détails Locations'!J:J)</f>
        <v>0</v>
      </c>
    </row>
    <row r="13" spans="1:12" ht="18.75" customHeight="1" x14ac:dyDescent="0.2">
      <c r="A13" s="23"/>
      <c r="B13" s="7"/>
      <c r="C13" s="7"/>
      <c r="D13" s="8"/>
      <c r="E13" s="8"/>
      <c r="F13" s="8"/>
      <c r="G13" s="7"/>
      <c r="H13" s="37"/>
      <c r="I13" s="37"/>
      <c r="J13" s="14"/>
      <c r="K13" s="14"/>
      <c r="L13" s="23"/>
    </row>
  </sheetData>
  <autoFilter ref="B4:L12"/>
  <conditionalFormatting sqref="E4:E13">
    <cfRule type="expression" dxfId="4" priority="2">
      <formula>AND(E4&lt;TODAY(),LEN(F4)=0,LEN(D4)&gt;0)</formula>
    </cfRule>
  </conditionalFormatting>
  <dataValidations count="2">
    <dataValidation type="list" allowBlank="1" showInputMessage="1" showErrorMessage="1" errorTitle="Choisir dans la liste" error="Choisir dans la liste !" sqref="H4:H13">
      <formula1>Liste_Equipements</formula1>
    </dataValidation>
    <dataValidation type="list" allowBlank="1" showInputMessage="1" showErrorMessage="1" errorTitle="Choisir dans la liste" error="Choisir dans la liste !" sqref="B4:B13">
      <formula1>Liste_Emprunteurs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workbookViewId="0">
      <pane ySplit="4" topLeftCell="A5" activePane="bottomLeft" state="frozen"/>
      <selection pane="bottomLeft" activeCell="K7" sqref="K7"/>
    </sheetView>
  </sheetViews>
  <sheetFormatPr baseColWidth="10" defaultRowHeight="12.75" x14ac:dyDescent="0.2"/>
  <cols>
    <col min="1" max="1" width="40.5703125" style="5" customWidth="1"/>
    <col min="2" max="2" width="30.85546875" style="17" customWidth="1"/>
    <col min="3" max="3" width="13.28515625" style="6" bestFit="1" customWidth="1"/>
    <col min="4" max="4" width="18.42578125" style="5" customWidth="1"/>
    <col min="5" max="5" width="20.42578125" style="5" bestFit="1" customWidth="1"/>
    <col min="6" max="7" width="13.42578125" style="32" customWidth="1"/>
    <col min="8" max="8" width="11.5703125" style="34" bestFit="1" customWidth="1"/>
    <col min="9" max="9" width="10.85546875" style="24" customWidth="1"/>
    <col min="10" max="11" width="11.42578125" style="24"/>
    <col min="12" max="16384" width="11.42578125" style="5"/>
  </cols>
  <sheetData>
    <row r="1" spans="1:11" s="3" customFormat="1" ht="18" x14ac:dyDescent="0.2">
      <c r="A1" s="9" t="str">
        <f>Collectivité&amp;"-"&amp;Service&amp;"-"&amp;Titre&amp;" - Détails Locations"</f>
        <v>Ville d'Excel-les-Bains-Patrimoine-Location d'équipements - Détails Locations</v>
      </c>
      <c r="B1" s="15"/>
      <c r="C1" s="4"/>
      <c r="F1" s="38"/>
      <c r="G1" s="38"/>
      <c r="H1" s="33"/>
      <c r="I1" s="20"/>
      <c r="J1" s="20"/>
      <c r="K1" s="20"/>
    </row>
    <row r="2" spans="1:11" s="3" customFormat="1" ht="19.5" customHeight="1" x14ac:dyDescent="0.2">
      <c r="B2" s="15"/>
      <c r="C2" s="4"/>
      <c r="F2" s="38"/>
      <c r="G2" s="38"/>
      <c r="H2" s="10">
        <f t="shared" ref="H2" si="0">SUBTOTAL(9,H4:H17)</f>
        <v>138</v>
      </c>
      <c r="I2" s="20"/>
      <c r="J2" s="20">
        <f>SUBTOTAL(9,J4:J17)</f>
        <v>1527</v>
      </c>
      <c r="K2" s="20"/>
    </row>
    <row r="3" spans="1:11" s="3" customFormat="1" x14ac:dyDescent="0.2">
      <c r="B3" s="15"/>
      <c r="C3" s="4"/>
      <c r="F3" s="38"/>
      <c r="G3" s="38"/>
      <c r="H3" s="33"/>
      <c r="I3" s="20"/>
      <c r="J3" s="20"/>
      <c r="K3" s="20"/>
    </row>
    <row r="4" spans="1:11" s="30" customFormat="1" ht="27.75" customHeight="1" x14ac:dyDescent="0.2">
      <c r="A4" s="26" t="s">
        <v>68</v>
      </c>
      <c r="B4" s="27" t="s">
        <v>49</v>
      </c>
      <c r="C4" s="31" t="s">
        <v>58</v>
      </c>
      <c r="D4" s="26" t="s">
        <v>16</v>
      </c>
      <c r="E4" s="35" t="s">
        <v>50</v>
      </c>
      <c r="F4" s="39" t="s">
        <v>51</v>
      </c>
      <c r="G4" s="39" t="s">
        <v>52</v>
      </c>
      <c r="H4" s="19" t="s">
        <v>53</v>
      </c>
      <c r="I4" s="21" t="s">
        <v>22</v>
      </c>
      <c r="J4" s="21" t="s">
        <v>54</v>
      </c>
      <c r="K4" s="21" t="s">
        <v>84</v>
      </c>
    </row>
    <row r="5" spans="1:11" x14ac:dyDescent="0.2">
      <c r="A5" s="5" t="s">
        <v>69</v>
      </c>
      <c r="B5" s="17" t="s">
        <v>10</v>
      </c>
      <c r="C5" s="6">
        <v>10</v>
      </c>
      <c r="E5" s="36" t="str">
        <f t="shared" ref="E5:E16" si="1">IF(ISTEXT(VLOOKUP(A5,Entetes_Locations,9,FALSE)),VLOOKUP(A5,Entetes_Locations,9,FALSE),"")</f>
        <v>Tarif collectivité</v>
      </c>
      <c r="F5" s="40">
        <f t="shared" ref="F5:F16" si="2">IF(ISNUMBER(VLOOKUP(A5,Entetes_Locations,4,FALSE)),VLOOKUP(A5,Entetes_Locations,4,FALSE),"")</f>
        <v>42273</v>
      </c>
      <c r="G5" s="40">
        <f>F5+H5-1</f>
        <v>42281</v>
      </c>
      <c r="H5" s="12">
        <f t="shared" ref="H5:H16" si="3">IF(ISNUMBER(VLOOKUP(A5,Entetes_Locations,11,FALSE)),VLOOKUP(A5,Entetes_Locations,11,FALSE),0)</f>
        <v>9</v>
      </c>
      <c r="I5" s="22">
        <f t="shared" ref="I5:I16" si="4">IF(ISNUMBER(IF(E5="Tarif collectivité",VLOOKUP(B5,Equipements,4,FALSE),VLOOKUP(B5,Equipements,5,FALSE))),IF(E5="Tarif collectivité",VLOOKUP(B5,Equipements,4,FALSE),VLOOKUP(B5,Equipements,5,FALSE)),"")</f>
        <v>2</v>
      </c>
      <c r="J5" s="22">
        <f>I5*C5*H5</f>
        <v>180</v>
      </c>
      <c r="K5" s="22" t="str">
        <f ca="1">IF(AND(F5&lt;=TODAY(),G5&gt;=TODAY()),"non","oui")</f>
        <v>oui</v>
      </c>
    </row>
    <row r="6" spans="1:11" x14ac:dyDescent="0.2">
      <c r="A6" s="5" t="s">
        <v>69</v>
      </c>
      <c r="B6" s="17" t="s">
        <v>7</v>
      </c>
      <c r="C6" s="6">
        <v>60</v>
      </c>
      <c r="E6" s="36" t="str">
        <f t="shared" si="1"/>
        <v>Tarif collectivité</v>
      </c>
      <c r="F6" s="40">
        <f t="shared" si="2"/>
        <v>42273</v>
      </c>
      <c r="G6" s="40">
        <f t="shared" ref="G6:G16" si="5">F6+H6-1</f>
        <v>42281</v>
      </c>
      <c r="H6" s="12">
        <f t="shared" si="3"/>
        <v>9</v>
      </c>
      <c r="I6" s="22">
        <f t="shared" si="4"/>
        <v>0.25</v>
      </c>
      <c r="J6" s="22">
        <f t="shared" ref="J6:J16" si="6">I6*C6*H6</f>
        <v>135</v>
      </c>
      <c r="K6" s="22" t="str">
        <f t="shared" ref="K6:K16" ca="1" si="7">IF(AND(F6&lt;=TODAY(),G6&gt;=TODAY()),"non","oui")</f>
        <v>oui</v>
      </c>
    </row>
    <row r="7" spans="1:11" x14ac:dyDescent="0.2">
      <c r="A7" s="5" t="s">
        <v>69</v>
      </c>
      <c r="B7" s="17" t="s">
        <v>19</v>
      </c>
      <c r="C7" s="6">
        <v>5</v>
      </c>
      <c r="E7" s="36" t="str">
        <f t="shared" si="1"/>
        <v>Tarif collectivité</v>
      </c>
      <c r="F7" s="40">
        <f t="shared" si="2"/>
        <v>42273</v>
      </c>
      <c r="G7" s="40">
        <f t="shared" si="5"/>
        <v>42281</v>
      </c>
      <c r="H7" s="12">
        <f t="shared" si="3"/>
        <v>9</v>
      </c>
      <c r="I7" s="22">
        <f t="shared" si="4"/>
        <v>5</v>
      </c>
      <c r="J7" s="22">
        <f t="shared" si="6"/>
        <v>225</v>
      </c>
      <c r="K7" s="22" t="str">
        <f t="shared" ca="1" si="7"/>
        <v>oui</v>
      </c>
    </row>
    <row r="8" spans="1:11" x14ac:dyDescent="0.2">
      <c r="A8" s="5" t="s">
        <v>69</v>
      </c>
      <c r="B8" s="17" t="s">
        <v>18</v>
      </c>
      <c r="C8" s="6">
        <v>2</v>
      </c>
      <c r="E8" s="36" t="str">
        <f t="shared" si="1"/>
        <v>Tarif collectivité</v>
      </c>
      <c r="F8" s="40">
        <f t="shared" si="2"/>
        <v>42273</v>
      </c>
      <c r="G8" s="40">
        <f t="shared" si="5"/>
        <v>42281</v>
      </c>
      <c r="H8" s="12">
        <f t="shared" si="3"/>
        <v>9</v>
      </c>
      <c r="I8" s="22">
        <f t="shared" si="4"/>
        <v>10</v>
      </c>
      <c r="J8" s="22">
        <f t="shared" si="6"/>
        <v>180</v>
      </c>
      <c r="K8" s="22" t="str">
        <f t="shared" ca="1" si="7"/>
        <v>oui</v>
      </c>
    </row>
    <row r="9" spans="1:11" x14ac:dyDescent="0.2">
      <c r="A9" s="5" t="s">
        <v>69</v>
      </c>
      <c r="B9" s="17" t="s">
        <v>8</v>
      </c>
      <c r="C9" s="6">
        <v>1</v>
      </c>
      <c r="E9" s="36" t="str">
        <f t="shared" si="1"/>
        <v>Tarif collectivité</v>
      </c>
      <c r="F9" s="40">
        <f t="shared" si="2"/>
        <v>42273</v>
      </c>
      <c r="G9" s="40">
        <f t="shared" si="5"/>
        <v>42281</v>
      </c>
      <c r="H9" s="12">
        <f t="shared" si="3"/>
        <v>9</v>
      </c>
      <c r="I9" s="22">
        <f t="shared" si="4"/>
        <v>20</v>
      </c>
      <c r="J9" s="22">
        <f t="shared" si="6"/>
        <v>180</v>
      </c>
      <c r="K9" s="22" t="str">
        <f t="shared" ca="1" si="7"/>
        <v>oui</v>
      </c>
    </row>
    <row r="10" spans="1:11" x14ac:dyDescent="0.2">
      <c r="A10" s="5" t="s">
        <v>70</v>
      </c>
      <c r="B10" s="17" t="s">
        <v>17</v>
      </c>
      <c r="C10" s="6">
        <v>1</v>
      </c>
      <c r="E10" s="36" t="str">
        <f t="shared" si="1"/>
        <v>Tarif collectivité</v>
      </c>
      <c r="F10" s="40">
        <f t="shared" si="2"/>
        <v>42274</v>
      </c>
      <c r="G10" s="40">
        <f t="shared" si="5"/>
        <v>42288</v>
      </c>
      <c r="H10" s="12">
        <f t="shared" si="3"/>
        <v>15</v>
      </c>
      <c r="I10" s="22">
        <f t="shared" si="4"/>
        <v>1.2</v>
      </c>
      <c r="J10" s="22">
        <f t="shared" si="6"/>
        <v>18</v>
      </c>
      <c r="K10" s="22" t="str">
        <f t="shared" ca="1" si="7"/>
        <v>oui</v>
      </c>
    </row>
    <row r="11" spans="1:11" x14ac:dyDescent="0.2">
      <c r="A11" s="5" t="s">
        <v>70</v>
      </c>
      <c r="B11" s="17" t="s">
        <v>20</v>
      </c>
      <c r="C11" s="6">
        <v>1</v>
      </c>
      <c r="E11" s="36" t="str">
        <f t="shared" si="1"/>
        <v>Tarif collectivité</v>
      </c>
      <c r="F11" s="40">
        <f t="shared" si="2"/>
        <v>42274</v>
      </c>
      <c r="G11" s="40">
        <f t="shared" si="5"/>
        <v>42288</v>
      </c>
      <c r="H11" s="12">
        <f t="shared" si="3"/>
        <v>15</v>
      </c>
      <c r="I11" s="22">
        <f t="shared" si="4"/>
        <v>0.5</v>
      </c>
      <c r="J11" s="22">
        <f t="shared" si="6"/>
        <v>7.5</v>
      </c>
      <c r="K11" s="22" t="str">
        <f t="shared" ca="1" si="7"/>
        <v>oui</v>
      </c>
    </row>
    <row r="12" spans="1:11" x14ac:dyDescent="0.2">
      <c r="A12" s="5" t="s">
        <v>70</v>
      </c>
      <c r="B12" s="17" t="s">
        <v>10</v>
      </c>
      <c r="C12" s="6">
        <v>1</v>
      </c>
      <c r="E12" s="36" t="str">
        <f t="shared" si="1"/>
        <v>Tarif collectivité</v>
      </c>
      <c r="F12" s="40">
        <f t="shared" si="2"/>
        <v>42274</v>
      </c>
      <c r="G12" s="40">
        <f t="shared" si="5"/>
        <v>42288</v>
      </c>
      <c r="H12" s="12">
        <f t="shared" si="3"/>
        <v>15</v>
      </c>
      <c r="I12" s="22">
        <f t="shared" si="4"/>
        <v>2</v>
      </c>
      <c r="J12" s="22">
        <f t="shared" si="6"/>
        <v>30</v>
      </c>
      <c r="K12" s="22" t="str">
        <f t="shared" ca="1" si="7"/>
        <v>oui</v>
      </c>
    </row>
    <row r="13" spans="1:11" x14ac:dyDescent="0.2">
      <c r="A13" s="5" t="s">
        <v>71</v>
      </c>
      <c r="B13" s="17" t="s">
        <v>7</v>
      </c>
      <c r="C13" s="6">
        <v>1</v>
      </c>
      <c r="E13" s="36" t="str">
        <f t="shared" si="1"/>
        <v>Tarif association</v>
      </c>
      <c r="F13" s="40">
        <f t="shared" si="2"/>
        <v>42276</v>
      </c>
      <c r="G13" s="40">
        <f t="shared" si="5"/>
        <v>42281</v>
      </c>
      <c r="H13" s="12">
        <f t="shared" si="3"/>
        <v>6</v>
      </c>
      <c r="I13" s="22">
        <f t="shared" si="4"/>
        <v>0.25</v>
      </c>
      <c r="J13" s="22">
        <f t="shared" si="6"/>
        <v>1.5</v>
      </c>
      <c r="K13" s="22" t="str">
        <f t="shared" ca="1" si="7"/>
        <v>oui</v>
      </c>
    </row>
    <row r="14" spans="1:11" x14ac:dyDescent="0.2">
      <c r="A14" s="5" t="s">
        <v>71</v>
      </c>
      <c r="B14" s="17" t="s">
        <v>19</v>
      </c>
      <c r="C14" s="6">
        <v>1</v>
      </c>
      <c r="E14" s="36" t="str">
        <f t="shared" si="1"/>
        <v>Tarif association</v>
      </c>
      <c r="F14" s="40">
        <f t="shared" si="2"/>
        <v>42276</v>
      </c>
      <c r="G14" s="40">
        <f t="shared" si="5"/>
        <v>42281</v>
      </c>
      <c r="H14" s="12">
        <f t="shared" si="3"/>
        <v>6</v>
      </c>
      <c r="I14" s="22">
        <f t="shared" si="4"/>
        <v>5</v>
      </c>
      <c r="J14" s="22">
        <f t="shared" si="6"/>
        <v>30</v>
      </c>
      <c r="K14" s="22" t="str">
        <f t="shared" ca="1" si="7"/>
        <v>oui</v>
      </c>
    </row>
    <row r="15" spans="1:11" x14ac:dyDescent="0.2">
      <c r="A15" s="5" t="s">
        <v>82</v>
      </c>
      <c r="B15" s="17" t="s">
        <v>18</v>
      </c>
      <c r="C15" s="6">
        <v>1</v>
      </c>
      <c r="E15" s="36" t="str">
        <f t="shared" si="1"/>
        <v>Tarif autre</v>
      </c>
      <c r="F15" s="40">
        <f t="shared" si="2"/>
        <v>42278</v>
      </c>
      <c r="G15" s="40">
        <f t="shared" si="5"/>
        <v>42295</v>
      </c>
      <c r="H15" s="12">
        <f t="shared" si="3"/>
        <v>18</v>
      </c>
      <c r="I15" s="22">
        <f t="shared" si="4"/>
        <v>10</v>
      </c>
      <c r="J15" s="22">
        <f t="shared" si="6"/>
        <v>180</v>
      </c>
      <c r="K15" s="22" t="str">
        <f t="shared" ca="1" si="7"/>
        <v>oui</v>
      </c>
    </row>
    <row r="16" spans="1:11" x14ac:dyDescent="0.2">
      <c r="A16" s="5" t="s">
        <v>82</v>
      </c>
      <c r="B16" s="17" t="s">
        <v>8</v>
      </c>
      <c r="C16" s="6">
        <v>1</v>
      </c>
      <c r="E16" s="36" t="str">
        <f t="shared" si="1"/>
        <v>Tarif autre</v>
      </c>
      <c r="F16" s="40">
        <f t="shared" si="2"/>
        <v>42278</v>
      </c>
      <c r="G16" s="40">
        <f t="shared" si="5"/>
        <v>42295</v>
      </c>
      <c r="H16" s="12">
        <f t="shared" si="3"/>
        <v>18</v>
      </c>
      <c r="I16" s="22">
        <f t="shared" si="4"/>
        <v>20</v>
      </c>
      <c r="J16" s="22">
        <f t="shared" si="6"/>
        <v>360</v>
      </c>
      <c r="K16" s="22" t="str">
        <f t="shared" ca="1" si="7"/>
        <v>oui</v>
      </c>
    </row>
    <row r="17" spans="1:11" ht="18.75" customHeight="1" x14ac:dyDescent="0.2">
      <c r="A17" s="7"/>
      <c r="B17" s="18"/>
      <c r="C17" s="8"/>
      <c r="D17" s="7"/>
      <c r="E17" s="37"/>
      <c r="F17" s="41"/>
      <c r="G17" s="41"/>
      <c r="H17" s="14"/>
      <c r="I17" s="23"/>
      <c r="J17" s="23"/>
      <c r="K17" s="23"/>
    </row>
  </sheetData>
  <autoFilter ref="A4:K16"/>
  <conditionalFormatting sqref="C1:C1048576">
    <cfRule type="expression" dxfId="3" priority="1">
      <formula>VLOOKUP(B1,Equipements,10,FALSE)&lt;0</formula>
    </cfRule>
  </conditionalFormatting>
  <dataValidations count="2">
    <dataValidation type="list" allowBlank="1" showInputMessage="1" showErrorMessage="1" errorTitle="Choisir dans la liste" error="Choisir dans la liste !" sqref="B4:C17 E4:H17">
      <formula1>Liste_Equipements</formula1>
    </dataValidation>
    <dataValidation type="list" allowBlank="1" showInputMessage="1" showErrorMessage="1" errorTitle="Choisir dans la liste" error="Choisir dans la liste !" sqref="A4:A17">
      <formula1>Liste_Entetes_Locations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pane ySplit="4" topLeftCell="A5" activePane="bottomLeft" state="frozen"/>
      <selection pane="bottomLeft" activeCell="E10" sqref="E10"/>
    </sheetView>
  </sheetViews>
  <sheetFormatPr baseColWidth="10" defaultRowHeight="12.75" x14ac:dyDescent="0.2"/>
  <cols>
    <col min="1" max="1" width="28.7109375" style="5" customWidth="1"/>
    <col min="2" max="2" width="25.85546875" style="17" customWidth="1"/>
    <col min="3" max="3" width="50.5703125" style="17" customWidth="1"/>
    <col min="4" max="4" width="31.7109375" style="5" customWidth="1"/>
    <col min="5" max="5" width="11.42578125" style="24"/>
    <col min="6" max="16384" width="11.42578125" style="5"/>
  </cols>
  <sheetData>
    <row r="1" spans="1:5" s="3" customFormat="1" ht="18" x14ac:dyDescent="0.2">
      <c r="A1" s="9" t="str">
        <f>Collectivité&amp;"-"&amp;Service&amp;"-"&amp;Titre&amp;" - Emprunteurs"</f>
        <v>Ville d'Excel-les-Bains-Patrimoine-Location d'équipements - Emprunteurs</v>
      </c>
      <c r="B1" s="15"/>
      <c r="C1" s="15"/>
      <c r="E1" s="20"/>
    </row>
    <row r="2" spans="1:5" s="3" customFormat="1" ht="19.5" customHeight="1" x14ac:dyDescent="0.2">
      <c r="B2" s="15"/>
      <c r="C2" s="15"/>
      <c r="E2" s="20">
        <f>SUBTOTAL(9,E4:E17)</f>
        <v>1527</v>
      </c>
    </row>
    <row r="3" spans="1:5" s="3" customFormat="1" x14ac:dyDescent="0.2">
      <c r="B3" s="15"/>
      <c r="C3" s="15"/>
      <c r="E3" s="20"/>
    </row>
    <row r="4" spans="1:5" s="30" customFormat="1" ht="27.75" customHeight="1" x14ac:dyDescent="0.2">
      <c r="A4" s="26" t="s">
        <v>6</v>
      </c>
      <c r="B4" s="27" t="s">
        <v>24</v>
      </c>
      <c r="C4" s="27" t="s">
        <v>32</v>
      </c>
      <c r="D4" s="26" t="s">
        <v>16</v>
      </c>
      <c r="E4" s="21" t="s">
        <v>83</v>
      </c>
    </row>
    <row r="5" spans="1:5" x14ac:dyDescent="0.2">
      <c r="A5" s="5" t="s">
        <v>33</v>
      </c>
      <c r="B5" s="17" t="s">
        <v>38</v>
      </c>
      <c r="E5" s="22">
        <f>SUMIF('Entêtes Locations'!B:B,A:A,'Entêtes Locations'!L:L)</f>
        <v>900</v>
      </c>
    </row>
    <row r="6" spans="1:5" x14ac:dyDescent="0.2">
      <c r="A6" s="5" t="s">
        <v>34</v>
      </c>
      <c r="B6" s="17" t="s">
        <v>38</v>
      </c>
      <c r="E6" s="22">
        <f>SUMIF('Entêtes Locations'!B:B,A:A,'Entêtes Locations'!L:L)</f>
        <v>55.5</v>
      </c>
    </row>
    <row r="7" spans="1:5" x14ac:dyDescent="0.2">
      <c r="A7" s="5" t="s">
        <v>35</v>
      </c>
      <c r="B7" s="17" t="s">
        <v>38</v>
      </c>
      <c r="E7" s="22">
        <f>SUMIF('Entêtes Locations'!B:B,A:A,'Entêtes Locations'!L:L)</f>
        <v>0</v>
      </c>
    </row>
    <row r="8" spans="1:5" x14ac:dyDescent="0.2">
      <c r="A8" s="5" t="s">
        <v>36</v>
      </c>
      <c r="B8" s="17" t="s">
        <v>38</v>
      </c>
      <c r="E8" s="22">
        <f>SUMIF('Entêtes Locations'!B:B,A:A,'Entêtes Locations'!L:L)</f>
        <v>0</v>
      </c>
    </row>
    <row r="9" spans="1:5" x14ac:dyDescent="0.2">
      <c r="A9" s="5" t="s">
        <v>37</v>
      </c>
      <c r="B9" s="17" t="s">
        <v>38</v>
      </c>
      <c r="E9" s="22">
        <f>SUMIF('Entêtes Locations'!B:B,A:A,'Entêtes Locations'!L:L)</f>
        <v>0</v>
      </c>
    </row>
    <row r="10" spans="1:5" x14ac:dyDescent="0.2">
      <c r="A10" s="5" t="s">
        <v>80</v>
      </c>
      <c r="B10" s="17" t="s">
        <v>31</v>
      </c>
      <c r="E10" s="22">
        <f>SUMIF('Entêtes Locations'!B:B,A:A,'Entêtes Locations'!L:L)</f>
        <v>540</v>
      </c>
    </row>
    <row r="11" spans="1:5" x14ac:dyDescent="0.2">
      <c r="A11" s="5" t="s">
        <v>42</v>
      </c>
      <c r="B11" s="17" t="s">
        <v>39</v>
      </c>
      <c r="E11" s="22">
        <f>SUMIF('Entêtes Locations'!B:B,A:A,'Entêtes Locations'!L:L)</f>
        <v>0</v>
      </c>
    </row>
    <row r="12" spans="1:5" x14ac:dyDescent="0.2">
      <c r="A12" s="5" t="s">
        <v>43</v>
      </c>
      <c r="B12" s="17" t="s">
        <v>39</v>
      </c>
      <c r="E12" s="22">
        <f>SUMIF('Entêtes Locations'!B:B,A:A,'Entêtes Locations'!L:L)</f>
        <v>0</v>
      </c>
    </row>
    <row r="13" spans="1:5" x14ac:dyDescent="0.2">
      <c r="A13" s="5" t="s">
        <v>44</v>
      </c>
      <c r="B13" s="17" t="s">
        <v>39</v>
      </c>
      <c r="E13" s="22">
        <f>SUMIF('Entêtes Locations'!B:B,A:A,'Entêtes Locations'!L:L)</f>
        <v>31.5</v>
      </c>
    </row>
    <row r="14" spans="1:5" x14ac:dyDescent="0.2">
      <c r="A14" s="5" t="s">
        <v>45</v>
      </c>
      <c r="B14" s="17" t="s">
        <v>39</v>
      </c>
      <c r="E14" s="22">
        <f>SUMIF('Entêtes Locations'!B:B,A:A,'Entêtes Locations'!L:L)</f>
        <v>0</v>
      </c>
    </row>
    <row r="15" spans="1:5" x14ac:dyDescent="0.2">
      <c r="A15" s="5" t="s">
        <v>46</v>
      </c>
      <c r="B15" s="17" t="s">
        <v>39</v>
      </c>
      <c r="E15" s="22">
        <f>SUMIF('Entêtes Locations'!B:B,A:A,'Entêtes Locations'!L:L)</f>
        <v>0</v>
      </c>
    </row>
    <row r="16" spans="1:5" x14ac:dyDescent="0.2">
      <c r="A16" s="5" t="s">
        <v>47</v>
      </c>
      <c r="B16" s="17" t="s">
        <v>39</v>
      </c>
      <c r="E16" s="22">
        <f>SUMIF('Entêtes Locations'!B:B,A:A,'Entêtes Locations'!L:L)</f>
        <v>0</v>
      </c>
    </row>
    <row r="17" spans="1:5" ht="18.75" customHeight="1" x14ac:dyDescent="0.2">
      <c r="A17" s="7"/>
      <c r="B17" s="18"/>
      <c r="C17" s="18"/>
      <c r="D17" s="7"/>
      <c r="E17" s="23"/>
    </row>
  </sheetData>
  <autoFilter ref="A4:E16"/>
  <conditionalFormatting sqref="B4:B17">
    <cfRule type="expression" dxfId="2" priority="1">
      <formula>AND(ISERROR(VLOOKUP(B4,Liste_Catégories_Emprunteurs,1,FALSE)),B4&lt;&gt;"Catégorie",LEN(B4)&gt;0)</formula>
    </cfRule>
  </conditionalFormatting>
  <dataValidations count="1">
    <dataValidation type="list" allowBlank="1" showInputMessage="1" showErrorMessage="1" errorTitle="Choisir dans la liste" error="Choisir dans la liste !" sqref="B4:B17">
      <formula1>Liste_Catégories_Emprunteurs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pane ySplit="4" topLeftCell="A5" activePane="bottomLeft" state="frozen"/>
      <selection pane="bottomLeft" activeCell="J10" sqref="J10"/>
    </sheetView>
  </sheetViews>
  <sheetFormatPr baseColWidth="10" defaultRowHeight="12.75" x14ac:dyDescent="0.2"/>
  <cols>
    <col min="1" max="1" width="28.7109375" style="5" customWidth="1"/>
    <col min="2" max="2" width="22.28515625" style="17" customWidth="1"/>
    <col min="3" max="3" width="25.85546875" style="17" customWidth="1"/>
    <col min="4" max="5" width="11.42578125" style="24"/>
    <col min="6" max="6" width="10.42578125" style="24" customWidth="1"/>
    <col min="7" max="7" width="31.7109375" style="5" customWidth="1"/>
    <col min="8" max="10" width="11.42578125" style="6"/>
    <col min="11" max="16384" width="11.42578125" style="5"/>
  </cols>
  <sheetData>
    <row r="1" spans="1:10" s="3" customFormat="1" ht="18" x14ac:dyDescent="0.2">
      <c r="A1" s="9" t="str">
        <f>Collectivité&amp;"-"&amp;Service&amp;"-"&amp;Titre&amp;" - Inventaire"</f>
        <v>Ville d'Excel-les-Bains-Patrimoine-Location d'équipements - Inventaire</v>
      </c>
      <c r="B1" s="15"/>
      <c r="C1" s="15"/>
      <c r="D1" s="20"/>
      <c r="E1" s="20"/>
      <c r="F1" s="20"/>
      <c r="H1" s="4"/>
      <c r="I1" s="4"/>
      <c r="J1" s="4"/>
    </row>
    <row r="2" spans="1:10" s="3" customFormat="1" ht="19.5" customHeight="1" x14ac:dyDescent="0.2">
      <c r="B2" s="15"/>
      <c r="C2" s="15"/>
      <c r="D2" s="20"/>
      <c r="E2" s="20"/>
      <c r="F2" s="20"/>
      <c r="H2" s="10">
        <f>SUBTOTAL(9,H4:H16)</f>
        <v>276</v>
      </c>
      <c r="I2" s="10">
        <f t="shared" ref="I2:J2" ca="1" si="0">SUBTOTAL(9,I4:I16)</f>
        <v>0</v>
      </c>
      <c r="J2" s="10">
        <f t="shared" ca="1" si="0"/>
        <v>276</v>
      </c>
    </row>
    <row r="3" spans="1:10" s="3" customFormat="1" x14ac:dyDescent="0.2">
      <c r="B3" s="15"/>
      <c r="C3" s="15"/>
      <c r="D3" s="20"/>
      <c r="E3" s="20"/>
      <c r="F3" s="20"/>
      <c r="H3" s="10"/>
      <c r="I3" s="10"/>
      <c r="J3" s="10"/>
    </row>
    <row r="4" spans="1:10" s="30" customFormat="1" ht="38.25" customHeight="1" x14ac:dyDescent="0.2">
      <c r="A4" s="26" t="s">
        <v>6</v>
      </c>
      <c r="B4" s="27" t="s">
        <v>23</v>
      </c>
      <c r="C4" s="27" t="s">
        <v>24</v>
      </c>
      <c r="D4" s="29" t="s">
        <v>40</v>
      </c>
      <c r="E4" s="29" t="s">
        <v>41</v>
      </c>
      <c r="F4" s="29" t="s">
        <v>79</v>
      </c>
      <c r="G4" s="26" t="s">
        <v>16</v>
      </c>
      <c r="H4" s="28" t="s">
        <v>13</v>
      </c>
      <c r="I4" s="19" t="s">
        <v>14</v>
      </c>
      <c r="J4" s="19" t="s">
        <v>15</v>
      </c>
    </row>
    <row r="5" spans="1:10" x14ac:dyDescent="0.2">
      <c r="A5" s="5" t="s">
        <v>7</v>
      </c>
      <c r="C5" s="17" t="s">
        <v>26</v>
      </c>
      <c r="D5" s="24">
        <v>0.25</v>
      </c>
      <c r="E5" s="24">
        <v>0.25</v>
      </c>
      <c r="F5" s="24">
        <v>0.25</v>
      </c>
      <c r="H5" s="11">
        <v>50</v>
      </c>
      <c r="I5" s="12">
        <f ca="1">SUMIFS('Détails Locations'!C:C,'Détails Locations'!B:B,A:A,'Détails Locations'!K:K,"non")</f>
        <v>0</v>
      </c>
      <c r="J5" s="12">
        <f t="shared" ref="J5:J15" ca="1" si="1">H5-I5</f>
        <v>50</v>
      </c>
    </row>
    <row r="6" spans="1:10" x14ac:dyDescent="0.2">
      <c r="A6" s="5" t="s">
        <v>8</v>
      </c>
      <c r="C6" s="17" t="s">
        <v>48</v>
      </c>
      <c r="D6" s="24">
        <v>20</v>
      </c>
      <c r="E6" s="24">
        <v>20</v>
      </c>
      <c r="F6" s="24">
        <v>20</v>
      </c>
      <c r="H6" s="11">
        <v>5</v>
      </c>
      <c r="I6" s="12">
        <f ca="1">SUMIFS('Détails Locations'!C:C,'Détails Locations'!B:B,A:A,'Détails Locations'!K:K,"non")</f>
        <v>0</v>
      </c>
      <c r="J6" s="12">
        <f t="shared" ca="1" si="1"/>
        <v>5</v>
      </c>
    </row>
    <row r="7" spans="1:10" x14ac:dyDescent="0.2">
      <c r="A7" s="5" t="s">
        <v>9</v>
      </c>
      <c r="C7" s="17" t="s">
        <v>48</v>
      </c>
      <c r="D7" s="24">
        <v>40</v>
      </c>
      <c r="E7" s="24">
        <v>40</v>
      </c>
      <c r="F7" s="24">
        <v>40</v>
      </c>
      <c r="H7" s="11">
        <v>2</v>
      </c>
      <c r="I7" s="12">
        <f>SUMIFS('Détails Locations'!C:C,'Détails Locations'!B:B,A:A,'Détails Locations'!K:K,"non")</f>
        <v>0</v>
      </c>
      <c r="J7" s="12">
        <f t="shared" si="1"/>
        <v>2</v>
      </c>
    </row>
    <row r="8" spans="1:10" x14ac:dyDescent="0.2">
      <c r="A8" s="5" t="s">
        <v>20</v>
      </c>
      <c r="C8" s="17" t="s">
        <v>28</v>
      </c>
      <c r="D8" s="24">
        <v>0.5</v>
      </c>
      <c r="E8" s="24">
        <v>0.5</v>
      </c>
      <c r="F8" s="24">
        <v>0.5</v>
      </c>
      <c r="H8" s="11">
        <v>100</v>
      </c>
      <c r="I8" s="12">
        <f ca="1">SUMIFS('Détails Locations'!C:C,'Détails Locations'!B:B,A:A,'Détails Locations'!K:K,"non")</f>
        <v>0</v>
      </c>
      <c r="J8" s="12">
        <f t="shared" ca="1" si="1"/>
        <v>100</v>
      </c>
    </row>
    <row r="9" spans="1:10" x14ac:dyDescent="0.2">
      <c r="A9" s="5" t="s">
        <v>10</v>
      </c>
      <c r="C9" s="17" t="s">
        <v>29</v>
      </c>
      <c r="D9" s="24">
        <v>2</v>
      </c>
      <c r="E9" s="24">
        <v>2</v>
      </c>
      <c r="F9" s="24">
        <v>2</v>
      </c>
      <c r="H9" s="11">
        <v>30</v>
      </c>
      <c r="I9" s="12">
        <f ca="1">SUMIFS('Détails Locations'!C:C,'Détails Locations'!B:B,A:A,'Détails Locations'!K:K,"non")</f>
        <v>0</v>
      </c>
      <c r="J9" s="12">
        <f t="shared" ca="1" si="1"/>
        <v>30</v>
      </c>
    </row>
    <row r="10" spans="1:10" x14ac:dyDescent="0.2">
      <c r="A10" s="5" t="s">
        <v>11</v>
      </c>
      <c r="C10" s="17" t="s">
        <v>30</v>
      </c>
      <c r="D10" s="24">
        <v>3</v>
      </c>
      <c r="E10" s="24">
        <v>3</v>
      </c>
      <c r="F10" s="24">
        <v>3</v>
      </c>
      <c r="H10" s="11">
        <v>20</v>
      </c>
      <c r="I10" s="12">
        <f>SUMIFS('Détails Locations'!C:C,'Détails Locations'!B:B,A:A,'Détails Locations'!K:K,"non")</f>
        <v>0</v>
      </c>
      <c r="J10" s="12">
        <f t="shared" si="1"/>
        <v>20</v>
      </c>
    </row>
    <row r="11" spans="1:10" x14ac:dyDescent="0.2">
      <c r="A11" s="5" t="s">
        <v>12</v>
      </c>
      <c r="C11" s="17" t="s">
        <v>30</v>
      </c>
      <c r="D11" s="24">
        <v>3</v>
      </c>
      <c r="E11" s="24">
        <v>3</v>
      </c>
      <c r="F11" s="24">
        <v>3</v>
      </c>
      <c r="H11" s="11">
        <v>20</v>
      </c>
      <c r="I11" s="12">
        <f>SUMIFS('Détails Locations'!C:C,'Détails Locations'!B:B,A:A,'Détails Locations'!K:K,"non")</f>
        <v>0</v>
      </c>
      <c r="J11" s="12">
        <f t="shared" si="1"/>
        <v>20</v>
      </c>
    </row>
    <row r="12" spans="1:10" x14ac:dyDescent="0.2">
      <c r="A12" s="5" t="s">
        <v>19</v>
      </c>
      <c r="C12" s="17" t="s">
        <v>29</v>
      </c>
      <c r="D12" s="24">
        <v>5</v>
      </c>
      <c r="E12" s="24">
        <v>5</v>
      </c>
      <c r="F12" s="24">
        <v>5</v>
      </c>
      <c r="H12" s="11">
        <v>2</v>
      </c>
      <c r="I12" s="12">
        <f ca="1">SUMIFS('Détails Locations'!C:C,'Détails Locations'!B:B,A:A,'Détails Locations'!K:K,"non")</f>
        <v>0</v>
      </c>
      <c r="J12" s="12">
        <f t="shared" ca="1" si="1"/>
        <v>2</v>
      </c>
    </row>
    <row r="13" spans="1:10" x14ac:dyDescent="0.2">
      <c r="A13" s="5" t="s">
        <v>18</v>
      </c>
      <c r="C13" s="17" t="s">
        <v>29</v>
      </c>
      <c r="D13" s="24">
        <v>10</v>
      </c>
      <c r="E13" s="24">
        <v>10</v>
      </c>
      <c r="F13" s="24">
        <v>10</v>
      </c>
      <c r="H13" s="11">
        <v>2</v>
      </c>
      <c r="I13" s="12">
        <f ca="1">SUMIFS('Détails Locations'!C:C,'Détails Locations'!B:B,A:A,'Détails Locations'!K:K,"non")</f>
        <v>0</v>
      </c>
      <c r="J13" s="12">
        <f t="shared" ca="1" si="1"/>
        <v>2</v>
      </c>
    </row>
    <row r="14" spans="1:10" x14ac:dyDescent="0.2">
      <c r="A14" s="5" t="s">
        <v>21</v>
      </c>
      <c r="C14" s="17" t="s">
        <v>27</v>
      </c>
      <c r="D14" s="24">
        <v>15</v>
      </c>
      <c r="E14" s="24">
        <v>15</v>
      </c>
      <c r="F14" s="24">
        <v>15</v>
      </c>
      <c r="H14" s="11">
        <v>5</v>
      </c>
      <c r="I14" s="12">
        <f>SUMIFS('Détails Locations'!C:C,'Détails Locations'!B:B,A:A,'Détails Locations'!K:K,"non")</f>
        <v>0</v>
      </c>
      <c r="J14" s="12">
        <f t="shared" si="1"/>
        <v>5</v>
      </c>
    </row>
    <row r="15" spans="1:10" x14ac:dyDescent="0.2">
      <c r="A15" s="5" t="s">
        <v>17</v>
      </c>
      <c r="C15" s="17" t="s">
        <v>28</v>
      </c>
      <c r="D15" s="24">
        <v>1.2</v>
      </c>
      <c r="E15" s="24">
        <v>1.2</v>
      </c>
      <c r="F15" s="24">
        <v>1.2</v>
      </c>
      <c r="H15" s="11">
        <v>40</v>
      </c>
      <c r="I15" s="12">
        <f ca="1">SUMIFS('Détails Locations'!C:C,'Détails Locations'!B:B,A:A,'Détails Locations'!K:K,"non")</f>
        <v>0</v>
      </c>
      <c r="J15" s="12">
        <f t="shared" ca="1" si="1"/>
        <v>40</v>
      </c>
    </row>
    <row r="16" spans="1:10" ht="18.75" customHeight="1" x14ac:dyDescent="0.2">
      <c r="A16" s="7"/>
      <c r="B16" s="18"/>
      <c r="C16" s="18"/>
      <c r="D16" s="25"/>
      <c r="E16" s="25"/>
      <c r="F16" s="25"/>
      <c r="G16" s="7"/>
      <c r="H16" s="13"/>
      <c r="I16" s="14"/>
      <c r="J16" s="14"/>
    </row>
  </sheetData>
  <autoFilter ref="A4:J15"/>
  <conditionalFormatting sqref="C4:C16">
    <cfRule type="expression" dxfId="1" priority="2">
      <formula>AND(ISERROR(VLOOKUP(C4,Liste_Catégories_Inventaire,1,FALSE)),C4&lt;&gt;"Catégorie",LEN(C4)&gt;0)</formula>
    </cfRule>
  </conditionalFormatting>
  <conditionalFormatting sqref="J1:J1048576">
    <cfRule type="cellIs" dxfId="0" priority="1" operator="lessThan">
      <formula>0</formula>
    </cfRule>
  </conditionalFormatting>
  <dataValidations count="1">
    <dataValidation type="list" allowBlank="1" showInputMessage="1" showErrorMessage="1" errorTitle="Choisir dans la liste" error="Choisir dans la liste !" sqref="C4:C16">
      <formula1>Liste_Catégories_Inventaire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pane ySplit="4" topLeftCell="A5" activePane="bottomLeft" state="frozen"/>
      <selection pane="bottomLeft" activeCell="C5" sqref="C5"/>
    </sheetView>
  </sheetViews>
  <sheetFormatPr baseColWidth="10" defaultRowHeight="12.75" x14ac:dyDescent="0.2"/>
  <cols>
    <col min="1" max="1" width="28.7109375" style="5" customWidth="1"/>
    <col min="2" max="2" width="42.28515625" style="17" customWidth="1"/>
    <col min="3" max="3" width="14" style="6" customWidth="1"/>
    <col min="4" max="16384" width="11.42578125" style="5"/>
  </cols>
  <sheetData>
    <row r="1" spans="1:3" s="3" customFormat="1" ht="18" x14ac:dyDescent="0.2">
      <c r="A1" s="9" t="str">
        <f>Collectivité&amp;"-"&amp;Service&amp;"-"&amp;Titre&amp;" - Catégories de l'inventaire"</f>
        <v>Ville d'Excel-les-Bains-Patrimoine-Location d'équipements - Catégories de l'inventaire</v>
      </c>
      <c r="B1" s="15"/>
      <c r="C1" s="4"/>
    </row>
    <row r="2" spans="1:3" s="3" customFormat="1" ht="19.5" customHeight="1" x14ac:dyDescent="0.2">
      <c r="B2" s="15"/>
      <c r="C2" s="10">
        <f>SUBTOTAL(9,C4:C12)</f>
        <v>11</v>
      </c>
    </row>
    <row r="3" spans="1:3" s="3" customFormat="1" x14ac:dyDescent="0.2">
      <c r="B3" s="15"/>
      <c r="C3" s="10"/>
    </row>
    <row r="4" spans="1:3" s="2" customFormat="1" ht="27.75" customHeight="1" x14ac:dyDescent="0.2">
      <c r="A4" s="1" t="s">
        <v>6</v>
      </c>
      <c r="B4" s="16" t="s">
        <v>16</v>
      </c>
      <c r="C4" s="19" t="s">
        <v>25</v>
      </c>
    </row>
    <row r="5" spans="1:3" x14ac:dyDescent="0.2">
      <c r="A5" s="5" t="s">
        <v>48</v>
      </c>
      <c r="C5" s="12">
        <f>COUNTIF(Inventaire!C:C,A5)</f>
        <v>2</v>
      </c>
    </row>
    <row r="6" spans="1:3" x14ac:dyDescent="0.2">
      <c r="A6" s="5" t="s">
        <v>31</v>
      </c>
      <c r="C6" s="12">
        <f>COUNTIF(Inventaire!C:C,A6)</f>
        <v>0</v>
      </c>
    </row>
    <row r="7" spans="1:3" x14ac:dyDescent="0.2">
      <c r="A7" s="5" t="s">
        <v>30</v>
      </c>
      <c r="C7" s="12">
        <f>COUNTIF(Inventaire!C:C,A7)</f>
        <v>2</v>
      </c>
    </row>
    <row r="8" spans="1:3" x14ac:dyDescent="0.2">
      <c r="A8" s="5" t="s">
        <v>28</v>
      </c>
      <c r="C8" s="12">
        <f>COUNTIF(Inventaire!C:C,A8)</f>
        <v>2</v>
      </c>
    </row>
    <row r="9" spans="1:3" x14ac:dyDescent="0.2">
      <c r="A9" s="5" t="s">
        <v>29</v>
      </c>
      <c r="C9" s="12">
        <f>COUNTIF(Inventaire!C:C,A9)</f>
        <v>3</v>
      </c>
    </row>
    <row r="10" spans="1:3" x14ac:dyDescent="0.2">
      <c r="A10" s="5" t="s">
        <v>26</v>
      </c>
      <c r="C10" s="12">
        <f>COUNTIF(Inventaire!C:C,A10)</f>
        <v>1</v>
      </c>
    </row>
    <row r="11" spans="1:3" x14ac:dyDescent="0.2">
      <c r="A11" s="5" t="s">
        <v>27</v>
      </c>
      <c r="C11" s="12">
        <f>COUNTIF(Inventaire!C:C,A11)</f>
        <v>1</v>
      </c>
    </row>
    <row r="12" spans="1:3" ht="18.75" customHeight="1" x14ac:dyDescent="0.2">
      <c r="A12" s="7"/>
      <c r="B12" s="18"/>
      <c r="C12" s="14"/>
    </row>
  </sheetData>
  <autoFilter ref="A4:C11">
    <sortState ref="A6:C12">
      <sortCondition ref="A7"/>
    </sortState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pane ySplit="4" topLeftCell="A5" activePane="bottomLeft" state="frozen"/>
      <selection pane="bottomLeft" activeCell="C7" sqref="C7"/>
    </sheetView>
  </sheetViews>
  <sheetFormatPr baseColWidth="10" defaultRowHeight="12.75" x14ac:dyDescent="0.2"/>
  <cols>
    <col min="1" max="1" width="30" style="5" customWidth="1"/>
    <col min="2" max="2" width="18.5703125" style="17" customWidth="1"/>
    <col min="3" max="3" width="80.140625" style="17" customWidth="1"/>
    <col min="4" max="4" width="14" style="24" customWidth="1"/>
    <col min="5" max="16384" width="11.42578125" style="5"/>
  </cols>
  <sheetData>
    <row r="1" spans="1:4" s="3" customFormat="1" ht="18" x14ac:dyDescent="0.2">
      <c r="A1" s="9" t="str">
        <f>Collectivité&amp;"-"&amp;Service&amp;"-"&amp;Titre&amp;" - Catégories d'emprunteurs"</f>
        <v>Ville d'Excel-les-Bains-Patrimoine-Location d'équipements - Catégories d'emprunteurs</v>
      </c>
      <c r="B1" s="15"/>
      <c r="C1" s="15"/>
      <c r="D1" s="20"/>
    </row>
    <row r="2" spans="1:4" s="3" customFormat="1" ht="19.5" customHeight="1" x14ac:dyDescent="0.2">
      <c r="B2" s="15"/>
      <c r="C2" s="15"/>
      <c r="D2" s="20">
        <f>SUBTOTAL(9,D4:D8)</f>
        <v>1527</v>
      </c>
    </row>
    <row r="3" spans="1:4" s="3" customFormat="1" x14ac:dyDescent="0.2">
      <c r="B3" s="15"/>
      <c r="C3" s="15"/>
      <c r="D3" s="20"/>
    </row>
    <row r="4" spans="1:4" s="2" customFormat="1" ht="27.75" customHeight="1" x14ac:dyDescent="0.2">
      <c r="A4" s="1" t="s">
        <v>6</v>
      </c>
      <c r="B4" s="27" t="s">
        <v>50</v>
      </c>
      <c r="C4" s="16" t="s">
        <v>16</v>
      </c>
      <c r="D4" s="21" t="s">
        <v>83</v>
      </c>
    </row>
    <row r="5" spans="1:4" x14ac:dyDescent="0.2">
      <c r="A5" s="5" t="s">
        <v>38</v>
      </c>
      <c r="B5" s="17" t="s">
        <v>40</v>
      </c>
      <c r="D5" s="22">
        <f>SUMIF('Entêtes Locations'!H:H,'Catégories Emprunteurs'!A:A,'Entêtes Locations'!L:L)</f>
        <v>955.5</v>
      </c>
    </row>
    <row r="6" spans="1:4" x14ac:dyDescent="0.2">
      <c r="A6" s="5" t="s">
        <v>31</v>
      </c>
      <c r="B6" s="17" t="s">
        <v>79</v>
      </c>
      <c r="D6" s="22">
        <f>SUMIF('Entêtes Locations'!H:H,'Catégories Emprunteurs'!A:A,'Entêtes Locations'!L:L)</f>
        <v>540</v>
      </c>
    </row>
    <row r="7" spans="1:4" x14ac:dyDescent="0.2">
      <c r="A7" s="5" t="s">
        <v>39</v>
      </c>
      <c r="B7" s="17" t="s">
        <v>41</v>
      </c>
      <c r="D7" s="22">
        <f>SUMIF('Entêtes Locations'!H:H,'Catégories Emprunteurs'!A:A,'Entêtes Locations'!L:L)</f>
        <v>31.5</v>
      </c>
    </row>
    <row r="8" spans="1:4" ht="18.75" customHeight="1" x14ac:dyDescent="0.2">
      <c r="A8" s="7"/>
      <c r="B8" s="18"/>
      <c r="C8" s="18"/>
      <c r="D8" s="23"/>
    </row>
  </sheetData>
  <autoFilter ref="A4:D7">
    <sortState ref="A6:C12">
      <sortCondition ref="A7"/>
    </sortState>
  </autoFilter>
  <dataValidations count="2">
    <dataValidation type="list" allowBlank="1" showInputMessage="1" showErrorMessage="1" errorTitle="Choisir dans la liste" error="Choisir dans la liste !" sqref="B4:B5 B7:B8">
      <formula1>"Tarif collectivité,Tarif association"</formula1>
    </dataValidation>
    <dataValidation type="list" allowBlank="1" showInputMessage="1" showErrorMessage="1" errorTitle="Choisir dans la liste" error="Choisir dans la liste !" sqref="B6">
      <formula1>"Tarif collectivité,Tarif association,Tarif autre"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B7" sqref="B7"/>
    </sheetView>
  </sheetViews>
  <sheetFormatPr baseColWidth="10" defaultRowHeight="12.75" x14ac:dyDescent="0.2"/>
  <cols>
    <col min="2" max="2" width="24.140625" customWidth="1"/>
  </cols>
  <sheetData>
    <row r="1" spans="1:2" x14ac:dyDescent="0.2">
      <c r="A1" t="s">
        <v>0</v>
      </c>
      <c r="B1" t="s">
        <v>3</v>
      </c>
    </row>
    <row r="2" spans="1:2" x14ac:dyDescent="0.2">
      <c r="A2" t="s">
        <v>1</v>
      </c>
      <c r="B2" t="s">
        <v>4</v>
      </c>
    </row>
    <row r="3" spans="1:2" x14ac:dyDescent="0.2">
      <c r="A3" t="s">
        <v>2</v>
      </c>
      <c r="B3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16</vt:i4>
      </vt:variant>
    </vt:vector>
  </HeadingPairs>
  <TitlesOfParts>
    <vt:vector size="23" baseType="lpstr">
      <vt:lpstr>Entêtes Locations</vt:lpstr>
      <vt:lpstr>Détails Locations</vt:lpstr>
      <vt:lpstr>Emprunteurs</vt:lpstr>
      <vt:lpstr>Inventaire</vt:lpstr>
      <vt:lpstr>Catégories Inventaire</vt:lpstr>
      <vt:lpstr>Catégories Emprunteurs</vt:lpstr>
      <vt:lpstr>Paramètres</vt:lpstr>
      <vt:lpstr>'Détails Locations'!_FilterDatabase</vt:lpstr>
      <vt:lpstr>Emprunteurs!_FilterDatabase</vt:lpstr>
      <vt:lpstr>'Entêtes Locations'!_FilterDatabase</vt:lpstr>
      <vt:lpstr>Inventaire!_FilterDatabase</vt:lpstr>
      <vt:lpstr>Catégories_Emprunteurs</vt:lpstr>
      <vt:lpstr>Collectivité</vt:lpstr>
      <vt:lpstr>Emprunteurs</vt:lpstr>
      <vt:lpstr>Entetes_Locations</vt:lpstr>
      <vt:lpstr>Equipements</vt:lpstr>
      <vt:lpstr>Liste_Catégories_Emprunteurs</vt:lpstr>
      <vt:lpstr>Liste_Catégories_Inventaire</vt:lpstr>
      <vt:lpstr>Liste_Emprunteurs</vt:lpstr>
      <vt:lpstr>Liste_Entetes_Locations</vt:lpstr>
      <vt:lpstr>Liste_Equipements</vt:lpstr>
      <vt:lpstr>Service</vt:lpstr>
      <vt:lpstr>Titre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DanDev</cp:lastModifiedBy>
  <dcterms:created xsi:type="dcterms:W3CDTF">2015-09-24T12:52:02Z</dcterms:created>
  <dcterms:modified xsi:type="dcterms:W3CDTF">2017-02-28T07:58:21Z</dcterms:modified>
</cp:coreProperties>
</file>