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PivotChartFilter="1" defaultThemeVersion="124226"/>
  <bookViews>
    <workbookView xWindow="480" yWindow="75" windowWidth="20700" windowHeight="9720"/>
  </bookViews>
  <sheets>
    <sheet name="Marchés" sheetId="1" r:id="rId1"/>
    <sheet name="Lots" sheetId="2" r:id="rId2"/>
    <sheet name="Acomptes" sheetId="3" r:id="rId3"/>
    <sheet name="Evénements" sheetId="7" r:id="rId4"/>
    <sheet name="Tranches" sheetId="4" r:id="rId5"/>
    <sheet name="Synthèses" sheetId="6" r:id="rId6"/>
    <sheet name="Paramètres" sheetId="5" r:id="rId7"/>
  </sheets>
  <definedNames>
    <definedName name="_xlnm._FilterDatabase" localSheetId="2" hidden="1">Acomptes!$A$3:$J$4</definedName>
    <definedName name="_xlnm._FilterDatabase" localSheetId="3">Evénements!$B$3:$J$8</definedName>
    <definedName name="_xlnm._FilterDatabase" localSheetId="1">Lots!$A$3:$K$16</definedName>
    <definedName name="_xlnm._FilterDatabase" localSheetId="0">Marchés!$A$3:$R$3</definedName>
    <definedName name="_xlnm._FilterDatabase" localSheetId="4" hidden="1">Tranches!$A$3:$E$7</definedName>
    <definedName name="Acomptes" localSheetId="3">Evénements!$D$3:$F$1002</definedName>
    <definedName name="Acomptes">Acomptes!$A$3:$J$1000</definedName>
    <definedName name="Evénements">Evénements!$A$3:$J$9</definedName>
    <definedName name="Liste_Evénements">Paramètres!$A$30:$A$37</definedName>
    <definedName name="Liste_Lots">Lots!$A$3:$A$17</definedName>
    <definedName name="Liste_Marchés">Marchés!$A$3:$A$9</definedName>
    <definedName name="Liste_Modes">Paramètres!$A$5:$A$9</definedName>
    <definedName name="Liste_Services">Paramètres!$A$21:$A$26</definedName>
    <definedName name="Liste_Types">Paramètres!$A$13:$A$17</definedName>
    <definedName name="Lots">Lots!$A$3:$K$1000</definedName>
    <definedName name="Marchés">Marchés!$A$3:$R$1000</definedName>
    <definedName name="Titre">Paramètres!$B$1</definedName>
    <definedName name="Tranches">Tranches!$A$3:$E$21</definedName>
  </definedNames>
  <calcPr calcId="125725"/>
  <pivotCaches>
    <pivotCache cacheId="1" r:id="rId8"/>
  </pivotCaches>
</workbook>
</file>

<file path=xl/calcChain.xml><?xml version="1.0" encoding="utf-8"?>
<calcChain xmlns="http://schemas.openxmlformats.org/spreadsheetml/2006/main">
  <c r="J5" i="1"/>
  <c r="J6"/>
  <c r="J7"/>
  <c r="J8"/>
  <c r="J4"/>
  <c r="J7" i="7"/>
  <c r="I7"/>
  <c r="H7"/>
  <c r="G7"/>
  <c r="C7"/>
  <c r="A7"/>
  <c r="Q5" i="1"/>
  <c r="Q6"/>
  <c r="Q7"/>
  <c r="Q8"/>
  <c r="R5"/>
  <c r="R6"/>
  <c r="R7"/>
  <c r="R8"/>
  <c r="C5" i="2"/>
  <c r="C6"/>
  <c r="C7"/>
  <c r="C8"/>
  <c r="C9"/>
  <c r="C10"/>
  <c r="C11"/>
  <c r="C12"/>
  <c r="C13"/>
  <c r="C14"/>
  <c r="C15"/>
  <c r="C16"/>
  <c r="C4"/>
  <c r="G5" i="7"/>
  <c r="H5"/>
  <c r="I5"/>
  <c r="J5"/>
  <c r="G6"/>
  <c r="H6"/>
  <c r="I6"/>
  <c r="J6"/>
  <c r="G8"/>
  <c r="H8"/>
  <c r="I8"/>
  <c r="J8"/>
  <c r="J4"/>
  <c r="I4"/>
  <c r="H4"/>
  <c r="G4"/>
  <c r="D5" i="3"/>
  <c r="D6"/>
  <c r="D4"/>
  <c r="C5" i="7"/>
  <c r="C6"/>
  <c r="C8"/>
  <c r="C4"/>
  <c r="A6"/>
  <c r="A5"/>
  <c r="A8"/>
  <c r="A4"/>
  <c r="Q4" i="1"/>
  <c r="R4" s="1"/>
  <c r="F1" i="3"/>
  <c r="I1"/>
  <c r="I1" i="2"/>
  <c r="H1"/>
  <c r="A1" i="4"/>
  <c r="A1" i="3"/>
  <c r="A1" i="2"/>
  <c r="A1" i="1"/>
  <c r="M8"/>
  <c r="L8"/>
  <c r="P8" s="1"/>
  <c r="K8"/>
  <c r="A16" i="2"/>
  <c r="A15"/>
  <c r="M7" i="1"/>
  <c r="L7"/>
  <c r="P7" s="1"/>
  <c r="K7"/>
  <c r="A14" i="2"/>
  <c r="A13"/>
  <c r="M6" i="1"/>
  <c r="L6"/>
  <c r="P6" s="1"/>
  <c r="K6"/>
  <c r="A12" i="2"/>
  <c r="A11"/>
  <c r="A10"/>
  <c r="A9"/>
  <c r="A8"/>
  <c r="A7"/>
  <c r="M5" i="1"/>
  <c r="K5"/>
  <c r="L5"/>
  <c r="P5" s="1"/>
  <c r="A6" i="2"/>
  <c r="A5"/>
  <c r="A6" i="3"/>
  <c r="A5"/>
  <c r="M4" i="1"/>
  <c r="A4" i="3"/>
  <c r="L4" i="1"/>
  <c r="K4"/>
  <c r="A4" i="2"/>
  <c r="F6" i="3" s="1"/>
  <c r="M1" i="1" l="1"/>
  <c r="L1"/>
  <c r="J5" i="2"/>
  <c r="J7"/>
  <c r="J8"/>
  <c r="K8" s="1"/>
  <c r="J10"/>
  <c r="K10" s="1"/>
  <c r="J12"/>
  <c r="K12" s="1"/>
  <c r="J14"/>
  <c r="K14" s="1"/>
  <c r="J16"/>
  <c r="N8" i="1" s="1"/>
  <c r="O8" s="1"/>
  <c r="J6" i="2"/>
  <c r="K6" s="1"/>
  <c r="J9"/>
  <c r="K9" s="1"/>
  <c r="J11"/>
  <c r="K11" s="1"/>
  <c r="J13"/>
  <c r="K13" s="1"/>
  <c r="J15"/>
  <c r="K15" s="1"/>
  <c r="K16"/>
  <c r="P4" i="1"/>
  <c r="D4" i="4" s="1"/>
  <c r="N5" i="1"/>
  <c r="O5" s="1"/>
  <c r="K7" i="2"/>
  <c r="E4" i="3"/>
  <c r="F5"/>
  <c r="E6"/>
  <c r="F4"/>
  <c r="E5"/>
  <c r="J4" i="2"/>
  <c r="K4" s="1"/>
  <c r="K5"/>
  <c r="D15" i="4" l="1"/>
  <c r="K1" i="2"/>
  <c r="D7" i="4"/>
  <c r="D18"/>
  <c r="D6"/>
  <c r="D11"/>
  <c r="D10"/>
  <c r="E8"/>
  <c r="D19"/>
  <c r="D14"/>
  <c r="E4"/>
  <c r="E16"/>
  <c r="E7"/>
  <c r="N6" i="1"/>
  <c r="O6" s="1"/>
  <c r="J1" i="2"/>
  <c r="N4" i="1"/>
  <c r="O4" s="1"/>
  <c r="N7"/>
  <c r="O7" s="1"/>
  <c r="D5" i="4"/>
  <c r="D9"/>
  <c r="D13"/>
  <c r="D17"/>
  <c r="D8"/>
  <c r="D12"/>
  <c r="D16"/>
  <c r="D20"/>
  <c r="E6"/>
  <c r="E12"/>
  <c r="E20"/>
  <c r="E11"/>
  <c r="E10"/>
  <c r="E14"/>
  <c r="E18"/>
  <c r="E5"/>
  <c r="E9"/>
  <c r="E13"/>
  <c r="E15"/>
  <c r="E17"/>
  <c r="E19"/>
  <c r="O1" i="1" l="1"/>
  <c r="E1" i="4"/>
  <c r="D1"/>
  <c r="N1" i="1"/>
</calcChain>
</file>

<file path=xl/sharedStrings.xml><?xml version="1.0" encoding="utf-8"?>
<sst xmlns="http://schemas.openxmlformats.org/spreadsheetml/2006/main" count="188" uniqueCount="100">
  <si>
    <t>Identifiant</t>
  </si>
  <si>
    <t>Libellé</t>
  </si>
  <si>
    <t>Nombre de lots</t>
  </si>
  <si>
    <t>Montant total</t>
  </si>
  <si>
    <t>Notification</t>
  </si>
  <si>
    <t>Durée en mois</t>
  </si>
  <si>
    <t>Budgété</t>
  </si>
  <si>
    <t>Acomptes</t>
  </si>
  <si>
    <t>Solde</t>
  </si>
  <si>
    <t>Observations</t>
  </si>
  <si>
    <t>Recensement des marchés publics</t>
  </si>
  <si>
    <t>2010-24</t>
  </si>
  <si>
    <t>Service acheteur</t>
  </si>
  <si>
    <t>Informatique</t>
  </si>
  <si>
    <t>MAPA</t>
  </si>
  <si>
    <t>Marché</t>
  </si>
  <si>
    <t>Numéro de lot</t>
  </si>
  <si>
    <t>Libellé du lot</t>
  </si>
  <si>
    <t>Modernisation des dispositifs de stockage, de sauvegarde et de virtualisation des serveurs informatiques</t>
  </si>
  <si>
    <t>Titulaire</t>
  </si>
  <si>
    <t>Access Diffusion</t>
  </si>
  <si>
    <t>Montant total TTC</t>
  </si>
  <si>
    <t>Code marché</t>
  </si>
  <si>
    <t>Libellé du marché</t>
  </si>
  <si>
    <t>Montant TTC</t>
  </si>
  <si>
    <t>Date de l'acompte</t>
  </si>
  <si>
    <t>Numéro de mandat</t>
  </si>
  <si>
    <t>2012-01</t>
  </si>
  <si>
    <t>Réhabilitation du Centre social</t>
  </si>
  <si>
    <t>Bâtiments</t>
  </si>
  <si>
    <t>Mode de passation</t>
  </si>
  <si>
    <t>Type de marché</t>
  </si>
  <si>
    <t>Fournitures et services</t>
  </si>
  <si>
    <t>Appel d'offres</t>
  </si>
  <si>
    <t>Année de création</t>
  </si>
  <si>
    <t>Charpente - couverture</t>
  </si>
  <si>
    <t>Bezacier - 42460</t>
  </si>
  <si>
    <t>Chrisdécor - 71340</t>
  </si>
  <si>
    <t>O2 - 42590</t>
  </si>
  <si>
    <t>Maçonnerie - carrelage</t>
  </si>
  <si>
    <t>Menuiseries extérieures</t>
  </si>
  <si>
    <t>B'Alu - 71340</t>
  </si>
  <si>
    <t>Menuiseries intérieures</t>
  </si>
  <si>
    <t>Chapuis - 42110</t>
  </si>
  <si>
    <t>Plomberie - sanitaire</t>
  </si>
  <si>
    <t>Raquin-Duchon - 42300</t>
  </si>
  <si>
    <t>Portes automatiques</t>
  </si>
  <si>
    <t>Dorma Accueil - 69200</t>
  </si>
  <si>
    <t>Electricité</t>
  </si>
  <si>
    <t>Rocharm - 69240</t>
  </si>
  <si>
    <t>Travaux</t>
  </si>
  <si>
    <t>Tranche</t>
  </si>
  <si>
    <t>Montant mini</t>
  </si>
  <si>
    <t>Montant maxi</t>
  </si>
  <si>
    <t>Nombre de marchés</t>
  </si>
  <si>
    <t>Montants totaux</t>
  </si>
  <si>
    <t>2012-08</t>
  </si>
  <si>
    <t>Travaux programmés de voirie 2012</t>
  </si>
  <si>
    <t>Voirie</t>
  </si>
  <si>
    <t>Réfection rue de Beaulieu</t>
  </si>
  <si>
    <t>Réfection route de l'Aéroport</t>
  </si>
  <si>
    <t>Eurovia Dala - 42153</t>
  </si>
  <si>
    <t>Titre</t>
  </si>
  <si>
    <t>Communication</t>
  </si>
  <si>
    <t>Entretien du parc de feux tricolores</t>
  </si>
  <si>
    <t>2012-02</t>
  </si>
  <si>
    <t>Cegelec - 42300</t>
  </si>
  <si>
    <t>2012-06</t>
  </si>
  <si>
    <t>Travaux d'impression des supports d'information municipaux</t>
  </si>
  <si>
    <t>Plafonds suspendus - plâtrerie - peinture</t>
  </si>
  <si>
    <t>Montants</t>
  </si>
  <si>
    <t>Total général</t>
  </si>
  <si>
    <t>(Tous)</t>
  </si>
  <si>
    <t>Inférieur à 15 K€</t>
  </si>
  <si>
    <t>Entre 15 et 90 K€</t>
  </si>
  <si>
    <t xml:space="preserve">Entre 90 et 200 000 K€ </t>
  </si>
  <si>
    <t>Supérieur à 200 K€</t>
  </si>
  <si>
    <t>Total Bâtiments</t>
  </si>
  <si>
    <t>Total Communication</t>
  </si>
  <si>
    <t>Total Informatique</t>
  </si>
  <si>
    <t>Total Voirie</t>
  </si>
  <si>
    <t>Date</t>
  </si>
  <si>
    <t>Recensement des marchés publics - Fichier des évènements</t>
  </si>
  <si>
    <t>Evénement</t>
  </si>
  <si>
    <t>Publicité</t>
  </si>
  <si>
    <t>Ouverture des plis</t>
  </si>
  <si>
    <t>Date dernier événement</t>
  </si>
  <si>
    <t>Dernier événement</t>
  </si>
  <si>
    <t>Code recherche</t>
  </si>
  <si>
    <t>Clôture</t>
  </si>
  <si>
    <t>Modes de passation</t>
  </si>
  <si>
    <t>Types de marché</t>
  </si>
  <si>
    <t>Services acheteurs</t>
  </si>
  <si>
    <t>Evénements</t>
  </si>
  <si>
    <t>Choix en CAO</t>
  </si>
  <si>
    <t>Choix en CEM</t>
  </si>
  <si>
    <t>France-Soir, Le Chasseur Français, Paris-Match</t>
  </si>
  <si>
    <t>Maire, Adjoint aux TICE, Responsable Marché Responsable Informatique</t>
  </si>
  <si>
    <t>Début</t>
  </si>
  <si>
    <t>Fin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</si>
</sst>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;;&quot;&quot;"/>
    <numFmt numFmtId="166" formatCode="#,##0.00\ &quot;€&quot;"/>
    <numFmt numFmtId="167" formatCode="dd/mm/yy;@"/>
  </numFmts>
  <fonts count="7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vertical="top" wrapText="1"/>
    </xf>
    <xf numFmtId="164" fontId="0" fillId="0" borderId="0" xfId="0" applyNumberFormat="1"/>
    <xf numFmtId="0" fontId="2" fillId="0" borderId="0" xfId="0" applyFont="1"/>
    <xf numFmtId="0" fontId="2" fillId="0" borderId="0" xfId="0" applyFont="1" applyAlignment="1">
      <alignment vertical="top" wrapText="1"/>
    </xf>
    <xf numFmtId="44" fontId="0" fillId="0" borderId="0" xfId="1" applyFont="1"/>
    <xf numFmtId="44" fontId="0" fillId="0" borderId="0" xfId="1" applyFont="1" applyAlignment="1">
      <alignment vertical="top" wrapText="1"/>
    </xf>
    <xf numFmtId="0" fontId="0" fillId="3" borderId="0" xfId="0" applyFill="1" applyAlignment="1">
      <alignment vertical="top" wrapText="1"/>
    </xf>
    <xf numFmtId="14" fontId="0" fillId="3" borderId="0" xfId="0" applyNumberFormat="1" applyFill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vertical="top" wrapText="1"/>
    </xf>
    <xf numFmtId="164" fontId="2" fillId="2" borderId="0" xfId="0" applyNumberFormat="1" applyFont="1" applyFill="1" applyAlignment="1">
      <alignment vertical="top" wrapText="1"/>
    </xf>
    <xf numFmtId="44" fontId="2" fillId="2" borderId="0" xfId="1" applyFont="1" applyFill="1" applyAlignment="1">
      <alignment vertical="top" wrapText="1"/>
    </xf>
    <xf numFmtId="164" fontId="0" fillId="3" borderId="0" xfId="0" applyNumberFormat="1" applyFill="1" applyAlignment="1">
      <alignment vertical="top" wrapText="1"/>
    </xf>
    <xf numFmtId="44" fontId="0" fillId="3" borderId="0" xfId="1" applyFont="1" applyFill="1" applyAlignment="1">
      <alignment vertical="top" wrapText="1"/>
    </xf>
    <xf numFmtId="164" fontId="2" fillId="2" borderId="0" xfId="0" applyNumberFormat="1" applyFont="1" applyFill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44" fontId="0" fillId="3" borderId="0" xfId="1" applyFont="1" applyFill="1"/>
    <xf numFmtId="0" fontId="0" fillId="3" borderId="0" xfId="0" applyFill="1"/>
    <xf numFmtId="165" fontId="0" fillId="0" borderId="0" xfId="0" applyNumberFormat="1" applyAlignment="1">
      <alignment horizontal="center"/>
    </xf>
    <xf numFmtId="0" fontId="0" fillId="3" borderId="0" xfId="0" applyFill="1" applyAlignment="1">
      <alignment horizontal="left" vertical="top" wrapText="1"/>
    </xf>
    <xf numFmtId="0" fontId="0" fillId="0" borderId="0" xfId="0" applyFill="1" applyAlignment="1">
      <alignment vertical="top" wrapText="1"/>
    </xf>
    <xf numFmtId="14" fontId="0" fillId="3" borderId="0" xfId="0" applyNumberFormat="1" applyFill="1" applyAlignment="1">
      <alignment vertical="top" wrapText="1"/>
    </xf>
    <xf numFmtId="165" fontId="2" fillId="2" borderId="0" xfId="0" applyNumberFormat="1" applyFont="1" applyFill="1" applyAlignment="1">
      <alignment horizontal="center" vertical="top" wrapText="1"/>
    </xf>
    <xf numFmtId="44" fontId="2" fillId="2" borderId="0" xfId="1" applyFont="1" applyFill="1" applyAlignment="1">
      <alignment horizontal="center" vertical="top" wrapText="1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166" fontId="0" fillId="0" borderId="0" xfId="0" applyNumberFormat="1"/>
    <xf numFmtId="0" fontId="0" fillId="0" borderId="0" xfId="0" pivotButton="1"/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center" vertical="top" wrapText="1"/>
    </xf>
    <xf numFmtId="164" fontId="0" fillId="2" borderId="0" xfId="0" applyNumberFormat="1" applyFill="1" applyAlignment="1">
      <alignment vertical="top" wrapText="1"/>
    </xf>
    <xf numFmtId="44" fontId="0" fillId="2" borderId="0" xfId="1" applyFont="1" applyFill="1" applyAlignment="1">
      <alignment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44" fontId="0" fillId="2" borderId="0" xfId="1" applyFont="1" applyFill="1"/>
    <xf numFmtId="165" fontId="0" fillId="2" borderId="0" xfId="0" applyNumberFormat="1" applyFill="1" applyAlignment="1">
      <alignment horizontal="center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164" fontId="2" fillId="5" borderId="0" xfId="0" applyNumberFormat="1" applyFont="1" applyFill="1"/>
    <xf numFmtId="44" fontId="2" fillId="5" borderId="0" xfId="1" applyFont="1" applyFill="1"/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164" fontId="4" fillId="4" borderId="0" xfId="0" applyNumberFormat="1" applyFont="1" applyFill="1" applyAlignment="1">
      <alignment vertical="center"/>
    </xf>
    <xf numFmtId="44" fontId="4" fillId="4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3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164" fontId="0" fillId="0" borderId="0" xfId="0" applyNumberFormat="1" applyBorder="1" applyAlignment="1">
      <alignment vertical="top" wrapText="1"/>
    </xf>
    <xf numFmtId="0" fontId="0" fillId="3" borderId="0" xfId="0" applyFill="1" applyBorder="1" applyAlignment="1">
      <alignment horizontal="center" vertical="top" wrapText="1"/>
    </xf>
    <xf numFmtId="44" fontId="0" fillId="0" borderId="0" xfId="1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44" fontId="4" fillId="4" borderId="0" xfId="1" applyFont="1" applyFill="1" applyAlignment="1">
      <alignment horizontal="center" vertical="center"/>
    </xf>
    <xf numFmtId="44" fontId="3" fillId="4" borderId="0" xfId="1" applyFont="1" applyFill="1" applyAlignment="1">
      <alignment vertical="center"/>
    </xf>
    <xf numFmtId="167" fontId="4" fillId="4" borderId="0" xfId="1" applyNumberFormat="1" applyFont="1" applyFill="1" applyAlignment="1">
      <alignment horizontal="left" vertical="center"/>
    </xf>
    <xf numFmtId="167" fontId="2" fillId="5" borderId="0" xfId="1" applyNumberFormat="1" applyFont="1" applyFill="1" applyAlignment="1">
      <alignment horizontal="left"/>
    </xf>
    <xf numFmtId="167" fontId="2" fillId="2" borderId="0" xfId="1" applyNumberFormat="1" applyFont="1" applyFill="1" applyAlignment="1">
      <alignment horizontal="left" vertical="top" wrapText="1"/>
    </xf>
    <xf numFmtId="167" fontId="0" fillId="0" borderId="0" xfId="1" applyNumberFormat="1" applyFont="1" applyBorder="1" applyAlignment="1">
      <alignment horizontal="left" vertical="top" wrapText="1"/>
    </xf>
    <xf numFmtId="167" fontId="0" fillId="2" borderId="0" xfId="1" applyNumberFormat="1" applyFont="1" applyFill="1" applyAlignment="1">
      <alignment horizontal="left" vertical="top" wrapText="1"/>
    </xf>
    <xf numFmtId="167" fontId="0" fillId="0" borderId="0" xfId="1" applyNumberFormat="1" applyFont="1" applyAlignment="1">
      <alignment horizontal="left" vertical="top" wrapText="1"/>
    </xf>
    <xf numFmtId="167" fontId="0" fillId="0" borderId="0" xfId="1" applyNumberFormat="1" applyFont="1" applyAlignment="1">
      <alignment horizontal="left"/>
    </xf>
    <xf numFmtId="0" fontId="3" fillId="4" borderId="0" xfId="0" applyFont="1" applyFill="1" applyAlignment="1">
      <alignment horizontal="center" vertical="center"/>
    </xf>
    <xf numFmtId="14" fontId="4" fillId="4" borderId="0" xfId="1" applyNumberFormat="1" applyFont="1" applyFill="1" applyAlignment="1">
      <alignment horizontal="center" vertical="center"/>
    </xf>
    <xf numFmtId="14" fontId="2" fillId="5" borderId="0" xfId="1" applyNumberFormat="1" applyFont="1" applyFill="1" applyAlignment="1">
      <alignment horizontal="center"/>
    </xf>
    <xf numFmtId="14" fontId="2" fillId="2" borderId="0" xfId="1" applyNumberFormat="1" applyFont="1" applyFill="1" applyAlignment="1">
      <alignment horizontal="center" vertical="top" wrapText="1"/>
    </xf>
    <xf numFmtId="14" fontId="0" fillId="0" borderId="0" xfId="1" applyNumberFormat="1" applyFont="1" applyBorder="1" applyAlignment="1">
      <alignment horizontal="center" vertical="top" wrapText="1"/>
    </xf>
    <xf numFmtId="14" fontId="0" fillId="2" borderId="0" xfId="1" applyNumberFormat="1" applyFont="1" applyFill="1" applyAlignment="1">
      <alignment horizontal="center" vertical="top" wrapText="1"/>
    </xf>
    <xf numFmtId="14" fontId="0" fillId="0" borderId="0" xfId="1" applyNumberFormat="1" applyFont="1" applyAlignment="1">
      <alignment horizontal="center" vertical="top" wrapText="1"/>
    </xf>
    <xf numFmtId="14" fontId="0" fillId="0" borderId="0" xfId="1" applyNumberFormat="1" applyFont="1" applyAlignment="1">
      <alignment horizontal="center"/>
    </xf>
    <xf numFmtId="0" fontId="0" fillId="6" borderId="0" xfId="0" applyFill="1" applyAlignment="1">
      <alignment vertical="center"/>
    </xf>
    <xf numFmtId="0" fontId="5" fillId="6" borderId="0" xfId="0" applyFont="1" applyFill="1" applyAlignment="1">
      <alignment vertical="center"/>
    </xf>
    <xf numFmtId="0" fontId="6" fillId="7" borderId="0" xfId="0" applyFont="1" applyFill="1" applyAlignment="1">
      <alignment vertical="center"/>
    </xf>
    <xf numFmtId="14" fontId="0" fillId="3" borderId="0" xfId="0" applyNumberFormat="1" applyFill="1" applyBorder="1" applyAlignment="1">
      <alignment vertical="top" wrapText="1"/>
    </xf>
    <xf numFmtId="14" fontId="0" fillId="0" borderId="0" xfId="0" applyNumberFormat="1" applyFill="1" applyBorder="1" applyAlignment="1">
      <alignment vertical="top" wrapText="1"/>
    </xf>
  </cellXfs>
  <cellStyles count="2">
    <cellStyle name="Monétaire" xfId="1" builtinId="4"/>
    <cellStyle name="Normal" xfId="0" builtinId="0"/>
  </cellStyles>
  <dxfs count="16"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explosion val="25"/>
          <c:dLbls>
            <c:txPr>
              <a:bodyPr/>
              <a:lstStyle/>
              <a:p>
                <a:pPr>
                  <a:defRPr sz="1050" b="1"/>
                </a:pPr>
                <a:endParaRPr lang="fr-FR"/>
              </a:p>
            </c:txPr>
            <c:showPercent val="1"/>
            <c:showLeaderLines val="1"/>
          </c:dLbls>
          <c:cat>
            <c:strRef>
              <c:f>Tranches!$C$4:$C$7</c:f>
              <c:strCache>
                <c:ptCount val="4"/>
                <c:pt idx="0">
                  <c:v>Inférieur à 15 K€</c:v>
                </c:pt>
                <c:pt idx="1">
                  <c:v>Entre 15 et 90 K€</c:v>
                </c:pt>
                <c:pt idx="2">
                  <c:v>Entre 90 et 200 000 K€ </c:v>
                </c:pt>
                <c:pt idx="3">
                  <c:v>Supérieur à 200 K€</c:v>
                </c:pt>
              </c:strCache>
            </c:strRef>
          </c:cat>
          <c:val>
            <c:numRef>
              <c:f>Tranches!$D$4:$D$7</c:f>
              <c:numCache>
                <c:formatCode>0;;""</c:formatCode>
                <c:ptCount val="4"/>
                <c:pt idx="0">
                  <c:v>0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</c:pie3D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[Marchés.xlsx]Synthèses!Tableau croisé dynamique3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Synthèses!$C$4:$C$5</c:f>
              <c:strCache>
                <c:ptCount val="1"/>
                <c:pt idx="0">
                  <c:v>Appel d'offres</c:v>
                </c:pt>
              </c:strCache>
            </c:strRef>
          </c:tx>
          <c:cat>
            <c:multiLvlStrRef>
              <c:f>Synthèses!$A$6:$B$15</c:f>
              <c:multiLvlStrCache>
                <c:ptCount val="5"/>
                <c:lvl>
                  <c:pt idx="0">
                    <c:v>Supérieur à 200 K€</c:v>
                  </c:pt>
                  <c:pt idx="1">
                    <c:v>Entre 15 et 90 K€</c:v>
                  </c:pt>
                  <c:pt idx="2">
                    <c:v>Entre 15 et 90 K€</c:v>
                  </c:pt>
                  <c:pt idx="3">
                    <c:v>Entre 15 et 90 K€</c:v>
                  </c:pt>
                  <c:pt idx="4">
                    <c:v>Entre 90 et 200 000 K€ </c:v>
                  </c:pt>
                </c:lvl>
                <c:lvl>
                  <c:pt idx="0">
                    <c:v>Bâtiments</c:v>
                  </c:pt>
                  <c:pt idx="1">
                    <c:v>Communication</c:v>
                  </c:pt>
                  <c:pt idx="2">
                    <c:v>Informatique</c:v>
                  </c:pt>
                  <c:pt idx="3">
                    <c:v>Voirie</c:v>
                  </c:pt>
                </c:lvl>
              </c:multiLvlStrCache>
            </c:multiLvlStrRef>
          </c:cat>
          <c:val>
            <c:numRef>
              <c:f>Synthèses!$C$6:$C$15</c:f>
              <c:numCache>
                <c:formatCode>#,##0.00\ "€"</c:formatCode>
                <c:ptCount val="5"/>
                <c:pt idx="0">
                  <c:v>329191.25000000006</c:v>
                </c:pt>
              </c:numCache>
            </c:numRef>
          </c:val>
        </c:ser>
        <c:ser>
          <c:idx val="1"/>
          <c:order val="1"/>
          <c:tx>
            <c:strRef>
              <c:f>Synthèses!$D$4:$D$5</c:f>
              <c:strCache>
                <c:ptCount val="1"/>
                <c:pt idx="0">
                  <c:v>MAPA</c:v>
                </c:pt>
              </c:strCache>
            </c:strRef>
          </c:tx>
          <c:cat>
            <c:multiLvlStrRef>
              <c:f>Synthèses!$A$6:$B$15</c:f>
              <c:multiLvlStrCache>
                <c:ptCount val="5"/>
                <c:lvl>
                  <c:pt idx="0">
                    <c:v>Supérieur à 200 K€</c:v>
                  </c:pt>
                  <c:pt idx="1">
                    <c:v>Entre 15 et 90 K€</c:v>
                  </c:pt>
                  <c:pt idx="2">
                    <c:v>Entre 15 et 90 K€</c:v>
                  </c:pt>
                  <c:pt idx="3">
                    <c:v>Entre 15 et 90 K€</c:v>
                  </c:pt>
                  <c:pt idx="4">
                    <c:v>Entre 90 et 200 000 K€ </c:v>
                  </c:pt>
                </c:lvl>
                <c:lvl>
                  <c:pt idx="0">
                    <c:v>Bâtiments</c:v>
                  </c:pt>
                  <c:pt idx="1">
                    <c:v>Communication</c:v>
                  </c:pt>
                  <c:pt idx="2">
                    <c:v>Informatique</c:v>
                  </c:pt>
                  <c:pt idx="3">
                    <c:v>Voirie</c:v>
                  </c:pt>
                </c:lvl>
              </c:multiLvlStrCache>
            </c:multiLvlStrRef>
          </c:cat>
          <c:val>
            <c:numRef>
              <c:f>Synthèses!$D$6:$D$15</c:f>
              <c:numCache>
                <c:formatCode>#,##0.00\ "€"</c:formatCode>
                <c:ptCount val="5"/>
                <c:pt idx="1">
                  <c:v>16722.41</c:v>
                </c:pt>
                <c:pt idx="2">
                  <c:v>48988</c:v>
                </c:pt>
                <c:pt idx="3">
                  <c:v>16722.41</c:v>
                </c:pt>
                <c:pt idx="4">
                  <c:v>110322.75</c:v>
                </c:pt>
              </c:numCache>
            </c:numRef>
          </c:val>
        </c:ser>
        <c:shape val="cylinder"/>
        <c:axId val="50479488"/>
        <c:axId val="50481024"/>
        <c:axId val="0"/>
      </c:bar3DChart>
      <c:catAx>
        <c:axId val="50479488"/>
        <c:scaling>
          <c:orientation val="minMax"/>
        </c:scaling>
        <c:axPos val="b"/>
        <c:tickLblPos val="nextTo"/>
        <c:crossAx val="50481024"/>
        <c:crosses val="autoZero"/>
        <c:auto val="1"/>
        <c:lblAlgn val="ctr"/>
        <c:lblOffset val="100"/>
      </c:catAx>
      <c:valAx>
        <c:axId val="50481024"/>
        <c:scaling>
          <c:orientation val="minMax"/>
        </c:scaling>
        <c:axPos val="l"/>
        <c:majorGridlines/>
        <c:numFmt formatCode="#,##0.00\ &quot;€&quot;" sourceLinked="1"/>
        <c:tickLblPos val="nextTo"/>
        <c:crossAx val="504794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3</xdr:row>
      <xdr:rowOff>152400</xdr:rowOff>
    </xdr:from>
    <xdr:to>
      <xdr:col>11</xdr:col>
      <xdr:colOff>428625</xdr:colOff>
      <xdr:row>19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15</xdr:row>
      <xdr:rowOff>104774</xdr:rowOff>
    </xdr:from>
    <xdr:to>
      <xdr:col>4</xdr:col>
      <xdr:colOff>0</xdr:colOff>
      <xdr:row>32</xdr:row>
      <xdr:rowOff>161924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1512.708204166665" createdVersion="3" refreshedVersion="3" minRefreshableVersion="3" recordCount="27">
  <cacheSource type="worksheet">
    <worksheetSource ref="A3:R100" sheet="Marchés"/>
  </cacheSource>
  <cacheFields count="14">
    <cacheField name="Code marché" numFmtId="0">
      <sharedItems containsBlank="1"/>
    </cacheField>
    <cacheField name="Année de création" numFmtId="0">
      <sharedItems containsBlank="1" count="3">
        <s v="2010"/>
        <s v="2012"/>
        <m/>
      </sharedItems>
    </cacheField>
    <cacheField name="Libellé" numFmtId="0">
      <sharedItems containsBlank="1"/>
    </cacheField>
    <cacheField name="Service acheteur" numFmtId="0">
      <sharedItems containsBlank="1" count="5">
        <s v="Informatique"/>
        <s v="Bâtiments"/>
        <s v="Voirie"/>
        <s v="Communication"/>
        <m/>
      </sharedItems>
    </cacheField>
    <cacheField name="Mode de passation" numFmtId="0">
      <sharedItems containsBlank="1" count="3">
        <s v="MAPA"/>
        <s v="Appel d'offres"/>
        <m/>
      </sharedItems>
    </cacheField>
    <cacheField name="Type de marché" numFmtId="0">
      <sharedItems containsBlank="1" count="3">
        <s v="Fournitures et services"/>
        <s v="Travaux"/>
        <m/>
      </sharedItems>
    </cacheField>
    <cacheField name="Nombre de lots" numFmtId="0">
      <sharedItems containsString="0" containsBlank="1" containsNumber="1" containsInteger="1" minValue="1" maxValue="8"/>
    </cacheField>
    <cacheField name="Montant total" numFmtId="164">
      <sharedItems containsString="0" containsBlank="1" containsNumber="1" minValue="16722.41" maxValue="329191.25000000006"/>
    </cacheField>
    <cacheField name="Code finances" numFmtId="0">
      <sharedItems containsNonDate="0" containsString="0" containsBlank="1"/>
    </cacheField>
    <cacheField name="Budgété" numFmtId="44">
      <sharedItems containsString="0" containsBlank="1" containsNumber="1" containsInteger="1" minValue="17000" maxValue="330600"/>
    </cacheField>
    <cacheField name="Acomptes" numFmtId="44">
      <sharedItems containsString="0" containsBlank="1" containsNumber="1" containsInteger="1" minValue="0" maxValue="50000"/>
    </cacheField>
    <cacheField name="Solde" numFmtId="44">
      <sharedItems containsString="0" containsBlank="1" containsNumber="1" containsInteger="1" minValue="0" maxValue="330600"/>
    </cacheField>
    <cacheField name="Tranche" numFmtId="44">
      <sharedItems containsBlank="1" count="7">
        <s v="Entre 15 et 90 K€"/>
        <s v="Supérieur à 200 K€"/>
        <s v="Entre 90 et 200 000 K€ "/>
        <m/>
        <s v="Supérieur à 200 000 €ttc" u="1"/>
        <s v="Entre 15 000 et 90 000 €ttc" u="1"/>
        <s v="Entre 90 000 et 200 000 €ttc " u="1"/>
      </sharedItems>
    </cacheField>
    <cacheField name="Observations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s v="2010-24"/>
    <x v="0"/>
    <s v="Modernisation des dispositifs de stockage, de sauvegarde et de virtualisation des serveurs informatiques"/>
    <x v="0"/>
    <x v="0"/>
    <x v="0"/>
    <n v="1"/>
    <n v="48988"/>
    <m/>
    <n v="50000"/>
    <n v="50000"/>
    <n v="0"/>
    <x v="0"/>
    <m/>
  </r>
  <r>
    <s v="2012-01"/>
    <x v="1"/>
    <s v="Réhabilitation du Centre social"/>
    <x v="1"/>
    <x v="1"/>
    <x v="1"/>
    <n v="8"/>
    <n v="329191.25000000006"/>
    <m/>
    <n v="330600"/>
    <n v="0"/>
    <n v="330600"/>
    <x v="1"/>
    <m/>
  </r>
  <r>
    <s v="2012-08"/>
    <x v="1"/>
    <s v="Travaux programmés de voirie 2012"/>
    <x v="2"/>
    <x v="0"/>
    <x v="1"/>
    <n v="2"/>
    <n v="110322.75"/>
    <m/>
    <n v="112000"/>
    <n v="0"/>
    <n v="112000"/>
    <x v="2"/>
    <m/>
  </r>
  <r>
    <s v="2012-02"/>
    <x v="1"/>
    <s v="Entretien du parc de feux tricolores"/>
    <x v="2"/>
    <x v="0"/>
    <x v="1"/>
    <n v="1"/>
    <n v="16722.41"/>
    <m/>
    <n v="17000"/>
    <n v="0"/>
    <n v="17000"/>
    <x v="0"/>
    <m/>
  </r>
  <r>
    <s v="2012-06"/>
    <x v="1"/>
    <s v="Travaux d'impression des supports d'information municipaux"/>
    <x v="3"/>
    <x v="0"/>
    <x v="1"/>
    <n v="1"/>
    <n v="16722.41"/>
    <m/>
    <n v="17000"/>
    <n v="0"/>
    <n v="17000"/>
    <x v="0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  <r>
    <m/>
    <x v="2"/>
    <m/>
    <x v="4"/>
    <x v="2"/>
    <x v="2"/>
    <m/>
    <m/>
    <m/>
    <m/>
    <m/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showHeaders="0" compact="0" compactData="0" gridDropZones="1" multipleFieldFilters="0" chartFormat="1">
  <location ref="A4:E15" firstHeaderRow="1" firstDataRow="2" firstDataCol="2" rowPageCount="2" colPageCount="1"/>
  <pivotFields count="14">
    <pivotField compact="0" outline="0" showAll="0"/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>
      <items count="6">
        <item x="1"/>
        <item x="3"/>
        <item x="0"/>
        <item x="2"/>
        <item x="4"/>
        <item t="default"/>
      </items>
    </pivotField>
    <pivotField axis="axisCol" compact="0" outline="0" showAll="0">
      <items count="4">
        <item x="1"/>
        <item x="0"/>
        <item h="1" x="2"/>
        <item t="default"/>
      </items>
    </pivotField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8">
        <item m="1" x="5"/>
        <item m="1" x="6"/>
        <item m="1" x="4"/>
        <item x="3"/>
        <item x="0"/>
        <item x="1"/>
        <item x="2"/>
        <item t="default"/>
      </items>
    </pivotField>
    <pivotField compact="0" outline="0" showAll="0"/>
  </pivotFields>
  <rowFields count="2">
    <field x="3"/>
    <field x="12"/>
  </rowFields>
  <rowItems count="10">
    <i>
      <x/>
      <x v="5"/>
    </i>
    <i t="default">
      <x/>
    </i>
    <i>
      <x v="1"/>
      <x v="4"/>
    </i>
    <i t="default">
      <x v="1"/>
    </i>
    <i>
      <x v="2"/>
      <x v="4"/>
    </i>
    <i t="default">
      <x v="2"/>
    </i>
    <i>
      <x v="3"/>
      <x v="4"/>
    </i>
    <i r="1">
      <x v="6"/>
    </i>
    <i t="default">
      <x v="3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2">
    <pageField fld="5" hier="-1"/>
    <pageField fld="1" hier="-1"/>
  </pageFields>
  <dataFields count="1">
    <dataField name="Montants" fld="7" baseField="0" baseItem="0" numFmtId="166"/>
  </dataFields>
  <formats count="6">
    <format dxfId="11">
      <pivotArea dataOnly="0" labelOnly="1" outline="0" fieldPosition="0">
        <references count="1">
          <reference field="4" count="0"/>
        </references>
      </pivotArea>
    </format>
    <format dxfId="10">
      <pivotArea dataOnly="0" labelOnly="1" grandCol="1" outline="0" fieldPosition="0"/>
    </format>
    <format dxfId="9">
      <pivotArea dataOnly="0" labelOnly="1" outline="0" fieldPosition="0">
        <references count="1">
          <reference field="4" count="0"/>
        </references>
      </pivotArea>
    </format>
    <format dxfId="8">
      <pivotArea dataOnly="0" labelOnly="1" grandCol="1" outline="0" fieldPosition="0"/>
    </format>
    <format dxfId="7">
      <pivotArea dataOnly="0" labelOnly="1" outline="0" fieldPosition="0">
        <references count="1">
          <reference field="4" count="0"/>
        </references>
      </pivotArea>
    </format>
    <format dxfId="6">
      <pivotArea dataOnly="0" labelOnly="1" grandCol="1" outline="0" fieldPosition="0"/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zoomScale="80" zoomScaleNormal="8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C6" sqref="C6"/>
    </sheetView>
  </sheetViews>
  <sheetFormatPr baseColWidth="10" defaultRowHeight="14.25"/>
  <cols>
    <col min="2" max="2" width="24.25" customWidth="1"/>
    <col min="3" max="3" width="17.75" customWidth="1"/>
    <col min="4" max="4" width="14.125" customWidth="1"/>
    <col min="5" max="5" width="12.5" customWidth="1"/>
    <col min="6" max="6" width="11" style="3"/>
    <col min="7" max="7" width="26" customWidth="1"/>
    <col min="8" max="10" width="11" style="3"/>
    <col min="11" max="11" width="8.5" style="3" customWidth="1"/>
    <col min="12" max="12" width="13.25" style="5" customWidth="1"/>
    <col min="13" max="13" width="13.875" style="8" customWidth="1"/>
    <col min="14" max="14" width="13.125" style="8" bestFit="1" customWidth="1"/>
    <col min="15" max="15" width="13.5" style="8" customWidth="1"/>
    <col min="16" max="16" width="21.375" style="8" customWidth="1"/>
    <col min="17" max="17" width="13.875" style="75" customWidth="1"/>
    <col min="18" max="18" width="21.875" style="67" customWidth="1"/>
  </cols>
  <sheetData>
    <row r="1" spans="1:18" s="50" customFormat="1" ht="27.75" customHeight="1">
      <c r="A1" s="45" t="str">
        <f>Titre&amp;" - Fichier des marchés"</f>
        <v>Recensement des marchés publics - Fichier des marchés</v>
      </c>
      <c r="B1" s="47"/>
      <c r="C1" s="47"/>
      <c r="D1" s="47"/>
      <c r="E1" s="47"/>
      <c r="F1" s="46"/>
      <c r="G1" s="47"/>
      <c r="H1" s="46"/>
      <c r="I1" s="46"/>
      <c r="J1" s="46"/>
      <c r="K1" s="46"/>
      <c r="L1" s="48">
        <f>SUBTOTAL(9,L3:L9)</f>
        <v>521946.82</v>
      </c>
      <c r="M1" s="49">
        <f>SUBTOTAL(9,M3:M9)</f>
        <v>526600</v>
      </c>
      <c r="N1" s="49">
        <f>SUBTOTAL(9,N3:N9)</f>
        <v>50000</v>
      </c>
      <c r="O1" s="49">
        <f>SUBTOTAL(9,O3:O9)</f>
        <v>476600</v>
      </c>
      <c r="P1" s="49"/>
      <c r="Q1" s="69"/>
      <c r="R1" s="61"/>
    </row>
    <row r="2" spans="1:18" s="6" customFormat="1" ht="15">
      <c r="A2" s="41"/>
      <c r="B2" s="41"/>
      <c r="C2" s="41"/>
      <c r="D2" s="41"/>
      <c r="E2" s="41"/>
      <c r="F2" s="42"/>
      <c r="G2" s="41"/>
      <c r="H2" s="42"/>
      <c r="I2" s="42"/>
      <c r="J2" s="42"/>
      <c r="K2" s="42"/>
      <c r="L2" s="43"/>
      <c r="M2" s="44"/>
      <c r="N2" s="44"/>
      <c r="O2" s="44"/>
      <c r="P2" s="44"/>
      <c r="Q2" s="70"/>
      <c r="R2" s="62"/>
    </row>
    <row r="3" spans="1:18" s="7" customFormat="1" ht="47.25" customHeight="1">
      <c r="A3" s="13" t="s">
        <v>22</v>
      </c>
      <c r="B3" s="13" t="s">
        <v>1</v>
      </c>
      <c r="C3" s="13" t="s">
        <v>12</v>
      </c>
      <c r="D3" s="13" t="s">
        <v>30</v>
      </c>
      <c r="E3" s="13" t="s">
        <v>31</v>
      </c>
      <c r="F3" s="14" t="s">
        <v>5</v>
      </c>
      <c r="G3" s="13" t="s">
        <v>9</v>
      </c>
      <c r="H3" s="14" t="s">
        <v>34</v>
      </c>
      <c r="I3" s="14" t="s">
        <v>98</v>
      </c>
      <c r="J3" s="14" t="s">
        <v>99</v>
      </c>
      <c r="K3" s="14" t="s">
        <v>2</v>
      </c>
      <c r="L3" s="15" t="s">
        <v>3</v>
      </c>
      <c r="M3" s="16" t="s">
        <v>6</v>
      </c>
      <c r="N3" s="16" t="s">
        <v>7</v>
      </c>
      <c r="O3" s="16" t="s">
        <v>8</v>
      </c>
      <c r="P3" s="16" t="s">
        <v>51</v>
      </c>
      <c r="Q3" s="71" t="s">
        <v>86</v>
      </c>
      <c r="R3" s="63" t="s">
        <v>87</v>
      </c>
    </row>
    <row r="4" spans="1:18" s="57" customFormat="1" ht="84.75" customHeight="1">
      <c r="A4" s="51" t="s">
        <v>11</v>
      </c>
      <c r="B4" s="51" t="s">
        <v>18</v>
      </c>
      <c r="C4" s="51" t="s">
        <v>13</v>
      </c>
      <c r="D4" s="51" t="s">
        <v>14</v>
      </c>
      <c r="E4" s="51" t="s">
        <v>32</v>
      </c>
      <c r="F4" s="55">
        <v>36</v>
      </c>
      <c r="G4" s="51"/>
      <c r="H4" s="55">
        <v>2010</v>
      </c>
      <c r="I4" s="79">
        <v>40179</v>
      </c>
      <c r="J4" s="80">
        <f>IF(I4,I4+(F4/12*365.25),"")</f>
        <v>41274.75</v>
      </c>
      <c r="K4" s="53">
        <f>COUNTIF(Lots!B:B,Marchés!A:A)</f>
        <v>1</v>
      </c>
      <c r="L4" s="54">
        <f>SUMIF(Lots!B:B,Marchés!A:A,Lots!H:H)</f>
        <v>48988</v>
      </c>
      <c r="M4" s="56">
        <f>SUMIF(Lots!B:B,Marchés!A:A,Lots!I:I)</f>
        <v>50000</v>
      </c>
      <c r="N4" s="56">
        <f>SUMIF(Lots!B:B,Marchés!A:A,Lots!J:J)</f>
        <v>50000</v>
      </c>
      <c r="O4" s="56">
        <f>M4-N4</f>
        <v>0</v>
      </c>
      <c r="P4" s="56" t="str">
        <f>VLOOKUP(L4,Tranches,3,TRUE)</f>
        <v>Entre 15 et 90 K€</v>
      </c>
      <c r="Q4" s="72">
        <f>IF(MAX(IF(Evénements!$B$3:$B$9=A4,Evénements!$D$3:$D$9)),MAX(IF(Evénements!$B$3:$B$9=A4,Evénements!$D$3:$D$9)),"")</f>
        <v>41041</v>
      </c>
      <c r="R4" s="64" t="str">
        <f>IF(ISTEXT(VLOOKUP(A4&amp;"-"&amp;INT(Q4),Evénements,5,FALSE)),VLOOKUP(A4&amp;"-"&amp;INT(Q4),Evénements,5,FALSE),"")</f>
        <v>Clôture</v>
      </c>
    </row>
    <row r="5" spans="1:18" s="57" customFormat="1" ht="84.75" customHeight="1">
      <c r="A5" s="51" t="s">
        <v>27</v>
      </c>
      <c r="B5" s="51" t="s">
        <v>28</v>
      </c>
      <c r="C5" s="51" t="s">
        <v>29</v>
      </c>
      <c r="D5" s="51" t="s">
        <v>33</v>
      </c>
      <c r="E5" s="51" t="s">
        <v>50</v>
      </c>
      <c r="F5" s="55">
        <v>12</v>
      </c>
      <c r="G5" s="51"/>
      <c r="H5" s="55">
        <v>2012</v>
      </c>
      <c r="I5" s="79">
        <v>41183</v>
      </c>
      <c r="J5" s="80">
        <f t="shared" ref="J5:J8" si="0">IF(I5,I5+(F5/12*365.25),"")</f>
        <v>41548.25</v>
      </c>
      <c r="K5" s="53">
        <f>COUNTIF(Lots!B:B,Marchés!A:A)</f>
        <v>8</v>
      </c>
      <c r="L5" s="54">
        <f>SUMIF(Lots!B:B,Marchés!A:A,Lots!H:H)</f>
        <v>329191.25000000006</v>
      </c>
      <c r="M5" s="56">
        <f>SUMIF(Lots!B:B,Marchés!A:A,Lots!I:I)</f>
        <v>330600</v>
      </c>
      <c r="N5" s="56">
        <f>SUMIF(Lots!B:B,Marchés!A:A,Lots!J:J)</f>
        <v>0</v>
      </c>
      <c r="O5" s="56">
        <f>M5-N5</f>
        <v>330600</v>
      </c>
      <c r="P5" s="56" t="str">
        <f>VLOOKUP(L5,Tranches,3,TRUE)</f>
        <v>Supérieur à 200 K€</v>
      </c>
      <c r="Q5" s="72" t="str">
        <f>IF(MAX(IF(Evénements!$B$3:$B$9=A5,Evénements!$D$3:$D$9)),MAX(IF(Evénements!$B$3:$B$9=A5,Evénements!$D$3:$D$9)),"")</f>
        <v/>
      </c>
      <c r="R5" s="64" t="str">
        <f>IF(ISTEXT(VLOOKUP(A5&amp;"-"&amp;INT(Q5),Evénements,5,FALSE)),VLOOKUP(A5&amp;"-"&amp;INT(Q5),Evénements,5,FALSE),"")</f>
        <v/>
      </c>
    </row>
    <row r="6" spans="1:18" s="57" customFormat="1" ht="84.75" customHeight="1">
      <c r="A6" s="51" t="s">
        <v>56</v>
      </c>
      <c r="B6" s="51" t="s">
        <v>57</v>
      </c>
      <c r="C6" s="51" t="s">
        <v>58</v>
      </c>
      <c r="D6" s="51" t="s">
        <v>14</v>
      </c>
      <c r="E6" s="51" t="s">
        <v>50</v>
      </c>
      <c r="F6" s="55">
        <v>12</v>
      </c>
      <c r="G6" s="51"/>
      <c r="H6" s="55">
        <v>2012</v>
      </c>
      <c r="I6" s="79">
        <v>41122</v>
      </c>
      <c r="J6" s="80">
        <f t="shared" si="0"/>
        <v>41487.25</v>
      </c>
      <c r="K6" s="53">
        <f>COUNTIF(Lots!B:B,Marchés!A:A)</f>
        <v>2</v>
      </c>
      <c r="L6" s="54">
        <f>SUMIF(Lots!B:B,Marchés!A:A,Lots!H:H)</f>
        <v>110322.75</v>
      </c>
      <c r="M6" s="56">
        <f>SUMIF(Lots!B:B,Marchés!A:A,Lots!I:I)</f>
        <v>112000</v>
      </c>
      <c r="N6" s="56">
        <f>SUMIF(Lots!B:B,Marchés!A:A,Lots!J:J)</f>
        <v>0</v>
      </c>
      <c r="O6" s="56">
        <f>M6-N6</f>
        <v>112000</v>
      </c>
      <c r="P6" s="56" t="str">
        <f>VLOOKUP(L6,Tranches,3,TRUE)</f>
        <v xml:space="preserve">Entre 90 et 200 000 K€ </v>
      </c>
      <c r="Q6" s="72" t="str">
        <f>IF(MAX(IF(Evénements!$B$3:$B$9=A6,Evénements!$D$3:$D$9)),MAX(IF(Evénements!$B$3:$B$9=A6,Evénements!$D$3:$D$9)),"")</f>
        <v/>
      </c>
      <c r="R6" s="64" t="str">
        <f>IF(ISTEXT(VLOOKUP(A6&amp;"-"&amp;INT(Q6),Evénements,5,FALSE)),VLOOKUP(A6&amp;"-"&amp;INT(Q6),Evénements,5,FALSE),"")</f>
        <v/>
      </c>
    </row>
    <row r="7" spans="1:18" s="57" customFormat="1" ht="84.75" customHeight="1">
      <c r="A7" s="51" t="s">
        <v>65</v>
      </c>
      <c r="B7" s="51" t="s">
        <v>64</v>
      </c>
      <c r="C7" s="51" t="s">
        <v>58</v>
      </c>
      <c r="D7" s="51" t="s">
        <v>14</v>
      </c>
      <c r="E7" s="51" t="s">
        <v>50</v>
      </c>
      <c r="F7" s="55">
        <v>60</v>
      </c>
      <c r="G7" s="51"/>
      <c r="H7" s="55">
        <v>2012</v>
      </c>
      <c r="I7" s="79">
        <v>40940</v>
      </c>
      <c r="J7" s="80">
        <f t="shared" si="0"/>
        <v>42766.25</v>
      </c>
      <c r="K7" s="53">
        <f>COUNTIF(Lots!B:B,Marchés!A:A)</f>
        <v>1</v>
      </c>
      <c r="L7" s="54">
        <f>SUMIF(Lots!B:B,Marchés!A:A,Lots!H:H)</f>
        <v>16722.41</v>
      </c>
      <c r="M7" s="56">
        <f>SUMIF(Lots!B:B,Marchés!A:A,Lots!I:I)</f>
        <v>17000</v>
      </c>
      <c r="N7" s="56">
        <f>SUMIF(Lots!B:B,Marchés!A:A,Lots!J:J)</f>
        <v>0</v>
      </c>
      <c r="O7" s="56">
        <f>M7-N7</f>
        <v>17000</v>
      </c>
      <c r="P7" s="56" t="str">
        <f>VLOOKUP(L7,Tranches,3,TRUE)</f>
        <v>Entre 15 et 90 K€</v>
      </c>
      <c r="Q7" s="72" t="str">
        <f>IF(MAX(IF(Evénements!$B$3:$B$9=A7,Evénements!$D$3:$D$9)),MAX(IF(Evénements!$B$3:$B$9=A7,Evénements!$D$3:$D$9)),"")</f>
        <v/>
      </c>
      <c r="R7" s="64" t="str">
        <f>IF(ISTEXT(VLOOKUP(A7&amp;"-"&amp;INT(Q7),Evénements,5,FALSE)),VLOOKUP(A7&amp;"-"&amp;INT(Q7),Evénements,5,FALSE),"")</f>
        <v/>
      </c>
    </row>
    <row r="8" spans="1:18" s="57" customFormat="1" ht="84.75" customHeight="1">
      <c r="A8" s="51" t="s">
        <v>67</v>
      </c>
      <c r="B8" s="51" t="s">
        <v>68</v>
      </c>
      <c r="C8" s="51" t="s">
        <v>63</v>
      </c>
      <c r="D8" s="51" t="s">
        <v>14</v>
      </c>
      <c r="E8" s="51" t="s">
        <v>50</v>
      </c>
      <c r="F8" s="55">
        <v>36</v>
      </c>
      <c r="G8" s="51"/>
      <c r="H8" s="55">
        <v>2012</v>
      </c>
      <c r="I8" s="79">
        <v>41075</v>
      </c>
      <c r="J8" s="80">
        <f t="shared" si="0"/>
        <v>42170.75</v>
      </c>
      <c r="K8" s="53">
        <f>COUNTIF(Lots!B:B,Marchés!A:A)</f>
        <v>1</v>
      </c>
      <c r="L8" s="54">
        <f>SUMIF(Lots!B:B,Marchés!A:A,Lots!H:H)</f>
        <v>16722.41</v>
      </c>
      <c r="M8" s="56">
        <f>SUMIF(Lots!B:B,Marchés!A:A,Lots!I:I)</f>
        <v>17000</v>
      </c>
      <c r="N8" s="56">
        <f>SUMIF(Lots!B:B,Marchés!A:A,Lots!J:J)</f>
        <v>0</v>
      </c>
      <c r="O8" s="56">
        <f>M8-N8</f>
        <v>17000</v>
      </c>
      <c r="P8" s="56" t="str">
        <f>VLOOKUP(L8,Tranches,3,TRUE)</f>
        <v>Entre 15 et 90 K€</v>
      </c>
      <c r="Q8" s="72" t="str">
        <f>IF(MAX(IF(Evénements!$B$3:$B$9=A8,Evénements!$D$3:$D$9)),MAX(IF(Evénements!$B$3:$B$9=A8,Evénements!$D$3:$D$9)),"")</f>
        <v/>
      </c>
      <c r="R8" s="64" t="str">
        <f>IF(ISTEXT(VLOOKUP(A8&amp;"-"&amp;INT(Q8),Evénements,5,FALSE)),VLOOKUP(A8&amp;"-"&amp;INT(Q8),Evénements,5,FALSE),"")</f>
        <v/>
      </c>
    </row>
    <row r="9" spans="1:18" s="1" customFormat="1" ht="21" customHeight="1">
      <c r="A9" s="33"/>
      <c r="B9" s="33"/>
      <c r="C9" s="33"/>
      <c r="D9" s="33"/>
      <c r="E9" s="33"/>
      <c r="F9" s="34"/>
      <c r="G9" s="33"/>
      <c r="H9" s="34"/>
      <c r="I9" s="34"/>
      <c r="J9" s="34"/>
      <c r="K9" s="34"/>
      <c r="L9" s="35"/>
      <c r="M9" s="36"/>
      <c r="N9" s="36"/>
      <c r="O9" s="36"/>
      <c r="P9" s="36"/>
      <c r="Q9" s="73"/>
      <c r="R9" s="65"/>
    </row>
    <row r="10" spans="1:18" s="1" customFormat="1">
      <c r="F10" s="2"/>
      <c r="H10" s="2"/>
      <c r="I10" s="2"/>
      <c r="J10" s="2"/>
      <c r="K10" s="2"/>
      <c r="L10" s="4"/>
      <c r="M10" s="9"/>
      <c r="N10" s="9"/>
      <c r="O10" s="9"/>
      <c r="P10" s="9"/>
      <c r="Q10" s="74"/>
      <c r="R10" s="66"/>
    </row>
    <row r="11" spans="1:18" s="1" customFormat="1">
      <c r="F11" s="2"/>
      <c r="H11" s="2"/>
      <c r="I11" s="2"/>
      <c r="J11" s="2"/>
      <c r="K11" s="2"/>
      <c r="L11" s="4"/>
      <c r="M11" s="9"/>
      <c r="N11" s="9"/>
      <c r="O11" s="9"/>
      <c r="P11" s="9"/>
      <c r="Q11" s="74"/>
      <c r="R11" s="66"/>
    </row>
    <row r="12" spans="1:18" s="1" customFormat="1">
      <c r="F12" s="2"/>
      <c r="H12" s="2"/>
      <c r="I12" s="2"/>
      <c r="J12" s="2"/>
      <c r="K12" s="2"/>
      <c r="L12" s="4"/>
      <c r="M12" s="9"/>
      <c r="N12" s="9"/>
      <c r="O12" s="9"/>
      <c r="P12" s="9"/>
      <c r="Q12" s="74"/>
      <c r="R12" s="66"/>
    </row>
    <row r="13" spans="1:18" s="1" customFormat="1">
      <c r="F13" s="2"/>
      <c r="H13" s="2"/>
      <c r="I13" s="2"/>
      <c r="J13" s="2"/>
      <c r="K13" s="2"/>
      <c r="L13" s="4"/>
      <c r="M13" s="9"/>
      <c r="N13" s="9"/>
      <c r="O13" s="9"/>
      <c r="P13" s="9"/>
      <c r="Q13" s="74"/>
      <c r="R13" s="66"/>
    </row>
    <row r="14" spans="1:18" s="1" customFormat="1">
      <c r="F14" s="2"/>
      <c r="H14" s="2"/>
      <c r="I14" s="2"/>
      <c r="J14" s="2"/>
      <c r="K14" s="2"/>
      <c r="L14" s="4"/>
      <c r="M14" s="9"/>
      <c r="N14" s="9"/>
      <c r="O14" s="9"/>
      <c r="P14" s="9"/>
      <c r="Q14" s="74"/>
      <c r="R14" s="66"/>
    </row>
    <row r="15" spans="1:18" s="1" customFormat="1">
      <c r="F15" s="2"/>
      <c r="H15" s="2"/>
      <c r="I15" s="2"/>
      <c r="J15" s="2"/>
      <c r="K15" s="2"/>
      <c r="L15" s="4"/>
      <c r="M15" s="9"/>
      <c r="N15" s="9"/>
      <c r="O15" s="9"/>
      <c r="P15" s="9"/>
      <c r="Q15" s="74"/>
      <c r="R15" s="66"/>
    </row>
    <row r="16" spans="1:18" s="1" customFormat="1">
      <c r="F16" s="2"/>
      <c r="H16" s="2"/>
      <c r="I16" s="2"/>
      <c r="J16" s="2"/>
      <c r="K16" s="2"/>
      <c r="L16" s="4"/>
      <c r="M16" s="9"/>
      <c r="N16" s="9"/>
      <c r="O16" s="9"/>
      <c r="P16" s="9"/>
      <c r="Q16" s="74"/>
      <c r="R16" s="66"/>
    </row>
    <row r="17" spans="6:18" s="1" customFormat="1">
      <c r="F17" s="2"/>
      <c r="H17" s="2"/>
      <c r="I17" s="2"/>
      <c r="J17" s="2"/>
      <c r="K17" s="2"/>
      <c r="L17" s="4"/>
      <c r="M17" s="9"/>
      <c r="N17" s="9"/>
      <c r="O17" s="9"/>
      <c r="P17" s="9"/>
      <c r="Q17" s="74"/>
      <c r="R17" s="66"/>
    </row>
    <row r="18" spans="6:18" s="1" customFormat="1">
      <c r="F18" s="2"/>
      <c r="H18" s="2"/>
      <c r="I18" s="2"/>
      <c r="J18" s="2"/>
      <c r="K18" s="2"/>
      <c r="L18" s="4"/>
      <c r="M18" s="9"/>
      <c r="N18" s="9"/>
      <c r="O18" s="9"/>
      <c r="P18" s="9"/>
      <c r="Q18" s="74"/>
      <c r="R18" s="66"/>
    </row>
    <row r="19" spans="6:18" s="1" customFormat="1">
      <c r="F19" s="2"/>
      <c r="H19" s="2"/>
      <c r="I19" s="2"/>
      <c r="J19" s="2"/>
      <c r="K19" s="2"/>
      <c r="L19" s="4"/>
      <c r="M19" s="9"/>
      <c r="N19" s="9"/>
      <c r="O19" s="9"/>
      <c r="P19" s="9"/>
      <c r="Q19" s="74"/>
      <c r="R19" s="66"/>
    </row>
    <row r="20" spans="6:18" s="1" customFormat="1">
      <c r="F20" s="2"/>
      <c r="H20" s="2"/>
      <c r="I20" s="2"/>
      <c r="J20" s="2"/>
      <c r="K20" s="2"/>
      <c r="L20" s="4"/>
      <c r="M20" s="9"/>
      <c r="N20" s="9"/>
      <c r="O20" s="9"/>
      <c r="P20" s="9"/>
      <c r="Q20" s="74"/>
      <c r="R20" s="66"/>
    </row>
    <row r="21" spans="6:18" s="1" customFormat="1">
      <c r="F21" s="2"/>
      <c r="H21" s="2"/>
      <c r="I21" s="2"/>
      <c r="J21" s="2"/>
      <c r="K21" s="2"/>
      <c r="L21" s="4"/>
      <c r="M21" s="9"/>
      <c r="N21" s="9"/>
      <c r="O21" s="9"/>
      <c r="P21" s="9"/>
      <c r="Q21" s="74"/>
      <c r="R21" s="66"/>
    </row>
    <row r="22" spans="6:18" s="1" customFormat="1">
      <c r="F22" s="2"/>
      <c r="H22" s="2"/>
      <c r="I22" s="2"/>
      <c r="J22" s="2"/>
      <c r="K22" s="2"/>
      <c r="L22" s="4"/>
      <c r="M22" s="9"/>
      <c r="N22" s="9"/>
      <c r="O22" s="9"/>
      <c r="P22" s="9"/>
      <c r="Q22" s="74"/>
      <c r="R22" s="66"/>
    </row>
    <row r="23" spans="6:18" s="1" customFormat="1">
      <c r="F23" s="2"/>
      <c r="H23" s="2"/>
      <c r="I23" s="2"/>
      <c r="J23" s="2"/>
      <c r="K23" s="2"/>
      <c r="L23" s="4"/>
      <c r="M23" s="9"/>
      <c r="N23" s="9"/>
      <c r="O23" s="9"/>
      <c r="P23" s="9"/>
      <c r="Q23" s="74"/>
      <c r="R23" s="66"/>
    </row>
    <row r="24" spans="6:18" s="1" customFormat="1">
      <c r="F24" s="2"/>
      <c r="H24" s="2"/>
      <c r="I24" s="2"/>
      <c r="J24" s="2"/>
      <c r="K24" s="2"/>
      <c r="L24" s="4"/>
      <c r="M24" s="9"/>
      <c r="N24" s="9"/>
      <c r="O24" s="9"/>
      <c r="P24" s="9"/>
      <c r="Q24" s="74"/>
      <c r="R24" s="66"/>
    </row>
    <row r="25" spans="6:18" s="1" customFormat="1">
      <c r="F25" s="2"/>
      <c r="H25" s="2"/>
      <c r="I25" s="2"/>
      <c r="J25" s="2"/>
      <c r="K25" s="2"/>
      <c r="L25" s="4"/>
      <c r="M25" s="9"/>
      <c r="N25" s="9"/>
      <c r="O25" s="9"/>
      <c r="P25" s="9"/>
      <c r="Q25" s="74"/>
      <c r="R25" s="66"/>
    </row>
    <row r="26" spans="6:18" s="1" customFormat="1">
      <c r="F26" s="2"/>
      <c r="H26" s="2"/>
      <c r="I26" s="2"/>
      <c r="J26" s="2"/>
      <c r="K26" s="2"/>
      <c r="L26" s="4"/>
      <c r="M26" s="9"/>
      <c r="N26" s="9"/>
      <c r="O26" s="9"/>
      <c r="P26" s="9"/>
      <c r="Q26" s="74"/>
      <c r="R26" s="66"/>
    </row>
    <row r="27" spans="6:18" s="1" customFormat="1">
      <c r="F27" s="2"/>
      <c r="H27" s="2"/>
      <c r="I27" s="2"/>
      <c r="J27" s="2"/>
      <c r="K27" s="2"/>
      <c r="L27" s="4"/>
      <c r="M27" s="9"/>
      <c r="N27" s="9"/>
      <c r="O27" s="9"/>
      <c r="P27" s="9"/>
      <c r="Q27" s="74"/>
      <c r="R27" s="66"/>
    </row>
    <row r="28" spans="6:18" s="1" customFormat="1">
      <c r="F28" s="2"/>
      <c r="H28" s="2"/>
      <c r="I28" s="2"/>
      <c r="J28" s="2"/>
      <c r="K28" s="2"/>
      <c r="L28" s="4"/>
      <c r="M28" s="9"/>
      <c r="N28" s="9"/>
      <c r="O28" s="9"/>
      <c r="P28" s="9"/>
      <c r="Q28" s="74"/>
      <c r="R28" s="66"/>
    </row>
    <row r="29" spans="6:18" s="1" customFormat="1">
      <c r="F29" s="2"/>
      <c r="H29" s="2"/>
      <c r="I29" s="2"/>
      <c r="J29" s="2"/>
      <c r="K29" s="2"/>
      <c r="L29" s="4"/>
      <c r="M29" s="9"/>
      <c r="N29" s="9"/>
      <c r="O29" s="9"/>
      <c r="P29" s="9"/>
      <c r="Q29" s="74"/>
      <c r="R29" s="66"/>
    </row>
  </sheetData>
  <autoFilter ref="A3:R3">
    <filterColumn colId="2"/>
    <filterColumn colId="4"/>
    <filterColumn colId="5"/>
    <filterColumn colId="6"/>
    <filterColumn colId="7"/>
    <filterColumn colId="8"/>
    <filterColumn colId="9"/>
    <filterColumn colId="15"/>
    <filterColumn colId="16"/>
    <filterColumn colId="17"/>
  </autoFilter>
  <conditionalFormatting sqref="C3:C9">
    <cfRule type="expression" dxfId="15" priority="3">
      <formula>AND(ISERROR(VLOOKUP(C3,Liste_Services,1,FALSE)),C3&lt;&gt;"Service acheteur",LEN(C3)&gt;0)</formula>
    </cfRule>
  </conditionalFormatting>
  <conditionalFormatting sqref="D3:D9">
    <cfRule type="expression" dxfId="14" priority="2">
      <formula>AND(ISERROR(VLOOKUP(D3,Liste_Modes,1,FALSE)),D3&lt;&gt;"Mode de passation",LEN(D3)&gt;0)</formula>
    </cfRule>
  </conditionalFormatting>
  <conditionalFormatting sqref="E3:E9">
    <cfRule type="expression" dxfId="13" priority="1">
      <formula>AND(ISERROR(VLOOKUP(E3,Liste_Types,1,FALSE)),E3&lt;&gt;"Type de marché",LEN(E3)&gt;0)</formula>
    </cfRule>
  </conditionalFormatting>
  <dataValidations count="3">
    <dataValidation type="list" allowBlank="1" showInputMessage="1" showErrorMessage="1" errorTitle="Veuiller choisir dans la liste !" promptTitle="Veuiller choisir dans la liste" sqref="C3:C9">
      <formula1>Liste_Services</formula1>
    </dataValidation>
    <dataValidation type="list" allowBlank="1" showInputMessage="1" showErrorMessage="1" errorTitle="Veuillez choisir dans la liste" promptTitle="Veuillez choisir dans la liste" sqref="D3:D9">
      <formula1>Liste_Modes</formula1>
    </dataValidation>
    <dataValidation type="list" allowBlank="1" showInputMessage="1" showErrorMessage="1" errorTitle="Veuillez choisir dans la liste" promptTitle="Veuillez choisir dans la liste" sqref="E3:E9">
      <formula1>Liste_Types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9"/>
  <sheetViews>
    <sheetView zoomScale="80" zoomScaleNormal="80" workbookViewId="0">
      <pane ySplit="3" topLeftCell="A7" activePane="bottomLeft" state="frozen"/>
      <selection activeCell="A2" sqref="A2"/>
      <selection pane="bottomLeft" activeCell="A3" sqref="A3:A17"/>
    </sheetView>
  </sheetViews>
  <sheetFormatPr baseColWidth="10" defaultRowHeight="14.25"/>
  <cols>
    <col min="2" max="2" width="11" style="3"/>
    <col min="3" max="3" width="31.125" customWidth="1"/>
    <col min="4" max="4" width="9.5" style="3" customWidth="1"/>
    <col min="5" max="5" width="33" customWidth="1"/>
    <col min="6" max="6" width="24.875" customWidth="1"/>
    <col min="7" max="7" width="27.125" customWidth="1"/>
    <col min="8" max="8" width="16.25" customWidth="1"/>
    <col min="9" max="9" width="15.875" style="8" bestFit="1" customWidth="1"/>
    <col min="10" max="10" width="14.75" style="8" bestFit="1" customWidth="1"/>
    <col min="11" max="11" width="17" style="8" bestFit="1" customWidth="1"/>
  </cols>
  <sheetData>
    <row r="1" spans="1:11" s="50" customFormat="1" ht="27.75" customHeight="1">
      <c r="A1" s="45" t="str">
        <f>Titre&amp;" - Fichier des lots"</f>
        <v>Recensement des marchés publics - Fichier des lots</v>
      </c>
      <c r="B1" s="46"/>
      <c r="C1" s="47"/>
      <c r="D1" s="47"/>
      <c r="E1" s="47"/>
      <c r="F1" s="47"/>
      <c r="G1" s="45"/>
      <c r="H1" s="46">
        <f>SUBTOTAL(9,H3:H17)</f>
        <v>521946.81999999995</v>
      </c>
      <c r="I1" s="49">
        <f t="shared" ref="I1:K1" si="0">SUBTOTAL(9,I3:I17)</f>
        <v>526600</v>
      </c>
      <c r="J1" s="49">
        <f t="shared" si="0"/>
        <v>50000</v>
      </c>
      <c r="K1" s="60">
        <f t="shared" si="0"/>
        <v>476600</v>
      </c>
    </row>
    <row r="2" spans="1:11" s="6" customFormat="1" ht="15">
      <c r="A2" s="41"/>
      <c r="B2" s="42"/>
      <c r="C2" s="41"/>
      <c r="D2" s="41"/>
      <c r="E2" s="41"/>
      <c r="F2" s="41"/>
      <c r="G2" s="41"/>
      <c r="H2" s="42"/>
      <c r="I2" s="44"/>
      <c r="J2" s="44"/>
      <c r="K2" s="41"/>
    </row>
    <row r="3" spans="1:11" s="7" customFormat="1" ht="51.75" customHeight="1">
      <c r="A3" s="13" t="s">
        <v>0</v>
      </c>
      <c r="B3" s="14" t="s">
        <v>15</v>
      </c>
      <c r="C3" s="13" t="s">
        <v>1</v>
      </c>
      <c r="D3" s="14" t="s">
        <v>16</v>
      </c>
      <c r="E3" s="13" t="s">
        <v>17</v>
      </c>
      <c r="F3" s="13" t="s">
        <v>19</v>
      </c>
      <c r="G3" s="13" t="s">
        <v>9</v>
      </c>
      <c r="H3" s="19" t="s">
        <v>21</v>
      </c>
      <c r="I3" s="16" t="s">
        <v>6</v>
      </c>
      <c r="J3" s="16" t="s">
        <v>7</v>
      </c>
      <c r="K3" s="16" t="s">
        <v>8</v>
      </c>
    </row>
    <row r="4" spans="1:11" s="1" customFormat="1" ht="43.5" customHeight="1">
      <c r="A4" s="1" t="str">
        <f t="shared" ref="A4:A16" si="1">B4&amp;"-"&amp;D4</f>
        <v>2010-24-1</v>
      </c>
      <c r="B4" s="12" t="s">
        <v>11</v>
      </c>
      <c r="C4" s="1" t="str">
        <f t="shared" ref="C4:C16" si="2">VLOOKUP(B4,Marchés,2,FALSE)</f>
        <v>Modernisation des dispositifs de stockage, de sauvegarde et de virtualisation des serveurs informatiques</v>
      </c>
      <c r="D4" s="12">
        <v>1</v>
      </c>
      <c r="E4" s="10" t="s">
        <v>18</v>
      </c>
      <c r="F4" s="10" t="s">
        <v>20</v>
      </c>
      <c r="G4" s="10"/>
      <c r="H4" s="17">
        <v>48988</v>
      </c>
      <c r="I4" s="18">
        <v>50000</v>
      </c>
      <c r="J4" s="9">
        <f>SUMIF(Acomptes!A:A,A:A,Acomptes!I:I)</f>
        <v>50000</v>
      </c>
      <c r="K4" s="9">
        <f t="shared" ref="K4:K16" si="3">I4-J4</f>
        <v>0</v>
      </c>
    </row>
    <row r="5" spans="1:11" s="1" customFormat="1" ht="43.5" customHeight="1">
      <c r="A5" s="1" t="str">
        <f t="shared" si="1"/>
        <v>2012-01-1</v>
      </c>
      <c r="B5" s="12" t="s">
        <v>27</v>
      </c>
      <c r="C5" s="1" t="str">
        <f t="shared" si="2"/>
        <v>Réhabilitation du Centre social</v>
      </c>
      <c r="D5" s="12">
        <v>1</v>
      </c>
      <c r="E5" s="10" t="s">
        <v>35</v>
      </c>
      <c r="F5" s="10" t="s">
        <v>36</v>
      </c>
      <c r="G5" s="10"/>
      <c r="H5" s="17">
        <v>71280.7</v>
      </c>
      <c r="I5" s="18">
        <v>72000</v>
      </c>
      <c r="J5" s="9">
        <f>SUMIF(Acomptes!A:A,A:A,Acomptes!I:I)</f>
        <v>0</v>
      </c>
      <c r="K5" s="9">
        <f t="shared" si="3"/>
        <v>72000</v>
      </c>
    </row>
    <row r="6" spans="1:11" s="1" customFormat="1" ht="43.5" customHeight="1">
      <c r="A6" s="1" t="str">
        <f t="shared" si="1"/>
        <v>2012-01-2</v>
      </c>
      <c r="B6" s="12" t="s">
        <v>27</v>
      </c>
      <c r="C6" s="1" t="str">
        <f t="shared" si="2"/>
        <v>Réhabilitation du Centre social</v>
      </c>
      <c r="D6" s="12">
        <v>2</v>
      </c>
      <c r="E6" s="10" t="s">
        <v>69</v>
      </c>
      <c r="F6" s="10" t="s">
        <v>37</v>
      </c>
      <c r="G6" s="10"/>
      <c r="H6" s="17">
        <v>78344</v>
      </c>
      <c r="I6" s="18">
        <v>78500</v>
      </c>
      <c r="J6" s="9">
        <f>SUMIF(Acomptes!A:A,A:A,Acomptes!I:I)</f>
        <v>0</v>
      </c>
      <c r="K6" s="9">
        <f t="shared" si="3"/>
        <v>78500</v>
      </c>
    </row>
    <row r="7" spans="1:11" s="1" customFormat="1" ht="43.5" customHeight="1">
      <c r="A7" s="1" t="str">
        <f t="shared" si="1"/>
        <v>2012-01-3</v>
      </c>
      <c r="B7" s="12" t="s">
        <v>27</v>
      </c>
      <c r="C7" s="1" t="str">
        <f t="shared" si="2"/>
        <v>Réhabilitation du Centre social</v>
      </c>
      <c r="D7" s="12">
        <v>3</v>
      </c>
      <c r="E7" s="10" t="s">
        <v>39</v>
      </c>
      <c r="F7" s="10" t="s">
        <v>38</v>
      </c>
      <c r="G7" s="10"/>
      <c r="H7" s="17">
        <v>25075.51</v>
      </c>
      <c r="I7" s="18">
        <v>25100</v>
      </c>
      <c r="J7" s="9">
        <f>SUMIF(Acomptes!A:A,A:A,Acomptes!I:I)</f>
        <v>0</v>
      </c>
      <c r="K7" s="9">
        <f t="shared" si="3"/>
        <v>25100</v>
      </c>
    </row>
    <row r="8" spans="1:11" s="1" customFormat="1" ht="43.5" customHeight="1">
      <c r="A8" s="1" t="str">
        <f t="shared" si="1"/>
        <v>2012-01-4</v>
      </c>
      <c r="B8" s="12" t="s">
        <v>27</v>
      </c>
      <c r="C8" s="1" t="str">
        <f t="shared" si="2"/>
        <v>Réhabilitation du Centre social</v>
      </c>
      <c r="D8" s="12">
        <v>4</v>
      </c>
      <c r="E8" s="10" t="s">
        <v>40</v>
      </c>
      <c r="F8" s="10" t="s">
        <v>41</v>
      </c>
      <c r="G8" s="10"/>
      <c r="H8" s="17">
        <v>51869.1</v>
      </c>
      <c r="I8" s="18">
        <v>52000</v>
      </c>
      <c r="J8" s="9">
        <f>SUMIF(Acomptes!A:A,A:A,Acomptes!I:I)</f>
        <v>0</v>
      </c>
      <c r="K8" s="9">
        <f t="shared" si="3"/>
        <v>52000</v>
      </c>
    </row>
    <row r="9" spans="1:11" s="1" customFormat="1" ht="43.5" customHeight="1">
      <c r="A9" s="1" t="str">
        <f t="shared" si="1"/>
        <v>2012-01-5</v>
      </c>
      <c r="B9" s="12" t="s">
        <v>27</v>
      </c>
      <c r="C9" s="1" t="str">
        <f t="shared" si="2"/>
        <v>Réhabilitation du Centre social</v>
      </c>
      <c r="D9" s="12">
        <v>5</v>
      </c>
      <c r="E9" s="10" t="s">
        <v>42</v>
      </c>
      <c r="F9" s="10" t="s">
        <v>43</v>
      </c>
      <c r="G9" s="10"/>
      <c r="H9" s="17">
        <v>37759.599999999999</v>
      </c>
      <c r="I9" s="18">
        <v>38000</v>
      </c>
      <c r="J9" s="9">
        <f>SUMIF(Acomptes!A:A,A:A,Acomptes!I:I)</f>
        <v>0</v>
      </c>
      <c r="K9" s="9">
        <f t="shared" si="3"/>
        <v>38000</v>
      </c>
    </row>
    <row r="10" spans="1:11" s="1" customFormat="1" ht="43.5" customHeight="1">
      <c r="A10" s="1" t="str">
        <f t="shared" si="1"/>
        <v>2012-01-6</v>
      </c>
      <c r="B10" s="12" t="s">
        <v>27</v>
      </c>
      <c r="C10" s="1" t="str">
        <f t="shared" si="2"/>
        <v>Réhabilitation du Centre social</v>
      </c>
      <c r="D10" s="12">
        <v>6</v>
      </c>
      <c r="E10" s="10" t="s">
        <v>44</v>
      </c>
      <c r="F10" s="10" t="s">
        <v>45</v>
      </c>
      <c r="G10" s="10"/>
      <c r="H10" s="17">
        <v>6452.34</v>
      </c>
      <c r="I10" s="18">
        <v>6500</v>
      </c>
      <c r="J10" s="9">
        <f>SUMIF(Acomptes!A:A,A:A,Acomptes!I:I)</f>
        <v>0</v>
      </c>
      <c r="K10" s="9">
        <f t="shared" si="3"/>
        <v>6500</v>
      </c>
    </row>
    <row r="11" spans="1:11" s="1" customFormat="1" ht="43.5" customHeight="1">
      <c r="A11" s="1" t="str">
        <f t="shared" si="1"/>
        <v>2012-01-7</v>
      </c>
      <c r="B11" s="12" t="s">
        <v>27</v>
      </c>
      <c r="C11" s="1" t="str">
        <f t="shared" si="2"/>
        <v>Réhabilitation du Centre social</v>
      </c>
      <c r="D11" s="12">
        <v>7</v>
      </c>
      <c r="E11" s="10" t="s">
        <v>46</v>
      </c>
      <c r="F11" s="10" t="s">
        <v>47</v>
      </c>
      <c r="G11" s="10"/>
      <c r="H11" s="17">
        <v>7000</v>
      </c>
      <c r="I11" s="18">
        <v>7000</v>
      </c>
      <c r="J11" s="9">
        <f>SUMIF(Acomptes!A:A,A:A,Acomptes!I:I)</f>
        <v>0</v>
      </c>
      <c r="K11" s="9">
        <f t="shared" si="3"/>
        <v>7000</v>
      </c>
    </row>
    <row r="12" spans="1:11" s="1" customFormat="1" ht="43.5" customHeight="1">
      <c r="A12" s="1" t="str">
        <f t="shared" si="1"/>
        <v>2012-01-8</v>
      </c>
      <c r="B12" s="12" t="s">
        <v>27</v>
      </c>
      <c r="C12" s="1" t="str">
        <f t="shared" si="2"/>
        <v>Réhabilitation du Centre social</v>
      </c>
      <c r="D12" s="12">
        <v>8</v>
      </c>
      <c r="E12" s="10" t="s">
        <v>48</v>
      </c>
      <c r="F12" s="10" t="s">
        <v>49</v>
      </c>
      <c r="G12" s="10"/>
      <c r="H12" s="17">
        <v>51410</v>
      </c>
      <c r="I12" s="18">
        <v>51500</v>
      </c>
      <c r="J12" s="9">
        <f>SUMIF(Acomptes!A:A,A:A,Acomptes!I:I)</f>
        <v>0</v>
      </c>
      <c r="K12" s="9">
        <f t="shared" si="3"/>
        <v>51500</v>
      </c>
    </row>
    <row r="13" spans="1:11" s="1" customFormat="1" ht="43.5" customHeight="1">
      <c r="A13" s="1" t="str">
        <f t="shared" si="1"/>
        <v>2012-08-1</v>
      </c>
      <c r="B13" s="12" t="s">
        <v>56</v>
      </c>
      <c r="C13" s="1" t="str">
        <f t="shared" si="2"/>
        <v>Travaux programmés de voirie 2012</v>
      </c>
      <c r="D13" s="12">
        <v>1</v>
      </c>
      <c r="E13" s="10" t="s">
        <v>59</v>
      </c>
      <c r="F13" s="10" t="s">
        <v>61</v>
      </c>
      <c r="G13" s="10"/>
      <c r="H13" s="17">
        <v>63175.95</v>
      </c>
      <c r="I13" s="18">
        <v>64000</v>
      </c>
      <c r="J13" s="9">
        <f>SUMIF(Acomptes!A:A,A:A,Acomptes!I:I)</f>
        <v>0</v>
      </c>
      <c r="K13" s="9">
        <f t="shared" si="3"/>
        <v>64000</v>
      </c>
    </row>
    <row r="14" spans="1:11" s="1" customFormat="1" ht="43.5" customHeight="1">
      <c r="A14" s="1" t="str">
        <f t="shared" si="1"/>
        <v>2012-08-2</v>
      </c>
      <c r="B14" s="12" t="s">
        <v>56</v>
      </c>
      <c r="C14" s="1" t="str">
        <f t="shared" si="2"/>
        <v>Travaux programmés de voirie 2012</v>
      </c>
      <c r="D14" s="12">
        <v>2</v>
      </c>
      <c r="E14" s="24" t="s">
        <v>60</v>
      </c>
      <c r="F14" s="10" t="s">
        <v>61</v>
      </c>
      <c r="G14" s="10"/>
      <c r="H14" s="17">
        <v>47146.8</v>
      </c>
      <c r="I14" s="18">
        <v>48000</v>
      </c>
      <c r="J14" s="9">
        <f>SUMIF(Acomptes!A:A,A:A,Acomptes!I:I)</f>
        <v>0</v>
      </c>
      <c r="K14" s="9">
        <f t="shared" si="3"/>
        <v>48000</v>
      </c>
    </row>
    <row r="15" spans="1:11" s="1" customFormat="1" ht="43.5" customHeight="1">
      <c r="A15" s="1" t="str">
        <f t="shared" si="1"/>
        <v>2012-02-2</v>
      </c>
      <c r="B15" s="12" t="s">
        <v>65</v>
      </c>
      <c r="C15" s="1" t="str">
        <f t="shared" si="2"/>
        <v>Entretien du parc de feux tricolores</v>
      </c>
      <c r="D15" s="12">
        <v>2</v>
      </c>
      <c r="E15" s="24" t="s">
        <v>64</v>
      </c>
      <c r="F15" s="10" t="s">
        <v>66</v>
      </c>
      <c r="G15" s="10"/>
      <c r="H15" s="17">
        <v>16722.41</v>
      </c>
      <c r="I15" s="18">
        <v>17000</v>
      </c>
      <c r="J15" s="9">
        <f>SUMIF(Acomptes!A:A,A:A,Acomptes!I:I)</f>
        <v>0</v>
      </c>
      <c r="K15" s="9">
        <f t="shared" si="3"/>
        <v>17000</v>
      </c>
    </row>
    <row r="16" spans="1:11" s="1" customFormat="1" ht="43.5" customHeight="1">
      <c r="A16" s="1" t="str">
        <f t="shared" si="1"/>
        <v>2012-06-2</v>
      </c>
      <c r="B16" s="12" t="s">
        <v>67</v>
      </c>
      <c r="C16" s="1" t="str">
        <f t="shared" si="2"/>
        <v>Travaux d'impression des supports d'information municipaux</v>
      </c>
      <c r="D16" s="12">
        <v>2</v>
      </c>
      <c r="E16" s="24" t="s">
        <v>64</v>
      </c>
      <c r="F16" s="10" t="s">
        <v>66</v>
      </c>
      <c r="G16" s="10"/>
      <c r="H16" s="17">
        <v>16722.41</v>
      </c>
      <c r="I16" s="18">
        <v>17000</v>
      </c>
      <c r="J16" s="9">
        <f>SUMIF(Acomptes!A:A,A:A,Acomptes!I:I)</f>
        <v>0</v>
      </c>
      <c r="K16" s="9">
        <f t="shared" si="3"/>
        <v>17000</v>
      </c>
    </row>
    <row r="17" spans="1:11" ht="28.5" customHeight="1">
      <c r="A17" s="37"/>
      <c r="B17" s="38"/>
      <c r="C17" s="37"/>
      <c r="D17" s="38"/>
      <c r="E17" s="37"/>
      <c r="F17" s="37"/>
      <c r="G17" s="37"/>
      <c r="H17" s="37"/>
      <c r="I17" s="36"/>
      <c r="J17" s="36"/>
      <c r="K17" s="36"/>
    </row>
    <row r="18" spans="1:11">
      <c r="I18" s="9"/>
      <c r="J18" s="9"/>
      <c r="K18" s="9"/>
    </row>
    <row r="19" spans="1:11">
      <c r="I19" s="9"/>
      <c r="J19" s="9"/>
      <c r="K19" s="9"/>
    </row>
    <row r="20" spans="1:11">
      <c r="I20" s="9"/>
      <c r="J20" s="9"/>
      <c r="K20" s="9"/>
    </row>
    <row r="21" spans="1:11">
      <c r="I21" s="9"/>
      <c r="J21" s="9"/>
      <c r="K21" s="9"/>
    </row>
    <row r="22" spans="1:11">
      <c r="I22" s="9"/>
      <c r="J22" s="9"/>
      <c r="K22" s="9"/>
    </row>
    <row r="23" spans="1:11">
      <c r="I23" s="9"/>
      <c r="J23" s="9"/>
      <c r="K23" s="9"/>
    </row>
    <row r="24" spans="1:11">
      <c r="I24" s="9"/>
      <c r="J24" s="9"/>
      <c r="K24" s="9"/>
    </row>
    <row r="25" spans="1:11">
      <c r="I25" s="9"/>
      <c r="J25" s="9"/>
      <c r="K25" s="9"/>
    </row>
    <row r="26" spans="1:11">
      <c r="I26" s="9"/>
      <c r="J26" s="9"/>
      <c r="K26" s="9"/>
    </row>
    <row r="27" spans="1:11">
      <c r="I27" s="9"/>
      <c r="J27" s="9"/>
      <c r="K27" s="9"/>
    </row>
    <row r="28" spans="1:11">
      <c r="I28" s="9"/>
      <c r="J28" s="9"/>
      <c r="K28" s="9"/>
    </row>
    <row r="29" spans="1:11">
      <c r="I29" s="9"/>
      <c r="J29" s="9"/>
      <c r="K29" s="9"/>
    </row>
  </sheetData>
  <autoFilter ref="A3:K16">
    <filterColumn colId="1"/>
    <filterColumn colId="6"/>
    <filterColumn colId="8"/>
    <filterColumn colId="9"/>
    <filterColumn colId="10"/>
  </autoFilter>
  <dataValidations count="1">
    <dataValidation type="list" allowBlank="1" showInputMessage="1" showErrorMessage="1" errorTitle="Veuillez choisir dans la liste" error="Veuillez choisir dans la liste !" promptTitle="Veuillez choisir dans la liste" sqref="B3:B17">
      <formula1>Liste_Marchés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"/>
  <sheetViews>
    <sheetView zoomScale="90" zoomScaleNormal="90" workbookViewId="0">
      <pane ySplit="3" topLeftCell="A4" activePane="bottomLeft" state="frozen"/>
      <selection activeCell="A2" sqref="A2"/>
      <selection pane="bottomLeft" activeCell="E4" sqref="E4"/>
    </sheetView>
  </sheetViews>
  <sheetFormatPr baseColWidth="10" defaultRowHeight="14.25"/>
  <cols>
    <col min="4" max="4" width="32.75" customWidth="1"/>
    <col min="5" max="5" width="24.125" customWidth="1"/>
    <col min="6" max="6" width="13.5" customWidth="1"/>
    <col min="9" max="9" width="14.625" customWidth="1"/>
    <col min="10" max="10" width="26.75" customWidth="1"/>
  </cols>
  <sheetData>
    <row r="1" spans="1:10" s="50" customFormat="1" ht="27.75" customHeight="1">
      <c r="A1" s="45" t="str">
        <f>Titre&amp;" - Fichier des acomptes"</f>
        <v>Recensement des marchés publics - Fichier des acomptes</v>
      </c>
      <c r="B1" s="46"/>
      <c r="C1" s="47"/>
      <c r="D1" s="47"/>
      <c r="E1" s="47"/>
      <c r="F1" s="47" t="str">
        <f>SUBTOTAL(3,B3:B7)-1&amp;" acomptes"</f>
        <v>3 acomptes</v>
      </c>
      <c r="G1" s="46"/>
      <c r="H1" s="48"/>
      <c r="I1" s="59">
        <f>SUBTOTAL(9,I3:I7)</f>
        <v>50000</v>
      </c>
      <c r="J1" s="49"/>
    </row>
    <row r="2" spans="1:10" s="6" customFormat="1" ht="15">
      <c r="A2" s="41"/>
      <c r="B2" s="42"/>
      <c r="C2" s="41"/>
      <c r="D2" s="41"/>
      <c r="E2" s="41"/>
      <c r="F2" s="41"/>
      <c r="G2" s="42"/>
      <c r="H2" s="43"/>
      <c r="I2" s="42"/>
      <c r="J2" s="44"/>
    </row>
    <row r="3" spans="1:10" s="7" customFormat="1" ht="42.75" customHeight="1">
      <c r="A3" s="13" t="s">
        <v>0</v>
      </c>
      <c r="B3" s="13" t="s">
        <v>15</v>
      </c>
      <c r="C3" s="14" t="s">
        <v>16</v>
      </c>
      <c r="D3" s="13" t="s">
        <v>23</v>
      </c>
      <c r="E3" s="13" t="s">
        <v>17</v>
      </c>
      <c r="F3" s="13" t="s">
        <v>19</v>
      </c>
      <c r="G3" s="14" t="s">
        <v>25</v>
      </c>
      <c r="H3" s="14" t="s">
        <v>26</v>
      </c>
      <c r="I3" s="19" t="s">
        <v>24</v>
      </c>
      <c r="J3" s="13" t="s">
        <v>9</v>
      </c>
    </row>
    <row r="4" spans="1:10" s="1" customFormat="1" ht="65.25" customHeight="1">
      <c r="A4" s="1" t="str">
        <f>B4&amp;"-"&amp;C4</f>
        <v>2010-24-1</v>
      </c>
      <c r="B4" s="10" t="s">
        <v>11</v>
      </c>
      <c r="C4" s="12">
        <v>1</v>
      </c>
      <c r="D4" s="1" t="str">
        <f>VLOOKUP(B4,Marchés,2,FALSE)</f>
        <v>Modernisation des dispositifs de stockage, de sauvegarde et de virtualisation des serveurs informatiques</v>
      </c>
      <c r="E4" s="1" t="str">
        <f>VLOOKUP(B4&amp;"-"&amp;C4,Lots,5,FALSE)</f>
        <v>Modernisation des dispositifs de stockage, de sauvegarde et de virtualisation des serveurs informatiques</v>
      </c>
      <c r="F4" s="1" t="str">
        <f>VLOOKUP(B4&amp;"-"&amp;C4,Lots,6,FALSE)</f>
        <v>Access Diffusion</v>
      </c>
      <c r="G4" s="26">
        <v>40630</v>
      </c>
      <c r="H4" s="12">
        <v>254</v>
      </c>
      <c r="I4" s="17">
        <v>11000</v>
      </c>
      <c r="J4" s="10"/>
    </row>
    <row r="5" spans="1:10" s="1" customFormat="1" ht="65.25" customHeight="1">
      <c r="A5" s="1" t="str">
        <f>B5&amp;"-"&amp;C5</f>
        <v>2010-24-1</v>
      </c>
      <c r="B5" s="10" t="s">
        <v>11</v>
      </c>
      <c r="C5" s="12">
        <v>1</v>
      </c>
      <c r="D5" s="1" t="str">
        <f>VLOOKUP(B5,Marchés,2,FALSE)</f>
        <v>Modernisation des dispositifs de stockage, de sauvegarde et de virtualisation des serveurs informatiques</v>
      </c>
      <c r="E5" s="1" t="str">
        <f>VLOOKUP(B5&amp;"-"&amp;C5,Lots,5,FALSE)</f>
        <v>Modernisation des dispositifs de stockage, de sauvegarde et de virtualisation des serveurs informatiques</v>
      </c>
      <c r="F5" s="1" t="str">
        <f>VLOOKUP(B5&amp;"-"&amp;C5,Lots,6,FALSE)</f>
        <v>Access Diffusion</v>
      </c>
      <c r="G5" s="26">
        <v>40661</v>
      </c>
      <c r="H5" s="12">
        <v>645</v>
      </c>
      <c r="I5" s="17">
        <v>22000</v>
      </c>
      <c r="J5" s="10"/>
    </row>
    <row r="6" spans="1:10" s="1" customFormat="1" ht="65.25" customHeight="1">
      <c r="A6" s="1" t="str">
        <f>B6&amp;"-"&amp;C6</f>
        <v>2010-24-1</v>
      </c>
      <c r="B6" s="10" t="s">
        <v>11</v>
      </c>
      <c r="C6" s="12">
        <v>1</v>
      </c>
      <c r="D6" s="1" t="str">
        <f>VLOOKUP(B6,Marchés,2,FALSE)</f>
        <v>Modernisation des dispositifs de stockage, de sauvegarde et de virtualisation des serveurs informatiques</v>
      </c>
      <c r="E6" s="1" t="str">
        <f>VLOOKUP(B6&amp;"-"&amp;C6,Lots,5,FALSE)</f>
        <v>Modernisation des dispositifs de stockage, de sauvegarde et de virtualisation des serveurs informatiques</v>
      </c>
      <c r="F6" s="1" t="str">
        <f>VLOOKUP(B6&amp;"-"&amp;C6,Lots,6,FALSE)</f>
        <v>Access Diffusion</v>
      </c>
      <c r="G6" s="26">
        <v>40691</v>
      </c>
      <c r="H6" s="12">
        <v>966</v>
      </c>
      <c r="I6" s="17">
        <v>17000</v>
      </c>
      <c r="J6" s="10"/>
    </row>
    <row r="7" spans="1:10">
      <c r="A7" s="37"/>
      <c r="B7" s="37"/>
      <c r="C7" s="37"/>
      <c r="D7" s="37"/>
      <c r="E7" s="37"/>
      <c r="F7" s="37"/>
      <c r="G7" s="37"/>
      <c r="H7" s="37"/>
      <c r="I7" s="37"/>
      <c r="J7" s="37"/>
    </row>
  </sheetData>
  <autoFilter ref="A3:J4">
    <filterColumn colId="6"/>
    <filterColumn colId="7"/>
  </autoFilter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9"/>
  <sheetViews>
    <sheetView zoomScale="90" zoomScaleNormal="90" workbookViewId="0">
      <pane ySplit="3" topLeftCell="A4" activePane="bottomLeft" state="frozen"/>
      <selection activeCell="A2" sqref="A2"/>
      <selection pane="bottomLeft" activeCell="E4" sqref="E4"/>
    </sheetView>
  </sheetViews>
  <sheetFormatPr baseColWidth="10" defaultRowHeight="14.25"/>
  <cols>
    <col min="1" max="1" width="11.875" customWidth="1"/>
    <col min="2" max="2" width="12.5" style="3" customWidth="1"/>
    <col min="3" max="3" width="37.125" customWidth="1"/>
    <col min="4" max="4" width="11" style="3"/>
    <col min="5" max="6" width="24" customWidth="1"/>
    <col min="7" max="7" width="17.75" customWidth="1"/>
    <col min="8" max="8" width="14.125" customWidth="1"/>
    <col min="9" max="9" width="13.25" customWidth="1"/>
    <col min="10" max="10" width="7.625" style="3" customWidth="1"/>
  </cols>
  <sheetData>
    <row r="1" spans="1:10" s="50" customFormat="1" ht="25.5" customHeight="1">
      <c r="A1" s="45" t="s">
        <v>82</v>
      </c>
      <c r="B1" s="68"/>
      <c r="C1" s="46"/>
      <c r="D1" s="46"/>
      <c r="E1" s="46"/>
      <c r="F1" s="46"/>
      <c r="G1" s="47"/>
      <c r="H1" s="47"/>
      <c r="I1" s="47"/>
      <c r="J1" s="46"/>
    </row>
    <row r="2" spans="1:10" s="6" customFormat="1" ht="15">
      <c r="A2" s="43"/>
      <c r="B2" s="42"/>
      <c r="C2" s="42"/>
      <c r="D2" s="42"/>
      <c r="E2" s="42"/>
      <c r="F2" s="42"/>
      <c r="G2" s="41"/>
      <c r="H2" s="41"/>
      <c r="I2" s="41"/>
      <c r="J2" s="42"/>
    </row>
    <row r="3" spans="1:10" s="7" customFormat="1" ht="47.25" customHeight="1">
      <c r="A3" s="14" t="s">
        <v>88</v>
      </c>
      <c r="B3" s="14" t="s">
        <v>15</v>
      </c>
      <c r="C3" s="13" t="s">
        <v>1</v>
      </c>
      <c r="D3" s="14" t="s">
        <v>81</v>
      </c>
      <c r="E3" s="13" t="s">
        <v>83</v>
      </c>
      <c r="F3" s="13" t="s">
        <v>9</v>
      </c>
      <c r="G3" s="13" t="s">
        <v>12</v>
      </c>
      <c r="H3" s="13" t="s">
        <v>30</v>
      </c>
      <c r="I3" s="13" t="s">
        <v>31</v>
      </c>
      <c r="J3" s="14" t="s">
        <v>5</v>
      </c>
    </row>
    <row r="4" spans="1:10" s="1" customFormat="1" ht="42.75">
      <c r="A4" s="20" t="str">
        <f>B4&amp;"-"&amp;INT(D4)</f>
        <v>2010-24-40586</v>
      </c>
      <c r="B4" s="12" t="s">
        <v>11</v>
      </c>
      <c r="C4" s="25" t="str">
        <f>VLOOKUP(B4,Marchés,2,FALSE)</f>
        <v>Modernisation des dispositifs de stockage, de sauvegarde et de virtualisation des serveurs informatiques</v>
      </c>
      <c r="D4" s="11">
        <v>40586</v>
      </c>
      <c r="E4" s="10" t="s">
        <v>84</v>
      </c>
      <c r="F4" s="10" t="s">
        <v>96</v>
      </c>
      <c r="G4" s="58" t="str">
        <f>VLOOKUP(B4,Marchés,3,FALSE)</f>
        <v>Informatique</v>
      </c>
      <c r="H4" s="58" t="str">
        <f>VLOOKUP(B4,Marchés,4,FALSE)</f>
        <v>MAPA</v>
      </c>
      <c r="I4" s="58" t="str">
        <f>VLOOKUP(B4,Marchés,5,FALSE)</f>
        <v>Fournitures et services</v>
      </c>
      <c r="J4" s="52">
        <f>VLOOKUP(B4,Marchés,6,FALSE)</f>
        <v>36</v>
      </c>
    </row>
    <row r="5" spans="1:10" s="1" customFormat="1" ht="42.75">
      <c r="A5" s="20" t="str">
        <f>B5&amp;"-"&amp;INT(D5)</f>
        <v>2010-24-40614</v>
      </c>
      <c r="B5" s="12" t="s">
        <v>11</v>
      </c>
      <c r="C5" s="25" t="str">
        <f>VLOOKUP(B5,Marchés,2,FALSE)</f>
        <v>Modernisation des dispositifs de stockage, de sauvegarde et de virtualisation des serveurs informatiques</v>
      </c>
      <c r="D5" s="11">
        <v>40614</v>
      </c>
      <c r="E5" s="10" t="s">
        <v>85</v>
      </c>
      <c r="F5" s="10" t="s">
        <v>97</v>
      </c>
      <c r="G5" s="58" t="str">
        <f>VLOOKUP(B5,Marchés,3,FALSE)</f>
        <v>Informatique</v>
      </c>
      <c r="H5" s="58" t="str">
        <f>VLOOKUP(B5,Marchés,4,FALSE)</f>
        <v>MAPA</v>
      </c>
      <c r="I5" s="58" t="str">
        <f>VLOOKUP(B5,Marchés,5,FALSE)</f>
        <v>Fournitures et services</v>
      </c>
      <c r="J5" s="52">
        <f>VLOOKUP(B5,Marchés,6,FALSE)</f>
        <v>36</v>
      </c>
    </row>
    <row r="6" spans="1:10" s="1" customFormat="1" ht="42.75">
      <c r="A6" s="20" t="str">
        <f>B6&amp;"-"&amp;INT(D6)</f>
        <v>2010-24-40645</v>
      </c>
      <c r="B6" s="12" t="s">
        <v>11</v>
      </c>
      <c r="C6" s="25" t="str">
        <f>VLOOKUP(B6,Marchés,2,FALSE)</f>
        <v>Modernisation des dispositifs de stockage, de sauvegarde et de virtualisation des serveurs informatiques</v>
      </c>
      <c r="D6" s="11">
        <v>40645</v>
      </c>
      <c r="E6" s="10" t="s">
        <v>95</v>
      </c>
      <c r="F6" s="10"/>
      <c r="G6" s="58" t="str">
        <f>VLOOKUP(B6,Marchés,3,FALSE)</f>
        <v>Informatique</v>
      </c>
      <c r="H6" s="58" t="str">
        <f>VLOOKUP(B6,Marchés,4,FALSE)</f>
        <v>MAPA</v>
      </c>
      <c r="I6" s="58" t="str">
        <f>VLOOKUP(B6,Marchés,5,FALSE)</f>
        <v>Fournitures et services</v>
      </c>
      <c r="J6" s="52">
        <f>VLOOKUP(B6,Marchés,6,FALSE)</f>
        <v>36</v>
      </c>
    </row>
    <row r="7" spans="1:10" s="1" customFormat="1" ht="42.75">
      <c r="A7" s="20" t="str">
        <f>B7&amp;"-"&amp;INT(D7)</f>
        <v>2010-24-40675</v>
      </c>
      <c r="B7" s="12" t="s">
        <v>11</v>
      </c>
      <c r="C7" s="25" t="str">
        <f>VLOOKUP(B7,Marchés,2,FALSE)</f>
        <v>Modernisation des dispositifs de stockage, de sauvegarde et de virtualisation des serveurs informatiques</v>
      </c>
      <c r="D7" s="11">
        <v>40675</v>
      </c>
      <c r="E7" s="10" t="s">
        <v>4</v>
      </c>
      <c r="F7" s="10"/>
      <c r="G7" s="58" t="str">
        <f>VLOOKUP(B7,Marchés,3,FALSE)</f>
        <v>Informatique</v>
      </c>
      <c r="H7" s="58" t="str">
        <f>VLOOKUP(B7,Marchés,4,FALSE)</f>
        <v>MAPA</v>
      </c>
      <c r="I7" s="58" t="str">
        <f>VLOOKUP(B7,Marchés,5,FALSE)</f>
        <v>Fournitures et services</v>
      </c>
      <c r="J7" s="52">
        <f>VLOOKUP(B7,Marchés,6,FALSE)</f>
        <v>36</v>
      </c>
    </row>
    <row r="8" spans="1:10" s="1" customFormat="1" ht="42.75">
      <c r="A8" s="20" t="str">
        <f>B8&amp;"-"&amp;INT(D8)</f>
        <v>2010-24-41041</v>
      </c>
      <c r="B8" s="12" t="s">
        <v>11</v>
      </c>
      <c r="C8" s="25" t="str">
        <f>VLOOKUP(B8,Marchés,2,FALSE)</f>
        <v>Modernisation des dispositifs de stockage, de sauvegarde et de virtualisation des serveurs informatiques</v>
      </c>
      <c r="D8" s="11">
        <v>41041</v>
      </c>
      <c r="E8" s="10" t="s">
        <v>89</v>
      </c>
      <c r="F8" s="10"/>
      <c r="G8" s="58" t="str">
        <f>VLOOKUP(B8,Marchés,3,FALSE)</f>
        <v>Informatique</v>
      </c>
      <c r="H8" s="58" t="str">
        <f>VLOOKUP(B8,Marchés,4,FALSE)</f>
        <v>MAPA</v>
      </c>
      <c r="I8" s="58" t="str">
        <f>VLOOKUP(B8,Marchés,5,FALSE)</f>
        <v>Fournitures et services</v>
      </c>
      <c r="J8" s="52">
        <f>VLOOKUP(B8,Marchés,6,FALSE)</f>
        <v>36</v>
      </c>
    </row>
    <row r="9" spans="1:10">
      <c r="A9" s="38"/>
      <c r="B9" s="38"/>
      <c r="C9" s="37"/>
      <c r="D9" s="38"/>
      <c r="E9" s="37"/>
      <c r="F9" s="37"/>
      <c r="G9" s="33"/>
      <c r="H9" s="33"/>
      <c r="I9" s="33"/>
      <c r="J9" s="34"/>
    </row>
    <row r="10" spans="1:10">
      <c r="G10" s="1"/>
      <c r="H10" s="1"/>
      <c r="I10" s="1"/>
      <c r="J10" s="2"/>
    </row>
    <row r="11" spans="1:10">
      <c r="G11" s="1"/>
      <c r="H11" s="1"/>
      <c r="I11" s="1"/>
      <c r="J11" s="2"/>
    </row>
    <row r="12" spans="1:10">
      <c r="G12" s="1"/>
      <c r="H12" s="1"/>
      <c r="I12" s="1"/>
      <c r="J12" s="2"/>
    </row>
    <row r="13" spans="1:10">
      <c r="G13" s="1"/>
      <c r="H13" s="1"/>
      <c r="I13" s="1"/>
      <c r="J13" s="2"/>
    </row>
    <row r="14" spans="1:10">
      <c r="G14" s="1"/>
      <c r="H14" s="1"/>
      <c r="I14" s="1"/>
      <c r="J14" s="2"/>
    </row>
    <row r="15" spans="1:10">
      <c r="G15" s="1"/>
      <c r="H15" s="1"/>
      <c r="I15" s="1"/>
      <c r="J15" s="2"/>
    </row>
    <row r="16" spans="1:10">
      <c r="G16" s="1"/>
      <c r="H16" s="1"/>
      <c r="I16" s="1"/>
      <c r="J16" s="2"/>
    </row>
    <row r="17" spans="7:10">
      <c r="G17" s="1"/>
      <c r="H17" s="1"/>
      <c r="I17" s="1"/>
      <c r="J17" s="2"/>
    </row>
    <row r="18" spans="7:10">
      <c r="G18" s="1"/>
      <c r="H18" s="1"/>
      <c r="I18" s="1"/>
      <c r="J18" s="2"/>
    </row>
    <row r="19" spans="7:10">
      <c r="G19" s="1"/>
      <c r="H19" s="1"/>
      <c r="I19" s="1"/>
      <c r="J19" s="2"/>
    </row>
    <row r="20" spans="7:10">
      <c r="G20" s="1"/>
      <c r="H20" s="1"/>
      <c r="I20" s="1"/>
      <c r="J20" s="2"/>
    </row>
    <row r="21" spans="7:10">
      <c r="G21" s="1"/>
      <c r="H21" s="1"/>
      <c r="I21" s="1"/>
      <c r="J21" s="2"/>
    </row>
    <row r="22" spans="7:10">
      <c r="G22" s="1"/>
      <c r="H22" s="1"/>
      <c r="I22" s="1"/>
      <c r="J22" s="2"/>
    </row>
    <row r="23" spans="7:10">
      <c r="G23" s="1"/>
      <c r="H23" s="1"/>
      <c r="I23" s="1"/>
      <c r="J23" s="2"/>
    </row>
    <row r="24" spans="7:10">
      <c r="G24" s="1"/>
      <c r="H24" s="1"/>
      <c r="I24" s="1"/>
      <c r="J24" s="2"/>
    </row>
    <row r="25" spans="7:10">
      <c r="G25" s="1"/>
      <c r="H25" s="1"/>
      <c r="I25" s="1"/>
      <c r="J25" s="2"/>
    </row>
    <row r="26" spans="7:10">
      <c r="G26" s="1"/>
      <c r="H26" s="1"/>
      <c r="I26" s="1"/>
      <c r="J26" s="2"/>
    </row>
    <row r="27" spans="7:10">
      <c r="G27" s="1"/>
      <c r="H27" s="1"/>
      <c r="I27" s="1"/>
      <c r="J27" s="2"/>
    </row>
    <row r="28" spans="7:10">
      <c r="G28" s="1"/>
      <c r="H28" s="1"/>
      <c r="I28" s="1"/>
      <c r="J28" s="2"/>
    </row>
    <row r="29" spans="7:10">
      <c r="G29" s="1"/>
      <c r="H29" s="1"/>
      <c r="I29" s="1"/>
      <c r="J29" s="2"/>
    </row>
  </sheetData>
  <autoFilter ref="B3:J8">
    <filterColumn colId="2"/>
    <filterColumn colId="3"/>
    <filterColumn colId="4"/>
    <filterColumn colId="8"/>
  </autoFilter>
  <conditionalFormatting sqref="E3:E9">
    <cfRule type="expression" dxfId="12" priority="1">
      <formula>AND(ISERROR(VLOOKUP(E3,Liste_Evénements,1,FALSE)),E3&lt;&gt;"Evénement",LEN(E3)&gt;0)</formula>
    </cfRule>
  </conditionalFormatting>
  <dataValidations count="1">
    <dataValidation type="list" allowBlank="1" showInputMessage="1" showErrorMessage="1" errorTitle="Veuiller choisir dans la liste" promptTitle="Veuiller choisir dans la liste" sqref="E3:E9">
      <formula1>Liste_Evénements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pane ySplit="3" topLeftCell="A4" activePane="bottomLeft" state="frozen"/>
      <selection pane="bottomLeft" activeCell="C7" sqref="C7"/>
    </sheetView>
  </sheetViews>
  <sheetFormatPr baseColWidth="10" defaultRowHeight="14.25"/>
  <cols>
    <col min="1" max="2" width="12.625" style="8" bestFit="1" customWidth="1"/>
    <col min="3" max="3" width="27.875" customWidth="1"/>
    <col min="4" max="4" width="11" style="23"/>
    <col min="5" max="5" width="15.125" style="8" customWidth="1"/>
  </cols>
  <sheetData>
    <row r="1" spans="1:5" s="50" customFormat="1" ht="27.75" customHeight="1">
      <c r="A1" s="45" t="str">
        <f>Titre&amp;" - Table des tranches"</f>
        <v>Recensement des marchés publics - Table des tranches</v>
      </c>
      <c r="B1" s="46"/>
      <c r="C1" s="47"/>
      <c r="D1" s="46">
        <f>SUBTOTAL(9,D3:D21)</f>
        <v>5</v>
      </c>
      <c r="E1" s="49">
        <f>SUBTOTAL(9,E3:E21)</f>
        <v>521946.82000000007</v>
      </c>
    </row>
    <row r="2" spans="1:5" s="6" customFormat="1" ht="15">
      <c r="A2" s="41"/>
      <c r="B2" s="42"/>
      <c r="C2" s="41"/>
      <c r="D2" s="41"/>
      <c r="E2" s="41"/>
    </row>
    <row r="3" spans="1:5" s="7" customFormat="1" ht="39.75" customHeight="1">
      <c r="A3" s="16" t="s">
        <v>52</v>
      </c>
      <c r="B3" s="16" t="s">
        <v>53</v>
      </c>
      <c r="C3" s="13" t="s">
        <v>1</v>
      </c>
      <c r="D3" s="27" t="s">
        <v>54</v>
      </c>
      <c r="E3" s="28" t="s">
        <v>55</v>
      </c>
    </row>
    <row r="4" spans="1:5">
      <c r="A4" s="21">
        <v>0</v>
      </c>
      <c r="B4" s="21">
        <v>14999</v>
      </c>
      <c r="C4" s="22" t="s">
        <v>73</v>
      </c>
      <c r="D4" s="23">
        <f>COUNTIF(Marchés!P:P,Tranches!C:C)</f>
        <v>0</v>
      </c>
      <c r="E4" s="8">
        <f>SUMIF(Marchés!P:P,Tranches!C:C,Marchés!L:L)</f>
        <v>0</v>
      </c>
    </row>
    <row r="5" spans="1:5">
      <c r="A5" s="21">
        <v>15000</v>
      </c>
      <c r="B5" s="21">
        <v>89999</v>
      </c>
      <c r="C5" s="22" t="s">
        <v>74</v>
      </c>
      <c r="D5" s="23">
        <f>COUNTIF(Marchés!P:P,Tranches!C:C)</f>
        <v>3</v>
      </c>
      <c r="E5" s="8">
        <f>SUMIF(Marchés!P:P,Tranches!C:C,Marchés!L:L)</f>
        <v>82432.820000000007</v>
      </c>
    </row>
    <row r="6" spans="1:5">
      <c r="A6" s="21">
        <v>90000</v>
      </c>
      <c r="B6" s="21">
        <v>199999</v>
      </c>
      <c r="C6" s="22" t="s">
        <v>75</v>
      </c>
      <c r="D6" s="23">
        <f>COUNTIF(Marchés!P:P,Tranches!C:C)</f>
        <v>1</v>
      </c>
      <c r="E6" s="8">
        <f>SUMIF(Marchés!P:P,Tranches!C:C,Marchés!L:L)</f>
        <v>110322.75</v>
      </c>
    </row>
    <row r="7" spans="1:5">
      <c r="A7" s="21">
        <v>200000</v>
      </c>
      <c r="B7" s="21">
        <v>999999</v>
      </c>
      <c r="C7" s="22" t="s">
        <v>76</v>
      </c>
      <c r="D7" s="23">
        <f>COUNTIF(Marchés!P:P,Tranches!C:C)</f>
        <v>1</v>
      </c>
      <c r="E7" s="8">
        <f>SUMIF(Marchés!P:P,Tranches!C:C,Marchés!L:L)</f>
        <v>329191.25000000006</v>
      </c>
    </row>
    <row r="8" spans="1:5">
      <c r="A8" s="21"/>
      <c r="B8" s="21"/>
      <c r="C8" s="22"/>
      <c r="D8" s="23">
        <f>COUNTIF(Marchés!P:P,Tranches!C:C)</f>
        <v>0</v>
      </c>
      <c r="E8" s="8">
        <f>SUMIF(Marchés!P:P,Tranches!C:C,Marchés!L:L)</f>
        <v>0</v>
      </c>
    </row>
    <row r="9" spans="1:5">
      <c r="A9" s="21"/>
      <c r="B9" s="21"/>
      <c r="C9" s="22"/>
      <c r="D9" s="23">
        <f>COUNTIF(Marchés!P:P,Tranches!C:C)</f>
        <v>0</v>
      </c>
      <c r="E9" s="8">
        <f>SUMIF(Marchés!P:P,Tranches!C:C,Marchés!L:L)</f>
        <v>0</v>
      </c>
    </row>
    <row r="10" spans="1:5">
      <c r="A10" s="21"/>
      <c r="B10" s="21"/>
      <c r="C10" s="22"/>
      <c r="D10" s="23">
        <f>COUNTIF(Marchés!P:P,Tranches!C:C)</f>
        <v>0</v>
      </c>
      <c r="E10" s="8">
        <f>SUMIF(Marchés!P:P,Tranches!C:C,Marchés!L:L)</f>
        <v>0</v>
      </c>
    </row>
    <row r="11" spans="1:5">
      <c r="A11" s="21"/>
      <c r="B11" s="21"/>
      <c r="C11" s="22"/>
      <c r="D11" s="23">
        <f>COUNTIF(Marchés!P:P,Tranches!C:C)</f>
        <v>0</v>
      </c>
      <c r="E11" s="8">
        <f>SUMIF(Marchés!P:P,Tranches!C:C,Marchés!L:L)</f>
        <v>0</v>
      </c>
    </row>
    <row r="12" spans="1:5">
      <c r="A12" s="21"/>
      <c r="B12" s="21"/>
      <c r="C12" s="22"/>
      <c r="D12" s="23">
        <f>COUNTIF(Marchés!P:P,Tranches!C:C)</f>
        <v>0</v>
      </c>
      <c r="E12" s="8">
        <f>SUMIF(Marchés!P:P,Tranches!C:C,Marchés!L:L)</f>
        <v>0</v>
      </c>
    </row>
    <row r="13" spans="1:5">
      <c r="A13" s="21"/>
      <c r="B13" s="21"/>
      <c r="C13" s="22"/>
      <c r="D13" s="23">
        <f>COUNTIF(Marchés!P:P,Tranches!C:C)</f>
        <v>0</v>
      </c>
      <c r="E13" s="8">
        <f>SUMIF(Marchés!P:P,Tranches!C:C,Marchés!L:L)</f>
        <v>0</v>
      </c>
    </row>
    <row r="14" spans="1:5">
      <c r="A14" s="21"/>
      <c r="B14" s="21"/>
      <c r="C14" s="22"/>
      <c r="D14" s="23">
        <f>COUNTIF(Marchés!P:P,Tranches!C:C)</f>
        <v>0</v>
      </c>
      <c r="E14" s="8">
        <f>SUMIF(Marchés!P:P,Tranches!C:C,Marchés!L:L)</f>
        <v>0</v>
      </c>
    </row>
    <row r="15" spans="1:5">
      <c r="A15" s="21"/>
      <c r="B15" s="21"/>
      <c r="C15" s="22"/>
      <c r="D15" s="23">
        <f>COUNTIF(Marchés!P:P,Tranches!C:C)</f>
        <v>0</v>
      </c>
      <c r="E15" s="8">
        <f>SUMIF(Marchés!P:P,Tranches!C:C,Marchés!L:L)</f>
        <v>0</v>
      </c>
    </row>
    <row r="16" spans="1:5">
      <c r="A16" s="21"/>
      <c r="B16" s="21"/>
      <c r="C16" s="22"/>
      <c r="D16" s="23">
        <f>COUNTIF(Marchés!P:P,Tranches!C:C)</f>
        <v>0</v>
      </c>
      <c r="E16" s="8">
        <f>SUMIF(Marchés!P:P,Tranches!C:C,Marchés!L:L)</f>
        <v>0</v>
      </c>
    </row>
    <row r="17" spans="1:5">
      <c r="A17" s="21"/>
      <c r="B17" s="21"/>
      <c r="C17" s="22"/>
      <c r="D17" s="23">
        <f>COUNTIF(Marchés!P:P,Tranches!C:C)</f>
        <v>0</v>
      </c>
      <c r="E17" s="8">
        <f>SUMIF(Marchés!P:P,Tranches!C:C,Marchés!L:L)</f>
        <v>0</v>
      </c>
    </row>
    <row r="18" spans="1:5">
      <c r="A18" s="21"/>
      <c r="B18" s="21"/>
      <c r="C18" s="22"/>
      <c r="D18" s="23">
        <f>COUNTIF(Marchés!P:P,Tranches!C:C)</f>
        <v>0</v>
      </c>
      <c r="E18" s="8">
        <f>SUMIF(Marchés!P:P,Tranches!C:C,Marchés!L:L)</f>
        <v>0</v>
      </c>
    </row>
    <row r="19" spans="1:5">
      <c r="A19" s="21"/>
      <c r="B19" s="21"/>
      <c r="C19" s="22"/>
      <c r="D19" s="23">
        <f>COUNTIF(Marchés!P:P,Tranches!C:C)</f>
        <v>0</v>
      </c>
      <c r="E19" s="8">
        <f>SUMIF(Marchés!P:P,Tranches!C:C,Marchés!L:L)</f>
        <v>0</v>
      </c>
    </row>
    <row r="20" spans="1:5">
      <c r="A20" s="21"/>
      <c r="B20" s="21"/>
      <c r="C20" s="22"/>
      <c r="D20" s="23">
        <f>COUNTIF(Marchés!P:P,Tranches!C:C)</f>
        <v>0</v>
      </c>
      <c r="E20" s="8">
        <f>SUMIF(Marchés!P:P,Tranches!C:C,Marchés!L:L)</f>
        <v>0</v>
      </c>
    </row>
    <row r="21" spans="1:5">
      <c r="A21" s="39"/>
      <c r="B21" s="39"/>
      <c r="C21" s="37"/>
      <c r="D21" s="40"/>
      <c r="E21" s="39"/>
    </row>
  </sheetData>
  <autoFilter ref="A3:E7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B6" sqref="B6 B8 B10 B12:B13"/>
    </sheetView>
  </sheetViews>
  <sheetFormatPr baseColWidth="10" defaultRowHeight="14.25"/>
  <cols>
    <col min="1" max="1" width="28.375" customWidth="1"/>
    <col min="2" max="2" width="24" customWidth="1"/>
    <col min="3" max="5" width="17.75" customWidth="1"/>
  </cols>
  <sheetData>
    <row r="1" spans="1:5">
      <c r="A1" s="32" t="s">
        <v>31</v>
      </c>
      <c r="B1" t="s">
        <v>72</v>
      </c>
    </row>
    <row r="2" spans="1:5">
      <c r="A2" s="32" t="s">
        <v>34</v>
      </c>
      <c r="B2" t="s">
        <v>72</v>
      </c>
    </row>
    <row r="4" spans="1:5" s="1" customFormat="1">
      <c r="A4" s="32" t="s">
        <v>70</v>
      </c>
      <c r="B4"/>
      <c r="C4"/>
      <c r="D4"/>
      <c r="E4"/>
    </row>
    <row r="5" spans="1:5" ht="15">
      <c r="C5" s="2" t="s">
        <v>33</v>
      </c>
      <c r="D5" s="2" t="s">
        <v>14</v>
      </c>
      <c r="E5" s="2" t="s">
        <v>71</v>
      </c>
    </row>
    <row r="6" spans="1:5">
      <c r="A6" t="s">
        <v>29</v>
      </c>
      <c r="B6" t="s">
        <v>76</v>
      </c>
      <c r="C6" s="31">
        <v>329191.25000000006</v>
      </c>
      <c r="D6" s="31"/>
      <c r="E6" s="31">
        <v>329191.25000000006</v>
      </c>
    </row>
    <row r="7" spans="1:5">
      <c r="A7" t="s">
        <v>77</v>
      </c>
      <c r="C7" s="31">
        <v>329191.25000000006</v>
      </c>
      <c r="D7" s="31"/>
      <c r="E7" s="31">
        <v>329191.25000000006</v>
      </c>
    </row>
    <row r="8" spans="1:5">
      <c r="A8" t="s">
        <v>63</v>
      </c>
      <c r="B8" t="s">
        <v>74</v>
      </c>
      <c r="C8" s="31"/>
      <c r="D8" s="31">
        <v>16722.41</v>
      </c>
      <c r="E8" s="31">
        <v>16722.41</v>
      </c>
    </row>
    <row r="9" spans="1:5">
      <c r="A9" t="s">
        <v>78</v>
      </c>
      <c r="C9" s="31"/>
      <c r="D9" s="31">
        <v>16722.41</v>
      </c>
      <c r="E9" s="31">
        <v>16722.41</v>
      </c>
    </row>
    <row r="10" spans="1:5">
      <c r="A10" t="s">
        <v>13</v>
      </c>
      <c r="B10" t="s">
        <v>74</v>
      </c>
      <c r="C10" s="31"/>
      <c r="D10" s="31">
        <v>48988</v>
      </c>
      <c r="E10" s="31">
        <v>48988</v>
      </c>
    </row>
    <row r="11" spans="1:5">
      <c r="A11" t="s">
        <v>79</v>
      </c>
      <c r="C11" s="31"/>
      <c r="D11" s="31">
        <v>48988</v>
      </c>
      <c r="E11" s="31">
        <v>48988</v>
      </c>
    </row>
    <row r="12" spans="1:5">
      <c r="A12" t="s">
        <v>58</v>
      </c>
      <c r="B12" t="s">
        <v>74</v>
      </c>
      <c r="C12" s="31"/>
      <c r="D12" s="31">
        <v>16722.41</v>
      </c>
      <c r="E12" s="31">
        <v>16722.41</v>
      </c>
    </row>
    <row r="13" spans="1:5">
      <c r="B13" t="s">
        <v>75</v>
      </c>
      <c r="C13" s="31"/>
      <c r="D13" s="31">
        <v>110322.75</v>
      </c>
      <c r="E13" s="31">
        <v>110322.75</v>
      </c>
    </row>
    <row r="14" spans="1:5">
      <c r="A14" t="s">
        <v>80</v>
      </c>
      <c r="C14" s="31"/>
      <c r="D14" s="31">
        <v>127045.16</v>
      </c>
      <c r="E14" s="31">
        <v>127045.16</v>
      </c>
    </row>
    <row r="15" spans="1:5">
      <c r="A15" t="s">
        <v>71</v>
      </c>
      <c r="C15" s="31">
        <v>329191.25000000006</v>
      </c>
      <c r="D15" s="31">
        <v>192755.57</v>
      </c>
      <c r="E15" s="31">
        <v>521946.82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B38"/>
  <sheetViews>
    <sheetView topLeftCell="A4" workbookViewId="0">
      <selection activeCell="A32" sqref="A32"/>
    </sheetView>
  </sheetViews>
  <sheetFormatPr baseColWidth="10" defaultRowHeight="14.25"/>
  <cols>
    <col min="1" max="1" width="21" style="29" customWidth="1"/>
    <col min="2" max="2" width="42.25" style="29" customWidth="1"/>
    <col min="3" max="16384" width="11" style="29"/>
  </cols>
  <sheetData>
    <row r="1" spans="1:2" ht="20.25" customHeight="1">
      <c r="A1" s="77" t="s">
        <v>62</v>
      </c>
      <c r="B1" s="30" t="s">
        <v>10</v>
      </c>
    </row>
    <row r="4" spans="1:2">
      <c r="A4" s="77" t="s">
        <v>90</v>
      </c>
      <c r="B4" s="77"/>
    </row>
    <row r="5" spans="1:2">
      <c r="A5" s="78" t="s">
        <v>1</v>
      </c>
      <c r="B5" s="78" t="s">
        <v>9</v>
      </c>
    </row>
    <row r="6" spans="1:2">
      <c r="A6" s="30" t="s">
        <v>14</v>
      </c>
      <c r="B6" s="30"/>
    </row>
    <row r="7" spans="1:2">
      <c r="A7" s="30" t="s">
        <v>33</v>
      </c>
      <c r="B7" s="30"/>
    </row>
    <row r="8" spans="1:2">
      <c r="A8" s="30"/>
      <c r="B8" s="30"/>
    </row>
    <row r="9" spans="1:2">
      <c r="A9" s="30"/>
      <c r="B9" s="30"/>
    </row>
    <row r="10" spans="1:2">
      <c r="A10" s="76"/>
      <c r="B10" s="76"/>
    </row>
    <row r="12" spans="1:2">
      <c r="A12" s="77" t="s">
        <v>91</v>
      </c>
      <c r="B12" s="77"/>
    </row>
    <row r="13" spans="1:2">
      <c r="A13" s="78" t="s">
        <v>1</v>
      </c>
      <c r="B13" s="78" t="s">
        <v>9</v>
      </c>
    </row>
    <row r="14" spans="1:2">
      <c r="A14" s="30" t="s">
        <v>32</v>
      </c>
      <c r="B14" s="30"/>
    </row>
    <row r="15" spans="1:2">
      <c r="A15" s="30" t="s">
        <v>50</v>
      </c>
      <c r="B15" s="30"/>
    </row>
    <row r="16" spans="1:2">
      <c r="A16" s="30"/>
      <c r="B16" s="30"/>
    </row>
    <row r="17" spans="1:2">
      <c r="A17" s="30"/>
      <c r="B17" s="30"/>
    </row>
    <row r="18" spans="1:2">
      <c r="A18" s="76"/>
      <c r="B18" s="76"/>
    </row>
    <row r="20" spans="1:2">
      <c r="A20" s="77" t="s">
        <v>92</v>
      </c>
      <c r="B20" s="77"/>
    </row>
    <row r="21" spans="1:2">
      <c r="A21" s="78" t="s">
        <v>1</v>
      </c>
      <c r="B21" s="78" t="s">
        <v>9</v>
      </c>
    </row>
    <row r="22" spans="1:2">
      <c r="A22" s="30" t="s">
        <v>29</v>
      </c>
      <c r="B22" s="30"/>
    </row>
    <row r="23" spans="1:2">
      <c r="A23" s="30" t="s">
        <v>63</v>
      </c>
      <c r="B23" s="30"/>
    </row>
    <row r="24" spans="1:2">
      <c r="A24" s="30" t="s">
        <v>13</v>
      </c>
      <c r="B24" s="30"/>
    </row>
    <row r="25" spans="1:2">
      <c r="A25" s="30" t="s">
        <v>58</v>
      </c>
      <c r="B25" s="30"/>
    </row>
    <row r="26" spans="1:2">
      <c r="A26" s="30"/>
      <c r="B26" s="30"/>
    </row>
    <row r="27" spans="1:2">
      <c r="A27" s="76"/>
      <c r="B27" s="76"/>
    </row>
    <row r="29" spans="1:2">
      <c r="A29" s="77" t="s">
        <v>93</v>
      </c>
      <c r="B29" s="77"/>
    </row>
    <row r="30" spans="1:2">
      <c r="A30" s="78" t="s">
        <v>1</v>
      </c>
      <c r="B30" s="78" t="s">
        <v>9</v>
      </c>
    </row>
    <row r="31" spans="1:2">
      <c r="A31" s="30" t="s">
        <v>84</v>
      </c>
      <c r="B31" s="30"/>
    </row>
    <row r="32" spans="1:2">
      <c r="A32" s="30" t="s">
        <v>85</v>
      </c>
      <c r="B32" s="30"/>
    </row>
    <row r="33" spans="1:2">
      <c r="A33" s="30" t="s">
        <v>4</v>
      </c>
      <c r="B33" s="30"/>
    </row>
    <row r="34" spans="1:2">
      <c r="A34" s="30" t="s">
        <v>94</v>
      </c>
      <c r="B34" s="30"/>
    </row>
    <row r="35" spans="1:2">
      <c r="A35" s="30" t="s">
        <v>95</v>
      </c>
      <c r="B35" s="30"/>
    </row>
    <row r="36" spans="1:2">
      <c r="A36" s="30" t="s">
        <v>89</v>
      </c>
      <c r="B36" s="30"/>
    </row>
    <row r="37" spans="1:2">
      <c r="A37" s="30"/>
      <c r="B37" s="30"/>
    </row>
    <row r="38" spans="1:2">
      <c r="A38" s="76"/>
      <c r="B38" s="76"/>
    </row>
  </sheetData>
  <sortState ref="A22:B25">
    <sortCondition ref="A22:A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16</vt:i4>
      </vt:variant>
    </vt:vector>
  </HeadingPairs>
  <TitlesOfParts>
    <vt:vector size="23" baseType="lpstr">
      <vt:lpstr>Marchés</vt:lpstr>
      <vt:lpstr>Lots</vt:lpstr>
      <vt:lpstr>Acomptes</vt:lpstr>
      <vt:lpstr>Evénements</vt:lpstr>
      <vt:lpstr>Tranches</vt:lpstr>
      <vt:lpstr>Synthèses</vt:lpstr>
      <vt:lpstr>Paramètres</vt:lpstr>
      <vt:lpstr>Evénements!_FilterDatabase</vt:lpstr>
      <vt:lpstr>Lots!_FilterDatabase</vt:lpstr>
      <vt:lpstr>Marchés!_FilterDatabase</vt:lpstr>
      <vt:lpstr>Evénements!Acomptes</vt:lpstr>
      <vt:lpstr>Acomptes</vt:lpstr>
      <vt:lpstr>Evénements</vt:lpstr>
      <vt:lpstr>Liste_Evénements</vt:lpstr>
      <vt:lpstr>Liste_Lots</vt:lpstr>
      <vt:lpstr>Liste_Marchés</vt:lpstr>
      <vt:lpstr>Liste_Modes</vt:lpstr>
      <vt:lpstr>Liste_Services</vt:lpstr>
      <vt:lpstr>Liste_Types</vt:lpstr>
      <vt:lpstr>Lots</vt:lpstr>
      <vt:lpstr>Marchés</vt:lpstr>
      <vt:lpstr>Titre</vt:lpstr>
      <vt:lpstr>Tranches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2012-04-11T11:58:42Z</dcterms:created>
  <dcterms:modified xsi:type="dcterms:W3CDTF">2015-04-07T12:46:03Z</dcterms:modified>
</cp:coreProperties>
</file>