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showPivotChartFilter="1"/>
  <bookViews>
    <workbookView xWindow="0" yWindow="0" windowWidth="12330" windowHeight="7605"/>
  </bookViews>
  <sheets>
    <sheet name="Accueil" sheetId="35" r:id="rId1"/>
    <sheet name="Ventes" sheetId="36" r:id="rId2"/>
    <sheet name="Articles" sheetId="33" r:id="rId3"/>
    <sheet name="Catégories" sheetId="37" r:id="rId4"/>
    <sheet name="Types" sheetId="38" r:id="rId5"/>
    <sheet name="Statistiques" sheetId="39" r:id="rId6"/>
    <sheet name="Paramètres" sheetId="34" r:id="rId7"/>
  </sheets>
  <definedNames>
    <definedName name="_xlnm._FilterDatabase" localSheetId="2" hidden="1">Articles!$A$4:$K$20</definedName>
    <definedName name="_xlnm._FilterDatabase" localSheetId="3" hidden="1">Catégories!$A$4:$E$12</definedName>
    <definedName name="_xlnm._FilterDatabase" localSheetId="4" hidden="1">Types!$A$4:$E$7</definedName>
    <definedName name="_xlnm._FilterDatabase" localSheetId="1">Ventes!$A$4:$K$52</definedName>
    <definedName name="Année_Réf">Paramètres!$B$3</definedName>
    <definedName name="Articles">Articles!$A$4:$K$21</definedName>
    <definedName name="Catégories" localSheetId="4">Types!$A$4:$E$8</definedName>
    <definedName name="Catégories">Catégories!$A$4:$E$13</definedName>
    <definedName name="Liste_Articles">Articles!$A$4:$A$21</definedName>
    <definedName name="Liste_Catégories" localSheetId="4">Types!$A$4:$A$8</definedName>
    <definedName name="Liste_Catégories">Catégories!$A$4:$A$13</definedName>
    <definedName name="Nb_Caisses">Paramètres!$B$4</definedName>
    <definedName name="Raison_Sociale">Paramètres!$B$1</definedName>
    <definedName name="Titre">Paramètres!$B$2</definedName>
  </definedNames>
  <calcPr calcId="125725"/>
  <pivotCaches>
    <pivotCache cacheId="10" r:id="rId8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9"/>
  <c r="H20" i="36"/>
  <c r="D20"/>
  <c r="F20" s="1"/>
  <c r="H19"/>
  <c r="D19"/>
  <c r="F19" s="1"/>
  <c r="H18"/>
  <c r="D18"/>
  <c r="F18" s="1"/>
  <c r="H17"/>
  <c r="D17"/>
  <c r="F17" s="1"/>
  <c r="H16"/>
  <c r="D16"/>
  <c r="F16" s="1"/>
  <c r="H15"/>
  <c r="D15"/>
  <c r="F15" s="1"/>
  <c r="H14"/>
  <c r="D14"/>
  <c r="F14" s="1"/>
  <c r="H13"/>
  <c r="F13"/>
  <c r="D13"/>
  <c r="H12"/>
  <c r="D12"/>
  <c r="F12" s="1"/>
  <c r="H11"/>
  <c r="F11"/>
  <c r="D11"/>
  <c r="H10"/>
  <c r="D10"/>
  <c r="F10" s="1"/>
  <c r="H9"/>
  <c r="F9"/>
  <c r="D9"/>
  <c r="H8"/>
  <c r="D8"/>
  <c r="F8" s="1"/>
  <c r="H7"/>
  <c r="F7"/>
  <c r="D7"/>
  <c r="H6"/>
  <c r="D6"/>
  <c r="F6" s="1"/>
  <c r="H5"/>
  <c r="F5"/>
  <c r="D5"/>
  <c r="H36"/>
  <c r="D36"/>
  <c r="F36" s="1"/>
  <c r="H35"/>
  <c r="D35"/>
  <c r="F35" s="1"/>
  <c r="H34"/>
  <c r="F34"/>
  <c r="D34"/>
  <c r="H33"/>
  <c r="D33"/>
  <c r="F33" s="1"/>
  <c r="H32"/>
  <c r="D32"/>
  <c r="F32" s="1"/>
  <c r="H31"/>
  <c r="D31"/>
  <c r="F31" s="1"/>
  <c r="H30"/>
  <c r="F30"/>
  <c r="D30"/>
  <c r="H29"/>
  <c r="D29"/>
  <c r="F29" s="1"/>
  <c r="H28"/>
  <c r="D28"/>
  <c r="F28" s="1"/>
  <c r="H27"/>
  <c r="D27"/>
  <c r="F27" s="1"/>
  <c r="H26"/>
  <c r="F26"/>
  <c r="D26"/>
  <c r="H25"/>
  <c r="D25"/>
  <c r="F25" s="1"/>
  <c r="H24"/>
  <c r="D24"/>
  <c r="F24" s="1"/>
  <c r="H23"/>
  <c r="D23"/>
  <c r="F23" s="1"/>
  <c r="H22"/>
  <c r="F22"/>
  <c r="D22"/>
  <c r="H21"/>
  <c r="D21"/>
  <c r="F21" s="1"/>
  <c r="A1" i="38"/>
  <c r="A1" i="37"/>
  <c r="C7" i="38"/>
  <c r="B7"/>
  <c r="C6"/>
  <c r="B6"/>
  <c r="C5"/>
  <c r="B5"/>
  <c r="C2"/>
  <c r="C5" i="37"/>
  <c r="C6"/>
  <c r="C7"/>
  <c r="C8"/>
  <c r="C9"/>
  <c r="C10"/>
  <c r="C11"/>
  <c r="C12"/>
  <c r="B5"/>
  <c r="B6"/>
  <c r="B7"/>
  <c r="B8"/>
  <c r="B9"/>
  <c r="B10"/>
  <c r="B11"/>
  <c r="B12"/>
  <c r="C2" l="1"/>
  <c r="B2" i="38"/>
  <c r="B2" i="37"/>
  <c r="H38" i="36" l="1"/>
  <c r="H39"/>
  <c r="H40"/>
  <c r="H41"/>
  <c r="H42"/>
  <c r="H43"/>
  <c r="H44"/>
  <c r="H45"/>
  <c r="H46"/>
  <c r="H47"/>
  <c r="H48"/>
  <c r="H49"/>
  <c r="H50"/>
  <c r="H51"/>
  <c r="H52"/>
  <c r="H37"/>
  <c r="C2"/>
  <c r="A1"/>
  <c r="A1" i="33"/>
  <c r="G2"/>
  <c r="H2"/>
  <c r="F2"/>
  <c r="A6"/>
  <c r="A7"/>
  <c r="A8"/>
  <c r="A9"/>
  <c r="A10"/>
  <c r="A11"/>
  <c r="A12"/>
  <c r="A13"/>
  <c r="A14"/>
  <c r="A15"/>
  <c r="A16"/>
  <c r="A17"/>
  <c r="A18"/>
  <c r="A19"/>
  <c r="A20"/>
  <c r="A5"/>
  <c r="D38" i="36" s="1"/>
  <c r="F38" s="1"/>
  <c r="B1" i="35"/>
  <c r="D12" i="37" l="1"/>
  <c r="D51" i="36"/>
  <c r="F51" s="1"/>
  <c r="D49"/>
  <c r="F49" s="1"/>
  <c r="D47"/>
  <c r="F47" s="1"/>
  <c r="D45"/>
  <c r="F45" s="1"/>
  <c r="D43"/>
  <c r="F43" s="1"/>
  <c r="D41"/>
  <c r="F41" s="1"/>
  <c r="D39"/>
  <c r="F39" s="1"/>
  <c r="E2" i="33"/>
  <c r="D37" i="36"/>
  <c r="F37" s="1"/>
  <c r="D52"/>
  <c r="F52" s="1"/>
  <c r="D50"/>
  <c r="F50" s="1"/>
  <c r="D48"/>
  <c r="F48" s="1"/>
  <c r="D6" i="38" s="1"/>
  <c r="D46" i="36"/>
  <c r="F46" s="1"/>
  <c r="D44"/>
  <c r="F44" s="1"/>
  <c r="D42"/>
  <c r="F42" s="1"/>
  <c r="D40"/>
  <c r="F40" s="1"/>
  <c r="H2"/>
  <c r="D7" i="38" l="1"/>
  <c r="D5"/>
  <c r="D2" s="1"/>
  <c r="D11" i="37"/>
  <c r="D10"/>
  <c r="D7"/>
  <c r="D6"/>
  <c r="D9"/>
  <c r="D8"/>
  <c r="D5"/>
  <c r="D2" s="1"/>
  <c r="F2" i="36"/>
</calcChain>
</file>

<file path=xl/sharedStrings.xml><?xml version="1.0" encoding="utf-8"?>
<sst xmlns="http://schemas.openxmlformats.org/spreadsheetml/2006/main" count="274" uniqueCount="85">
  <si>
    <t>Marque</t>
  </si>
  <si>
    <t>Adidas</t>
  </si>
  <si>
    <t>F10</t>
  </si>
  <si>
    <t>T-Shirt</t>
  </si>
  <si>
    <t>Oxbow</t>
  </si>
  <si>
    <t>Ballon</t>
  </si>
  <si>
    <t>Nike</t>
  </si>
  <si>
    <t>Mercurial</t>
  </si>
  <si>
    <t>Chaussures</t>
  </si>
  <si>
    <t>Main d'œuvre</t>
  </si>
  <si>
    <t>Gourde</t>
  </si>
  <si>
    <t>S+</t>
  </si>
  <si>
    <t>GT-2000</t>
  </si>
  <si>
    <t>Nature</t>
  </si>
  <si>
    <t>Modèle</t>
  </si>
  <si>
    <t>Prix catalogue</t>
  </si>
  <si>
    <t>Identifiant</t>
  </si>
  <si>
    <t>Catégorie</t>
  </si>
  <si>
    <t>Type</t>
  </si>
  <si>
    <t>Asics</t>
  </si>
  <si>
    <t>Mizuno</t>
  </si>
  <si>
    <t>Babolat</t>
  </si>
  <si>
    <t>Orbea</t>
  </si>
  <si>
    <t>Maillot</t>
  </si>
  <si>
    <t>Vêtement</t>
  </si>
  <si>
    <t>Prestation</t>
  </si>
  <si>
    <t>Equipement</t>
  </si>
  <si>
    <t>F50</t>
  </si>
  <si>
    <t>Predator</t>
  </si>
  <si>
    <t>Wave Sayonara</t>
  </si>
  <si>
    <t>Magista</t>
  </si>
  <si>
    <t>Tiempo</t>
  </si>
  <si>
    <t>Diables</t>
  </si>
  <si>
    <t>Kids</t>
  </si>
  <si>
    <t>Observations</t>
  </si>
  <si>
    <t>Raison sociale</t>
  </si>
  <si>
    <t>Ma Boutique</t>
  </si>
  <si>
    <t>Année</t>
  </si>
  <si>
    <t>Nombre de caisses</t>
  </si>
  <si>
    <t>Titre</t>
  </si>
  <si>
    <t>Registre des ventes</t>
  </si>
  <si>
    <t>Football</t>
  </si>
  <si>
    <t>Running</t>
  </si>
  <si>
    <t>Cordage</t>
  </si>
  <si>
    <t>Grimpe et rando</t>
  </si>
  <si>
    <t>Toutes catégories</t>
  </si>
  <si>
    <t>Tennis</t>
  </si>
  <si>
    <t>Cyclisme</t>
  </si>
  <si>
    <t>Sportswear</t>
  </si>
  <si>
    <t>Réparation vélo</t>
  </si>
  <si>
    <t>Vélo</t>
  </si>
  <si>
    <t>Raquette</t>
  </si>
  <si>
    <t>Rapport des ventes</t>
  </si>
  <si>
    <t>Remise moyenne</t>
  </si>
  <si>
    <t>Date</t>
  </si>
  <si>
    <t>Caisse</t>
  </si>
  <si>
    <t>Article</t>
  </si>
  <si>
    <t>Prix remisé</t>
  </si>
  <si>
    <t>% de remise</t>
  </si>
  <si>
    <t>Quantité</t>
  </si>
  <si>
    <t>Montant de la vente</t>
  </si>
  <si>
    <t>Vêtement-Chaussures-Adidas F10</t>
  </si>
  <si>
    <t>Vêtement-Ballon-Adidas F50</t>
  </si>
  <si>
    <t>Vêtement-Chaussures-Nike Mercurial</t>
  </si>
  <si>
    <t>Vêtement-Chaussures-Nike Magista</t>
  </si>
  <si>
    <t xml:space="preserve">Vêtement-T-Shirt-Oxbow </t>
  </si>
  <si>
    <t xml:space="preserve">Vêtement-Main d'œuvre- </t>
  </si>
  <si>
    <t>Vêtement-Maillot-Adidas Diables</t>
  </si>
  <si>
    <t>Vêtement-Chaussures-Nike Tiempo</t>
  </si>
  <si>
    <t>Vêtement-Chaussures-Mizuno Wave Sayonara</t>
  </si>
  <si>
    <t>Vêtement-Chaussures-Asics GT-2000</t>
  </si>
  <si>
    <t>Vêtement-Chaussures-Adidas Predator</t>
  </si>
  <si>
    <t xml:space="preserve">Prestation-Réparation vélo- </t>
  </si>
  <si>
    <t>Equipement-Vélo-Orbea Kids</t>
  </si>
  <si>
    <t xml:space="preserve">Equipement-Raquette-Babolat </t>
  </si>
  <si>
    <t xml:space="preserve">Equipement-Gourde-S+ </t>
  </si>
  <si>
    <t xml:space="preserve">Equipement-Cordage- </t>
  </si>
  <si>
    <t>Libellé</t>
  </si>
  <si>
    <t>Quantités vendues</t>
  </si>
  <si>
    <t>Total général</t>
  </si>
  <si>
    <t>(Tous)</t>
  </si>
  <si>
    <t>Montants</t>
  </si>
  <si>
    <t>Années</t>
  </si>
  <si>
    <t>2016</t>
  </si>
  <si>
    <t>janv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</si>
</sst>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#,##0&quot; article(s)&quot;"/>
    <numFmt numFmtId="167" formatCode="[$-F800]dddd\,\ mmmm\ dd\,\ yyyy"/>
    <numFmt numFmtId="168" formatCode="#,##0&quot; ligne(s)&quot;"/>
    <numFmt numFmtId="171" formatCode="#,##0.00\ &quot;€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 Narrow"/>
      <family val="2"/>
    </font>
    <font>
      <sz val="26"/>
      <color theme="6" tint="-0.249977111117893"/>
      <name val="Arial Black"/>
      <family val="2"/>
    </font>
    <font>
      <b/>
      <sz val="18"/>
      <color theme="6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2" fillId="0" borderId="0" xfId="0" applyFont="1" applyFill="1" applyBorder="1"/>
    <xf numFmtId="44" fontId="2" fillId="0" borderId="0" xfId="1" applyFont="1" applyFill="1" applyBorder="1"/>
    <xf numFmtId="0" fontId="2" fillId="2" borderId="0" xfId="0" applyFont="1" applyFill="1" applyBorder="1"/>
    <xf numFmtId="0" fontId="4" fillId="3" borderId="0" xfId="0" applyFont="1" applyFill="1" applyBorder="1"/>
    <xf numFmtId="0" fontId="3" fillId="2" borderId="0" xfId="0" applyFont="1" applyFill="1" applyBorder="1" applyAlignment="1">
      <alignment vertical="top" wrapText="1"/>
    </xf>
    <xf numFmtId="0" fontId="3" fillId="0" borderId="0" xfId="0" applyFont="1" applyFill="1" applyBorder="1" applyAlignment="1">
      <alignment vertical="top" wrapText="1"/>
    </xf>
    <xf numFmtId="0" fontId="0" fillId="0" borderId="0" xfId="0" applyAlignment="1">
      <alignment horizontal="left"/>
    </xf>
    <xf numFmtId="0" fontId="0" fillId="4" borderId="0" xfId="0" applyFill="1"/>
    <xf numFmtId="0" fontId="3" fillId="5" borderId="0" xfId="0" applyFont="1" applyFill="1" applyBorder="1" applyAlignment="1">
      <alignment vertical="top" wrapText="1"/>
    </xf>
    <xf numFmtId="44" fontId="3" fillId="5" borderId="0" xfId="1" applyFont="1" applyFill="1" applyBorder="1" applyAlignment="1">
      <alignment horizontal="center" vertical="top" wrapText="1"/>
    </xf>
    <xf numFmtId="0" fontId="2" fillId="5" borderId="0" xfId="0" applyFont="1" applyFill="1" applyBorder="1"/>
    <xf numFmtId="44" fontId="2" fillId="5" borderId="0" xfId="1" applyFont="1" applyFill="1" applyBorder="1"/>
    <xf numFmtId="0" fontId="2" fillId="0" borderId="0" xfId="0" applyFont="1" applyFill="1" applyBorder="1" applyProtection="1">
      <protection locked="0"/>
    </xf>
    <xf numFmtId="0" fontId="6" fillId="0" borderId="0" xfId="0" applyFont="1" applyFill="1" applyBorder="1"/>
    <xf numFmtId="0" fontId="5" fillId="4" borderId="0" xfId="0" applyFont="1" applyFill="1" applyAlignment="1">
      <alignment horizontal="center"/>
    </xf>
    <xf numFmtId="44" fontId="3" fillId="2" borderId="0" xfId="1" applyFont="1" applyFill="1" applyBorder="1" applyAlignment="1">
      <alignment horizontal="center" vertical="top" wrapText="1"/>
    </xf>
    <xf numFmtId="44" fontId="2" fillId="2" borderId="0" xfId="1" applyFont="1" applyFill="1" applyBorder="1"/>
    <xf numFmtId="44" fontId="2" fillId="3" borderId="0" xfId="1" applyFont="1" applyFill="1" applyBorder="1"/>
    <xf numFmtId="164" fontId="2" fillId="0" borderId="0" xfId="2" applyNumberFormat="1" applyFont="1" applyFill="1" applyBorder="1"/>
    <xf numFmtId="164" fontId="2" fillId="2" borderId="0" xfId="2" applyNumberFormat="1" applyFont="1" applyFill="1" applyBorder="1"/>
    <xf numFmtId="164" fontId="3" fillId="2" borderId="0" xfId="2" applyNumberFormat="1" applyFont="1" applyFill="1" applyBorder="1" applyAlignment="1">
      <alignment horizontal="center" vertical="top" wrapText="1"/>
    </xf>
    <xf numFmtId="164" fontId="2" fillId="3" borderId="0" xfId="2" applyNumberFormat="1" applyFont="1" applyFill="1" applyBorder="1"/>
    <xf numFmtId="165" fontId="2" fillId="2" borderId="0" xfId="0" applyNumberFormat="1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/>
    </xf>
    <xf numFmtId="167" fontId="3" fillId="5" borderId="0" xfId="0" applyNumberFormat="1" applyFont="1" applyFill="1" applyBorder="1" applyAlignment="1">
      <alignment horizontal="center" vertical="top" wrapText="1"/>
    </xf>
    <xf numFmtId="167" fontId="2" fillId="0" borderId="0" xfId="0" applyNumberFormat="1" applyFont="1" applyFill="1" applyBorder="1" applyAlignment="1">
      <alignment horizontal="center"/>
    </xf>
    <xf numFmtId="167" fontId="2" fillId="5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8" fontId="2" fillId="2" borderId="0" xfId="0" applyNumberFormat="1" applyFont="1" applyFill="1" applyBorder="1" applyAlignment="1">
      <alignment horizontal="center"/>
    </xf>
    <xf numFmtId="43" fontId="3" fillId="5" borderId="0" xfId="2" applyFont="1" applyFill="1" applyBorder="1" applyAlignment="1">
      <alignment horizontal="center" vertical="top" wrapText="1"/>
    </xf>
    <xf numFmtId="43" fontId="2" fillId="0" borderId="0" xfId="2" applyFont="1" applyFill="1" applyBorder="1"/>
    <xf numFmtId="43" fontId="2" fillId="5" borderId="0" xfId="2" applyFont="1" applyFill="1" applyBorder="1"/>
    <xf numFmtId="10" fontId="2" fillId="3" borderId="0" xfId="3" applyNumberFormat="1" applyFont="1" applyFill="1" applyBorder="1"/>
    <xf numFmtId="10" fontId="2" fillId="2" borderId="0" xfId="3" applyNumberFormat="1" applyFont="1" applyFill="1" applyBorder="1"/>
    <xf numFmtId="44" fontId="3" fillId="5" borderId="0" xfId="1" applyFont="1" applyFill="1" applyBorder="1" applyAlignment="1">
      <alignment horizontal="left" vertical="top" wrapText="1"/>
    </xf>
    <xf numFmtId="44" fontId="2" fillId="5" borderId="0" xfId="1" applyFont="1" applyFill="1" applyBorder="1" applyAlignment="1">
      <alignment horizontal="left"/>
    </xf>
    <xf numFmtId="43" fontId="2" fillId="2" borderId="0" xfId="2" applyFont="1" applyFill="1" applyBorder="1"/>
    <xf numFmtId="43" fontId="2" fillId="3" borderId="0" xfId="2" applyFont="1" applyFill="1" applyBorder="1"/>
    <xf numFmtId="10" fontId="2" fillId="0" borderId="0" xfId="3" applyNumberFormat="1" applyFont="1" applyFill="1" applyBorder="1" applyAlignment="1">
      <alignment horizontal="center"/>
    </xf>
    <xf numFmtId="10" fontId="2" fillId="2" borderId="0" xfId="3" applyNumberFormat="1" applyFont="1" applyFill="1" applyBorder="1" applyAlignment="1">
      <alignment horizontal="center"/>
    </xf>
    <xf numFmtId="10" fontId="3" fillId="2" borderId="0" xfId="3" applyNumberFormat="1" applyFont="1" applyFill="1" applyBorder="1" applyAlignment="1">
      <alignment horizontal="center" vertical="top" wrapText="1"/>
    </xf>
    <xf numFmtId="10" fontId="2" fillId="3" borderId="0" xfId="3" applyNumberFormat="1" applyFont="1" applyFill="1" applyBorder="1" applyAlignment="1">
      <alignment horizontal="center"/>
    </xf>
    <xf numFmtId="0" fontId="0" fillId="0" borderId="0" xfId="0" pivotButton="1"/>
    <xf numFmtId="171" fontId="0" fillId="0" borderId="0" xfId="0" applyNumberFormat="1"/>
    <xf numFmtId="0" fontId="0" fillId="0" borderId="0" xfId="0" pivotButton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50"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[Registre des ventes.xlsx]Statistiques!Tableau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Statistiques!$C$6:$C$7</c:f>
              <c:strCache>
                <c:ptCount val="1"/>
                <c:pt idx="0">
                  <c:v>1</c:v>
                </c:pt>
              </c:strCache>
            </c:strRef>
          </c:tx>
          <c:cat>
            <c:multiLvlStrRef>
              <c:f>Statistiques!$A$8:$B$9</c:f>
              <c:multiLvlStrCache>
                <c:ptCount val="1"/>
                <c:lvl>
                  <c:pt idx="0">
                    <c:v>janv</c:v>
                  </c:pt>
                </c:lvl>
                <c:lvl>
                  <c:pt idx="0">
                    <c:v>2016</c:v>
                  </c:pt>
                </c:lvl>
              </c:multiLvlStrCache>
            </c:multiLvlStrRef>
          </c:cat>
          <c:val>
            <c:numRef>
              <c:f>Statistiques!$C$8:$C$9</c:f>
              <c:numCache>
                <c:formatCode>#,##0.00\ "€"</c:formatCode>
                <c:ptCount val="1"/>
                <c:pt idx="0">
                  <c:v>2710</c:v>
                </c:pt>
              </c:numCache>
            </c:numRef>
          </c:val>
        </c:ser>
        <c:ser>
          <c:idx val="1"/>
          <c:order val="1"/>
          <c:tx>
            <c:strRef>
              <c:f>Statistiques!$D$6:$D$7</c:f>
              <c:strCache>
                <c:ptCount val="1"/>
                <c:pt idx="0">
                  <c:v>2</c:v>
                </c:pt>
              </c:strCache>
            </c:strRef>
          </c:tx>
          <c:cat>
            <c:multiLvlStrRef>
              <c:f>Statistiques!$A$8:$B$9</c:f>
              <c:multiLvlStrCache>
                <c:ptCount val="1"/>
                <c:lvl>
                  <c:pt idx="0">
                    <c:v>janv</c:v>
                  </c:pt>
                </c:lvl>
                <c:lvl>
                  <c:pt idx="0">
                    <c:v>2016</c:v>
                  </c:pt>
                </c:lvl>
              </c:multiLvlStrCache>
            </c:multiLvlStrRef>
          </c:cat>
          <c:val>
            <c:numRef>
              <c:f>Statistiques!$D$8:$D$9</c:f>
              <c:numCache>
                <c:formatCode>#,##0.00\ "€"</c:formatCode>
                <c:ptCount val="1"/>
                <c:pt idx="0">
                  <c:v>1625</c:v>
                </c:pt>
              </c:numCache>
            </c:numRef>
          </c:val>
        </c:ser>
        <c:shape val="cylinder"/>
        <c:axId val="103587840"/>
        <c:axId val="103589376"/>
        <c:axId val="0"/>
      </c:bar3DChart>
      <c:catAx>
        <c:axId val="103587840"/>
        <c:scaling>
          <c:orientation val="minMax"/>
        </c:scaling>
        <c:axPos val="b"/>
        <c:tickLblPos val="nextTo"/>
        <c:crossAx val="103589376"/>
        <c:crosses val="autoZero"/>
        <c:auto val="1"/>
        <c:lblAlgn val="ctr"/>
        <c:lblOffset val="100"/>
      </c:catAx>
      <c:valAx>
        <c:axId val="103589376"/>
        <c:scaling>
          <c:orientation val="minMax"/>
        </c:scaling>
        <c:axPos val="l"/>
        <c:majorGridlines/>
        <c:numFmt formatCode="#,##0.00\ &quot;€&quot;" sourceLinked="1"/>
        <c:tickLblPos val="nextTo"/>
        <c:crossAx val="10358784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tatistiques!A1"/><Relationship Id="rId2" Type="http://schemas.openxmlformats.org/officeDocument/2006/relationships/hyperlink" Target="#Ventes!A5"/><Relationship Id="rId1" Type="http://schemas.openxmlformats.org/officeDocument/2006/relationships/image" Target="../media/image1.jpeg"/><Relationship Id="rId4" Type="http://schemas.openxmlformats.org/officeDocument/2006/relationships/hyperlink" Target="#Articl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876302</xdr:rowOff>
    </xdr:from>
    <xdr:to>
      <xdr:col>0</xdr:col>
      <xdr:colOff>2333625</xdr:colOff>
      <xdr:row>1</xdr:row>
      <xdr:rowOff>2667001</xdr:rowOff>
    </xdr:to>
    <xdr:pic>
      <xdr:nvPicPr>
        <xdr:cNvPr id="2" name="Image 1" descr="Ma_Boutiq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3">
              <a:tint val="45000"/>
              <a:satMod val="400000"/>
            </a:schemeClr>
          </a:duotone>
        </a:blip>
        <a:stretch>
          <a:fillRect/>
        </a:stretch>
      </xdr:blipFill>
      <xdr:spPr>
        <a:xfrm>
          <a:off x="485775" y="876302"/>
          <a:ext cx="1847850" cy="2886074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6350" stA="50000" endA="300" endPos="90000" dist="50800" dir="5400000" sy="-100000" algn="bl" rotWithShape="0"/>
        </a:effectLst>
      </xdr:spPr>
    </xdr:pic>
    <xdr:clientData/>
  </xdr:twoCellAnchor>
  <xdr:twoCellAnchor>
    <xdr:from>
      <xdr:col>1</xdr:col>
      <xdr:colOff>1809750</xdr:colOff>
      <xdr:row>1</xdr:row>
      <xdr:rowOff>419100</xdr:rowOff>
    </xdr:from>
    <xdr:to>
      <xdr:col>1</xdr:col>
      <xdr:colOff>3057525</xdr:colOff>
      <xdr:row>1</xdr:row>
      <xdr:rowOff>1019175</xdr:rowOff>
    </xdr:to>
    <xdr:sp macro="" textlink="">
      <xdr:nvSpPr>
        <xdr:cNvPr id="3" name="Rectangle à coins arrondis 2">
          <a:hlinkClick xmlns:r="http://schemas.openxmlformats.org/officeDocument/2006/relationships" r:id="rId2" tooltip="Ventes"/>
        </xdr:cNvPr>
        <xdr:cNvSpPr/>
      </xdr:nvSpPr>
      <xdr:spPr>
        <a:xfrm>
          <a:off x="4276725" y="2019300"/>
          <a:ext cx="1247775" cy="6000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Ventes</a:t>
          </a:r>
        </a:p>
      </xdr:txBody>
    </xdr:sp>
    <xdr:clientData/>
  </xdr:twoCellAnchor>
  <xdr:twoCellAnchor>
    <xdr:from>
      <xdr:col>1</xdr:col>
      <xdr:colOff>3238500</xdr:colOff>
      <xdr:row>1</xdr:row>
      <xdr:rowOff>1171575</xdr:rowOff>
    </xdr:from>
    <xdr:to>
      <xdr:col>1</xdr:col>
      <xdr:colOff>4486275</xdr:colOff>
      <xdr:row>1</xdr:row>
      <xdr:rowOff>1752600</xdr:rowOff>
    </xdr:to>
    <xdr:sp macro="" textlink="">
      <xdr:nvSpPr>
        <xdr:cNvPr id="4" name="Rectangle à coins arrondis 3"/>
        <xdr:cNvSpPr/>
      </xdr:nvSpPr>
      <xdr:spPr>
        <a:xfrm>
          <a:off x="5705475" y="2771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Marques</a:t>
          </a:r>
        </a:p>
      </xdr:txBody>
    </xdr:sp>
    <xdr:clientData/>
  </xdr:twoCellAnchor>
  <xdr:twoCellAnchor>
    <xdr:from>
      <xdr:col>1</xdr:col>
      <xdr:colOff>4667250</xdr:colOff>
      <xdr:row>1</xdr:row>
      <xdr:rowOff>1152525</xdr:rowOff>
    </xdr:from>
    <xdr:to>
      <xdr:col>1</xdr:col>
      <xdr:colOff>5915025</xdr:colOff>
      <xdr:row>1</xdr:row>
      <xdr:rowOff>1733550</xdr:rowOff>
    </xdr:to>
    <xdr:sp macro="" textlink="">
      <xdr:nvSpPr>
        <xdr:cNvPr id="5" name="Rectangle à coins arrondis 4"/>
        <xdr:cNvSpPr/>
      </xdr:nvSpPr>
      <xdr:spPr>
        <a:xfrm>
          <a:off x="7134225" y="275272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Natures</a:t>
          </a:r>
        </a:p>
      </xdr:txBody>
    </xdr:sp>
    <xdr:clientData/>
  </xdr:twoCellAnchor>
  <xdr:twoCellAnchor>
    <xdr:from>
      <xdr:col>1</xdr:col>
      <xdr:colOff>3257550</xdr:colOff>
      <xdr:row>1</xdr:row>
      <xdr:rowOff>1933575</xdr:rowOff>
    </xdr:from>
    <xdr:to>
      <xdr:col>1</xdr:col>
      <xdr:colOff>4505325</xdr:colOff>
      <xdr:row>1</xdr:row>
      <xdr:rowOff>2514600</xdr:rowOff>
    </xdr:to>
    <xdr:sp macro="" textlink="">
      <xdr:nvSpPr>
        <xdr:cNvPr id="7" name="Rectangle à coins arrondis 6"/>
        <xdr:cNvSpPr/>
      </xdr:nvSpPr>
      <xdr:spPr>
        <a:xfrm>
          <a:off x="5724525" y="3533775"/>
          <a:ext cx="1247775" cy="5810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Paramètres</a:t>
          </a:r>
        </a:p>
      </xdr:txBody>
    </xdr:sp>
    <xdr:clientData/>
  </xdr:twoCellAnchor>
  <xdr:twoCellAnchor>
    <xdr:from>
      <xdr:col>1</xdr:col>
      <xdr:colOff>1819275</xdr:colOff>
      <xdr:row>1</xdr:row>
      <xdr:rowOff>1933575</xdr:rowOff>
    </xdr:from>
    <xdr:to>
      <xdr:col>1</xdr:col>
      <xdr:colOff>3067050</xdr:colOff>
      <xdr:row>1</xdr:row>
      <xdr:rowOff>2514600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4286250" y="3533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Statistiques</a:t>
          </a:r>
        </a:p>
      </xdr:txBody>
    </xdr:sp>
    <xdr:clientData/>
  </xdr:twoCellAnchor>
  <xdr:twoCellAnchor>
    <xdr:from>
      <xdr:col>1</xdr:col>
      <xdr:colOff>4676775</xdr:colOff>
      <xdr:row>1</xdr:row>
      <xdr:rowOff>1924050</xdr:rowOff>
    </xdr:from>
    <xdr:to>
      <xdr:col>1</xdr:col>
      <xdr:colOff>5924550</xdr:colOff>
      <xdr:row>1</xdr:row>
      <xdr:rowOff>2505075</xdr:rowOff>
    </xdr:to>
    <xdr:sp macro="" textlink="">
      <xdr:nvSpPr>
        <xdr:cNvPr id="9" name="Rectangle à coins arrondis 8"/>
        <xdr:cNvSpPr/>
      </xdr:nvSpPr>
      <xdr:spPr>
        <a:xfrm>
          <a:off x="7143750" y="3190875"/>
          <a:ext cx="1247775" cy="5810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Quitter</a:t>
          </a:r>
        </a:p>
      </xdr:txBody>
    </xdr:sp>
    <xdr:clientData/>
  </xdr:twoCellAnchor>
  <xdr:twoCellAnchor>
    <xdr:from>
      <xdr:col>1</xdr:col>
      <xdr:colOff>3238500</xdr:colOff>
      <xdr:row>1</xdr:row>
      <xdr:rowOff>400050</xdr:rowOff>
    </xdr:from>
    <xdr:to>
      <xdr:col>1</xdr:col>
      <xdr:colOff>4486275</xdr:colOff>
      <xdr:row>1</xdr:row>
      <xdr:rowOff>981075</xdr:rowOff>
    </xdr:to>
    <xdr:sp macro="" textlink="">
      <xdr:nvSpPr>
        <xdr:cNvPr id="15" name="Rectangle à coins arrondis 14">
          <a:hlinkClick xmlns:r="http://schemas.openxmlformats.org/officeDocument/2006/relationships" r:id="rId4" tooltip="Articles"/>
        </xdr:cNvPr>
        <xdr:cNvSpPr/>
      </xdr:nvSpPr>
      <xdr:spPr>
        <a:xfrm>
          <a:off x="5705475" y="20002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Articles</a:t>
          </a:r>
        </a:p>
      </xdr:txBody>
    </xdr:sp>
    <xdr:clientData/>
  </xdr:twoCellAnchor>
  <xdr:twoCellAnchor>
    <xdr:from>
      <xdr:col>1</xdr:col>
      <xdr:colOff>1800225</xdr:colOff>
      <xdr:row>1</xdr:row>
      <xdr:rowOff>1200150</xdr:rowOff>
    </xdr:from>
    <xdr:to>
      <xdr:col>1</xdr:col>
      <xdr:colOff>3048000</xdr:colOff>
      <xdr:row>1</xdr:row>
      <xdr:rowOff>1781175</xdr:rowOff>
    </xdr:to>
    <xdr:sp macro="" textlink="">
      <xdr:nvSpPr>
        <xdr:cNvPr id="16" name="Rectangle à coins arrondis 15"/>
        <xdr:cNvSpPr/>
      </xdr:nvSpPr>
      <xdr:spPr>
        <a:xfrm>
          <a:off x="4267200" y="28003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Catégories</a:t>
          </a:r>
        </a:p>
      </xdr:txBody>
    </xdr:sp>
    <xdr:clientData/>
  </xdr:twoCellAnchor>
  <xdr:twoCellAnchor>
    <xdr:from>
      <xdr:col>1</xdr:col>
      <xdr:colOff>4686300</xdr:colOff>
      <xdr:row>1</xdr:row>
      <xdr:rowOff>400050</xdr:rowOff>
    </xdr:from>
    <xdr:to>
      <xdr:col>1</xdr:col>
      <xdr:colOff>5934075</xdr:colOff>
      <xdr:row>1</xdr:row>
      <xdr:rowOff>981075</xdr:rowOff>
    </xdr:to>
    <xdr:sp macro="" textlink="">
      <xdr:nvSpPr>
        <xdr:cNvPr id="17" name="Rectangle à coins arrondis 16"/>
        <xdr:cNvSpPr/>
      </xdr:nvSpPr>
      <xdr:spPr>
        <a:xfrm>
          <a:off x="7153275" y="16668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Types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2</xdr:row>
      <xdr:rowOff>85725</xdr:rowOff>
    </xdr:from>
    <xdr:to>
      <xdr:col>0</xdr:col>
      <xdr:colOff>600075</xdr:colOff>
      <xdr:row>2</xdr:row>
      <xdr:rowOff>514349</xdr:rowOff>
    </xdr:to>
    <xdr:sp macro="" textlink="">
      <xdr:nvSpPr>
        <xdr:cNvPr id="2" name="Rectangle à coins arrondis 1"/>
        <xdr:cNvSpPr/>
      </xdr:nvSpPr>
      <xdr:spPr>
        <a:xfrm>
          <a:off x="15240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1709057</xdr:colOff>
      <xdr:row>2</xdr:row>
      <xdr:rowOff>85725</xdr:rowOff>
    </xdr:from>
    <xdr:to>
      <xdr:col>1</xdr:col>
      <xdr:colOff>400049</xdr:colOff>
      <xdr:row>2</xdr:row>
      <xdr:rowOff>514349</xdr:rowOff>
    </xdr:to>
    <xdr:sp macro="" textlink="">
      <xdr:nvSpPr>
        <xdr:cNvPr id="3" name="Rectangle à coins arrondis 2"/>
        <xdr:cNvSpPr/>
      </xdr:nvSpPr>
      <xdr:spPr>
        <a:xfrm>
          <a:off x="1709057" y="571500"/>
          <a:ext cx="453117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666750</xdr:colOff>
      <xdr:row>2</xdr:row>
      <xdr:rowOff>85725</xdr:rowOff>
    </xdr:from>
    <xdr:to>
      <xdr:col>0</xdr:col>
      <xdr:colOff>1114425</xdr:colOff>
      <xdr:row>2</xdr:row>
      <xdr:rowOff>514349</xdr:rowOff>
    </xdr:to>
    <xdr:sp macro="" textlink="">
      <xdr:nvSpPr>
        <xdr:cNvPr id="4" name="Rectangle à coins arrondis 3"/>
        <xdr:cNvSpPr/>
      </xdr:nvSpPr>
      <xdr:spPr>
        <a:xfrm>
          <a:off x="66675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1182519</xdr:colOff>
      <xdr:row>2</xdr:row>
      <xdr:rowOff>85725</xdr:rowOff>
    </xdr:from>
    <xdr:to>
      <xdr:col>0</xdr:col>
      <xdr:colOff>1630194</xdr:colOff>
      <xdr:row>2</xdr:row>
      <xdr:rowOff>514349</xdr:rowOff>
    </xdr:to>
    <xdr:sp macro="" textlink="">
      <xdr:nvSpPr>
        <xdr:cNvPr id="5" name="Rectangle à coins arrondis 4"/>
        <xdr:cNvSpPr/>
      </xdr:nvSpPr>
      <xdr:spPr>
        <a:xfrm>
          <a:off x="1182519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517833</xdr:colOff>
      <xdr:row>2</xdr:row>
      <xdr:rowOff>83416</xdr:rowOff>
    </xdr:from>
    <xdr:to>
      <xdr:col>2</xdr:col>
      <xdr:colOff>364326</xdr:colOff>
      <xdr:row>2</xdr:row>
      <xdr:rowOff>505751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9958" y="5691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439207</xdr:colOff>
      <xdr:row>2</xdr:row>
      <xdr:rowOff>86783</xdr:rowOff>
    </xdr:from>
    <xdr:to>
      <xdr:col>2</xdr:col>
      <xdr:colOff>890009</xdr:colOff>
      <xdr:row>2</xdr:row>
      <xdr:rowOff>509118</xdr:rowOff>
    </xdr:to>
    <xdr:sp macro="" textlink="">
      <xdr:nvSpPr>
        <xdr:cNvPr id="7" name="Bouton_Accueil"/>
        <xdr:cNvSpPr/>
      </xdr:nvSpPr>
      <xdr:spPr>
        <a:xfrm>
          <a:off x="2801407" y="5725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11</xdr:row>
      <xdr:rowOff>104775</xdr:rowOff>
    </xdr:from>
    <xdr:to>
      <xdr:col>9</xdr:col>
      <xdr:colOff>866775</xdr:colOff>
      <xdr:row>25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714375</xdr:colOff>
      <xdr:row>1</xdr:row>
      <xdr:rowOff>47625</xdr:rowOff>
    </xdr:from>
    <xdr:to>
      <xdr:col>0</xdr:col>
      <xdr:colOff>1160943</xdr:colOff>
      <xdr:row>1</xdr:row>
      <xdr:rowOff>469960</xdr:rowOff>
    </xdr:to>
    <xdr:sp macro="" textlink="">
      <xdr:nvSpPr>
        <xdr:cNvPr id="3" name="Bouton_Accueil">
          <a:hlinkClick xmlns:r="http://schemas.openxmlformats.org/officeDocument/2006/relationships" r:id="rId2" tooltip="Accueil"/>
        </xdr:cNvPr>
        <xdr:cNvSpPr/>
      </xdr:nvSpPr>
      <xdr:spPr>
        <a:xfrm>
          <a:off x="714375" y="342900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1235824</xdr:colOff>
      <xdr:row>1</xdr:row>
      <xdr:rowOff>50992</xdr:rowOff>
    </xdr:from>
    <xdr:to>
      <xdr:col>1</xdr:col>
      <xdr:colOff>286451</xdr:colOff>
      <xdr:row>1</xdr:row>
      <xdr:rowOff>473327</xdr:rowOff>
    </xdr:to>
    <xdr:sp macro="" textlink="">
      <xdr:nvSpPr>
        <xdr:cNvPr id="4" name="Bouton_Accueil"/>
        <xdr:cNvSpPr/>
      </xdr:nvSpPr>
      <xdr:spPr>
        <a:xfrm>
          <a:off x="1235824" y="346267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384.465167824077" createdVersion="3" refreshedVersion="3" minRefreshableVersion="3" recordCount="50">
  <cacheSource type="worksheet">
    <worksheetSource ref="A4:K10000" sheet="Ventes"/>
  </cacheSource>
  <cacheFields count="12">
    <cacheField name="Date" numFmtId="0">
      <sharedItems containsNonDate="0" containsDate="1" containsString="0" containsBlank="1" minDate="2016-01-14T00:00:00" maxDate="2016-01-17T00:00:00" count="4">
        <d v="2016-01-14T00:00:00"/>
        <d v="2016-01-15T00:00:00"/>
        <d v="2016-01-16T00:00:00"/>
        <m/>
      </sharedItems>
      <fieldGroup par="11" base="0">
        <rangePr groupBy="months" startDate="2016-01-14T00:00:00" endDate="2016-01-1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1/2016"/>
        </groupItems>
      </fieldGroup>
    </cacheField>
    <cacheField name="Caisse" numFmtId="0">
      <sharedItems containsString="0" containsBlank="1" containsNumber="1" containsInteger="1" minValue="1" maxValue="2" count="3">
        <n v="1"/>
        <n v="2"/>
        <m/>
      </sharedItems>
    </cacheField>
    <cacheField name="Article" numFmtId="0">
      <sharedItems containsBlank="1"/>
    </cacheField>
    <cacheField name="Prix catalogue" numFmtId="0">
      <sharedItems containsString="0" containsBlank="1" containsNumber="1" containsInteger="1" minValue="5" maxValue="250"/>
    </cacheField>
    <cacheField name="Prix remisé" numFmtId="44">
      <sharedItems containsString="0" containsBlank="1" containsNumber="1" containsInteger="1" minValue="5" maxValue="250"/>
    </cacheField>
    <cacheField name="% de remise" numFmtId="0">
      <sharedItems containsString="0" containsBlank="1" containsNumber="1" minValue="0" maxValue="0.1111111111111111"/>
    </cacheField>
    <cacheField name="Quantité" numFmtId="0">
      <sharedItems containsString="0" containsBlank="1" containsNumber="1" containsInteger="1" minValue="1" maxValue="1"/>
    </cacheField>
    <cacheField name="Montant de la vente" numFmtId="0">
      <sharedItems containsString="0" containsBlank="1" containsNumber="1" containsInteger="1" minValue="5" maxValue="250"/>
    </cacheField>
    <cacheField name="Observations" numFmtId="0">
      <sharedItems containsNonDate="0" containsString="0" containsBlank="1"/>
    </cacheField>
    <cacheField name="Catégorie" numFmtId="44">
      <sharedItems containsBlank="1" count="8">
        <s v="Sportswear"/>
        <s v="Toutes catégories"/>
        <s v="Football"/>
        <s v="Running"/>
        <s v="Cyclisme"/>
        <s v="Tennis"/>
        <s v="Grimpe et rando"/>
        <m/>
      </sharedItems>
    </cacheField>
    <cacheField name="Type" numFmtId="44">
      <sharedItems containsBlank="1"/>
    </cacheField>
    <cacheField name="Années" numFmtId="0" databaseField="0">
      <fieldGroup base="0">
        <rangePr groupBy="years" startDate="2016-01-14T00:00:00" endDate="2016-01-17T00:00:00"/>
        <groupItems count="3">
          <s v="&lt;14/01/2016"/>
          <s v="2016"/>
          <s v="&gt;17/01/201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x v="0"/>
    <x v="0"/>
    <s v="Vêtement-T-Shirt-Oxbow "/>
    <n v="45"/>
    <n v="40"/>
    <n v="0.1111111111111111"/>
    <n v="1"/>
    <n v="40"/>
    <m/>
    <x v="0"/>
    <s v="Vêtement"/>
  </r>
  <r>
    <x v="0"/>
    <x v="1"/>
    <s v="Vêtement-Main d'œuvre- "/>
    <n v="15"/>
    <n v="15"/>
    <n v="0"/>
    <n v="1"/>
    <n v="15"/>
    <m/>
    <x v="1"/>
    <s v="Vêtement"/>
  </r>
  <r>
    <x v="0"/>
    <x v="0"/>
    <s v="Vêtement-Maillot-Adidas Diables"/>
    <n v="80"/>
    <n v="80"/>
    <n v="0"/>
    <n v="1"/>
    <n v="80"/>
    <m/>
    <x v="2"/>
    <s v="Vêtement"/>
  </r>
  <r>
    <x v="0"/>
    <x v="0"/>
    <s v="Vêtement-Chaussures-Nike Tiempo"/>
    <n v="150"/>
    <n v="150"/>
    <n v="0"/>
    <n v="1"/>
    <n v="150"/>
    <m/>
    <x v="2"/>
    <s v="Vêtement"/>
  </r>
  <r>
    <x v="0"/>
    <x v="0"/>
    <s v="Vêtement-Chaussures-Nike Mercurial"/>
    <n v="120"/>
    <n v="120"/>
    <n v="0"/>
    <n v="1"/>
    <n v="120"/>
    <m/>
    <x v="2"/>
    <s v="Vêtement"/>
  </r>
  <r>
    <x v="0"/>
    <x v="0"/>
    <s v="Vêtement-Chaussures-Nike Magista"/>
    <n v="150"/>
    <n v="150"/>
    <n v="0"/>
    <n v="1"/>
    <n v="150"/>
    <m/>
    <x v="2"/>
    <s v="Vêtement"/>
  </r>
  <r>
    <x v="0"/>
    <x v="1"/>
    <s v="Vêtement-Chaussures-Mizuno Wave Sayonara"/>
    <n v="120"/>
    <n v="110"/>
    <n v="8.3333333333333329E-2"/>
    <n v="1"/>
    <n v="110"/>
    <m/>
    <x v="3"/>
    <s v="Vêtement"/>
  </r>
  <r>
    <x v="0"/>
    <x v="0"/>
    <s v="Vêtement-Chaussures-Asics GT-2000"/>
    <n v="100"/>
    <n v="100"/>
    <n v="0"/>
    <n v="1"/>
    <n v="100"/>
    <m/>
    <x v="3"/>
    <s v="Vêtement"/>
  </r>
  <r>
    <x v="0"/>
    <x v="1"/>
    <s v="Vêtement-Chaussures-Adidas Predator"/>
    <n v="220"/>
    <n v="220"/>
    <n v="0"/>
    <n v="1"/>
    <n v="220"/>
    <m/>
    <x v="2"/>
    <s v="Vêtement"/>
  </r>
  <r>
    <x v="0"/>
    <x v="0"/>
    <s v="Vêtement-Chaussures-Adidas F10"/>
    <n v="60"/>
    <n v="55"/>
    <n v="8.3333333333333329E-2"/>
    <n v="1"/>
    <n v="55"/>
    <m/>
    <x v="2"/>
    <s v="Vêtement"/>
  </r>
  <r>
    <x v="0"/>
    <x v="1"/>
    <s v="Vêtement-Ballon-Adidas F50"/>
    <n v="25"/>
    <n v="25"/>
    <n v="0"/>
    <n v="1"/>
    <n v="25"/>
    <m/>
    <x v="2"/>
    <s v="Vêtement"/>
  </r>
  <r>
    <x v="0"/>
    <x v="1"/>
    <s v="Prestation-Réparation vélo- "/>
    <n v="25"/>
    <n v="25"/>
    <n v="0"/>
    <n v="1"/>
    <n v="25"/>
    <m/>
    <x v="4"/>
    <s v="Prestation"/>
  </r>
  <r>
    <x v="0"/>
    <x v="1"/>
    <s v="Equipement-Vélo-Orbea Kids"/>
    <n v="250"/>
    <n v="250"/>
    <n v="0"/>
    <n v="1"/>
    <n v="250"/>
    <m/>
    <x v="4"/>
    <s v="Equipement"/>
  </r>
  <r>
    <x v="0"/>
    <x v="0"/>
    <s v="Equipement-Raquette-Babolat "/>
    <n v="80"/>
    <n v="75"/>
    <n v="6.25E-2"/>
    <n v="1"/>
    <n v="75"/>
    <m/>
    <x v="5"/>
    <s v="Equipement"/>
  </r>
  <r>
    <x v="0"/>
    <x v="0"/>
    <s v="Equipement-Gourde-S+ "/>
    <n v="5"/>
    <n v="5"/>
    <n v="0"/>
    <n v="1"/>
    <n v="5"/>
    <m/>
    <x v="6"/>
    <s v="Equipement"/>
  </r>
  <r>
    <x v="0"/>
    <x v="0"/>
    <s v="Equipement-Cordage- "/>
    <n v="25"/>
    <n v="25"/>
    <n v="0"/>
    <n v="1"/>
    <n v="25"/>
    <m/>
    <x v="6"/>
    <s v="Equipement"/>
  </r>
  <r>
    <x v="1"/>
    <x v="0"/>
    <s v="Vêtement-T-Shirt-Oxbow "/>
    <n v="45"/>
    <n v="40"/>
    <n v="0.1111111111111111"/>
    <n v="1"/>
    <n v="40"/>
    <m/>
    <x v="0"/>
    <s v="Vêtement"/>
  </r>
  <r>
    <x v="1"/>
    <x v="0"/>
    <s v="Vêtement-Main d'œuvre- "/>
    <n v="15"/>
    <n v="15"/>
    <n v="0"/>
    <n v="1"/>
    <n v="15"/>
    <m/>
    <x v="1"/>
    <s v="Vêtement"/>
  </r>
  <r>
    <x v="1"/>
    <x v="0"/>
    <s v="Vêtement-Maillot-Adidas Diables"/>
    <n v="80"/>
    <n v="80"/>
    <n v="0"/>
    <n v="1"/>
    <n v="80"/>
    <m/>
    <x v="2"/>
    <s v="Vêtement"/>
  </r>
  <r>
    <x v="1"/>
    <x v="0"/>
    <s v="Vêtement-Chaussures-Nike Tiempo"/>
    <n v="150"/>
    <n v="150"/>
    <n v="0"/>
    <n v="1"/>
    <n v="150"/>
    <m/>
    <x v="2"/>
    <s v="Vêtement"/>
  </r>
  <r>
    <x v="1"/>
    <x v="1"/>
    <s v="Vêtement-Chaussures-Nike Mercurial"/>
    <n v="120"/>
    <n v="120"/>
    <n v="0"/>
    <n v="1"/>
    <n v="120"/>
    <m/>
    <x v="2"/>
    <s v="Vêtement"/>
  </r>
  <r>
    <x v="1"/>
    <x v="0"/>
    <s v="Vêtement-Chaussures-Nike Magista"/>
    <n v="150"/>
    <n v="150"/>
    <n v="0"/>
    <n v="1"/>
    <n v="150"/>
    <m/>
    <x v="2"/>
    <s v="Vêtement"/>
  </r>
  <r>
    <x v="1"/>
    <x v="1"/>
    <s v="Vêtement-Chaussures-Mizuno Wave Sayonara"/>
    <n v="120"/>
    <n v="110"/>
    <n v="8.3333333333333329E-2"/>
    <n v="1"/>
    <n v="110"/>
    <m/>
    <x v="3"/>
    <s v="Vêtement"/>
  </r>
  <r>
    <x v="1"/>
    <x v="0"/>
    <s v="Vêtement-Chaussures-Asics GT-2000"/>
    <n v="100"/>
    <n v="100"/>
    <n v="0"/>
    <n v="1"/>
    <n v="100"/>
    <m/>
    <x v="3"/>
    <s v="Vêtement"/>
  </r>
  <r>
    <x v="1"/>
    <x v="0"/>
    <s v="Vêtement-Chaussures-Adidas Predator"/>
    <n v="220"/>
    <n v="220"/>
    <n v="0"/>
    <n v="1"/>
    <n v="220"/>
    <m/>
    <x v="2"/>
    <s v="Vêtement"/>
  </r>
  <r>
    <x v="1"/>
    <x v="1"/>
    <s v="Vêtement-Chaussures-Adidas F10"/>
    <n v="60"/>
    <n v="55"/>
    <n v="8.3333333333333329E-2"/>
    <n v="1"/>
    <n v="55"/>
    <m/>
    <x v="2"/>
    <s v="Vêtement"/>
  </r>
  <r>
    <x v="1"/>
    <x v="1"/>
    <s v="Vêtement-Ballon-Adidas F50"/>
    <n v="25"/>
    <n v="25"/>
    <n v="0"/>
    <n v="1"/>
    <n v="25"/>
    <m/>
    <x v="2"/>
    <s v="Vêtement"/>
  </r>
  <r>
    <x v="1"/>
    <x v="1"/>
    <s v="Prestation-Réparation vélo- "/>
    <n v="25"/>
    <n v="25"/>
    <n v="0"/>
    <n v="1"/>
    <n v="25"/>
    <m/>
    <x v="4"/>
    <s v="Prestation"/>
  </r>
  <r>
    <x v="1"/>
    <x v="0"/>
    <s v="Equipement-Vélo-Orbea Kids"/>
    <n v="250"/>
    <n v="250"/>
    <n v="0"/>
    <n v="1"/>
    <n v="250"/>
    <m/>
    <x v="4"/>
    <s v="Equipement"/>
  </r>
  <r>
    <x v="1"/>
    <x v="0"/>
    <s v="Equipement-Raquette-Babolat "/>
    <n v="80"/>
    <n v="75"/>
    <n v="6.25E-2"/>
    <n v="1"/>
    <n v="75"/>
    <m/>
    <x v="5"/>
    <s v="Equipement"/>
  </r>
  <r>
    <x v="1"/>
    <x v="0"/>
    <s v="Equipement-Gourde-S+ "/>
    <n v="5"/>
    <n v="5"/>
    <n v="0"/>
    <n v="1"/>
    <n v="5"/>
    <m/>
    <x v="6"/>
    <s v="Equipement"/>
  </r>
  <r>
    <x v="1"/>
    <x v="0"/>
    <s v="Equipement-Cordage- "/>
    <n v="25"/>
    <n v="25"/>
    <n v="0"/>
    <n v="1"/>
    <n v="25"/>
    <m/>
    <x v="6"/>
    <s v="Equipement"/>
  </r>
  <r>
    <x v="2"/>
    <x v="0"/>
    <s v="Vêtement-T-Shirt-Oxbow "/>
    <n v="45"/>
    <n v="40"/>
    <n v="0.1111111111111111"/>
    <n v="1"/>
    <n v="40"/>
    <m/>
    <x v="0"/>
    <s v="Vêtement"/>
  </r>
  <r>
    <x v="2"/>
    <x v="0"/>
    <s v="Vêtement-Main d'œuvre- "/>
    <n v="15"/>
    <n v="15"/>
    <n v="0"/>
    <n v="1"/>
    <n v="15"/>
    <m/>
    <x v="1"/>
    <s v="Vêtement"/>
  </r>
  <r>
    <x v="2"/>
    <x v="0"/>
    <s v="Vêtement-Maillot-Adidas Diables"/>
    <n v="80"/>
    <n v="80"/>
    <n v="0"/>
    <n v="1"/>
    <n v="80"/>
    <m/>
    <x v="2"/>
    <s v="Vêtement"/>
  </r>
  <r>
    <x v="2"/>
    <x v="1"/>
    <s v="Vêtement-Chaussures-Nike Tiempo"/>
    <n v="150"/>
    <n v="150"/>
    <n v="0"/>
    <n v="1"/>
    <n v="150"/>
    <m/>
    <x v="2"/>
    <s v="Vêtement"/>
  </r>
  <r>
    <x v="2"/>
    <x v="1"/>
    <s v="Vêtement-Chaussures-Nike Mercurial"/>
    <n v="120"/>
    <n v="120"/>
    <n v="0"/>
    <n v="1"/>
    <n v="120"/>
    <m/>
    <x v="2"/>
    <s v="Vêtement"/>
  </r>
  <r>
    <x v="2"/>
    <x v="0"/>
    <s v="Vêtement-Chaussures-Nike Magista"/>
    <n v="150"/>
    <n v="150"/>
    <n v="0"/>
    <n v="1"/>
    <n v="150"/>
    <m/>
    <x v="2"/>
    <s v="Vêtement"/>
  </r>
  <r>
    <x v="2"/>
    <x v="0"/>
    <s v="Vêtement-Chaussures-Mizuno Wave Sayonara"/>
    <n v="120"/>
    <n v="110"/>
    <n v="8.3333333333333329E-2"/>
    <n v="1"/>
    <n v="110"/>
    <m/>
    <x v="3"/>
    <s v="Vêtement"/>
  </r>
  <r>
    <x v="2"/>
    <x v="1"/>
    <s v="Vêtement-Chaussures-Asics GT-2000"/>
    <n v="100"/>
    <n v="100"/>
    <n v="0"/>
    <n v="1"/>
    <n v="100"/>
    <m/>
    <x v="3"/>
    <s v="Vêtement"/>
  </r>
  <r>
    <x v="2"/>
    <x v="0"/>
    <s v="Vêtement-Chaussures-Adidas Predator"/>
    <n v="220"/>
    <n v="220"/>
    <n v="0"/>
    <n v="1"/>
    <n v="220"/>
    <m/>
    <x v="2"/>
    <s v="Vêtement"/>
  </r>
  <r>
    <x v="2"/>
    <x v="0"/>
    <s v="Vêtement-Chaussures-Adidas F10"/>
    <n v="60"/>
    <n v="55"/>
    <n v="8.3333333333333329E-2"/>
    <n v="1"/>
    <n v="55"/>
    <m/>
    <x v="2"/>
    <s v="Vêtement"/>
  </r>
  <r>
    <x v="2"/>
    <x v="0"/>
    <s v="Vêtement-Ballon-Adidas F50"/>
    <n v="25"/>
    <n v="25"/>
    <n v="0"/>
    <n v="1"/>
    <n v="25"/>
    <m/>
    <x v="2"/>
    <s v="Vêtement"/>
  </r>
  <r>
    <x v="2"/>
    <x v="1"/>
    <s v="Prestation-Réparation vélo- "/>
    <n v="25"/>
    <n v="25"/>
    <n v="0"/>
    <n v="1"/>
    <n v="25"/>
    <m/>
    <x v="4"/>
    <s v="Prestation"/>
  </r>
  <r>
    <x v="2"/>
    <x v="1"/>
    <s v="Equipement-Vélo-Orbea Kids"/>
    <n v="250"/>
    <n v="250"/>
    <n v="0"/>
    <n v="1"/>
    <n v="250"/>
    <m/>
    <x v="4"/>
    <s v="Equipement"/>
  </r>
  <r>
    <x v="2"/>
    <x v="0"/>
    <s v="Equipement-Raquette-Babolat "/>
    <n v="80"/>
    <n v="75"/>
    <n v="6.25E-2"/>
    <n v="1"/>
    <n v="75"/>
    <m/>
    <x v="5"/>
    <s v="Equipement"/>
  </r>
  <r>
    <x v="2"/>
    <x v="0"/>
    <s v="Equipement-Gourde-S+ "/>
    <n v="5"/>
    <n v="5"/>
    <n v="0"/>
    <n v="1"/>
    <n v="5"/>
    <m/>
    <x v="6"/>
    <s v="Equipement"/>
  </r>
  <r>
    <x v="2"/>
    <x v="0"/>
    <s v="Equipement-Cordage- "/>
    <n v="25"/>
    <n v="25"/>
    <n v="0"/>
    <n v="1"/>
    <n v="25"/>
    <m/>
    <x v="6"/>
    <s v="Equipement"/>
  </r>
  <r>
    <x v="3"/>
    <x v="2"/>
    <m/>
    <m/>
    <m/>
    <m/>
    <m/>
    <m/>
    <m/>
    <x v="7"/>
    <m/>
  </r>
  <r>
    <x v="3"/>
    <x v="2"/>
    <m/>
    <m/>
    <m/>
    <m/>
    <m/>
    <m/>
    <m/>
    <x v="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showError="1" updatedVersion="3" minRefreshableVersion="3" showCalcMbrs="0" itemPrintTitles="1" createdVersion="3" indent="0" compact="0" compactData="0" gridDropZones="1" multipleFieldFilters="0" chartFormat="1">
  <location ref="A6:E9" firstHeaderRow="1" firstDataRow="2" firstDataCol="2" rowPageCount="1" colPageCount="1"/>
  <pivotFields count="12"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>
      <items count="4">
        <item x="0"/>
        <item x="2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axis="axisPage" compact="0" outline="0" showAll="0">
      <items count="9">
        <item x="4"/>
        <item x="2"/>
        <item x="6"/>
        <item x="3"/>
        <item x="0"/>
        <item x="5"/>
        <item x="1"/>
        <item x="7"/>
        <item t="default"/>
      </items>
    </pivotField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11"/>
    <field x="0"/>
  </rowFields>
  <rowItems count="2">
    <i>
      <x v="1"/>
      <x v="1"/>
    </i>
    <i t="grand">
      <x/>
    </i>
  </rowItems>
  <colFields count="1">
    <field x="1"/>
  </colFields>
  <colItems count="3">
    <i>
      <x/>
    </i>
    <i>
      <x v="2"/>
    </i>
    <i t="grand">
      <x/>
    </i>
  </colItems>
  <pageFields count="1">
    <pageField fld="9" hier="-1"/>
  </pageFields>
  <dataFields count="1">
    <dataField name="Montants" fld="7" baseField="0" baseItem="0" numFmtId="171"/>
  </dataFields>
  <formats count="9">
    <format dxfId="49">
      <pivotArea field="0" type="button" dataOnly="0" labelOnly="1" outline="0" axis="axisRow" fieldPosition="1"/>
    </format>
    <format dxfId="48">
      <pivotArea dataOnly="0" labelOnly="1" outline="0" fieldPosition="0">
        <references count="1">
          <reference field="9" count="0"/>
        </references>
      </pivotArea>
    </format>
    <format dxfId="47">
      <pivotArea dataOnly="0" labelOnly="1" grandCol="1" outline="0" fieldPosition="0"/>
    </format>
    <format dxfId="46">
      <pivotArea field="0" type="button" dataOnly="0" labelOnly="1" outline="0" axis="axisRow" fieldPosition="1"/>
    </format>
    <format dxfId="45">
      <pivotArea dataOnly="0" labelOnly="1" outline="0" fieldPosition="0">
        <references count="1">
          <reference field="9" count="0"/>
        </references>
      </pivotArea>
    </format>
    <format dxfId="44">
      <pivotArea dataOnly="0" labelOnly="1" grandCol="1" outline="0" fieldPosition="0"/>
    </format>
    <format dxfId="43">
      <pivotArea dataOnly="0" labelOnly="1" outline="0" fieldPosition="0">
        <references count="1">
          <reference field="9" count="0"/>
        </references>
      </pivotArea>
    </format>
    <format dxfId="2">
      <pivotArea dataOnly="0" labelOnly="1" outline="0" fieldPosition="0">
        <references count="1">
          <reference field="1" count="2">
            <x v="0"/>
            <x v="2"/>
          </reference>
        </references>
      </pivotArea>
    </format>
    <format dxfId="1">
      <pivotArea dataOnly="0" labelOnly="1" grandCol="1" outline="0" fieldPosition="0"/>
    </format>
  </formats>
  <chartFormats count="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2"/>
  <sheetViews>
    <sheetView tabSelected="1" workbookViewId="0">
      <pane ySplit="2" topLeftCell="A12" activePane="bottomLeft" state="frozen"/>
      <selection pane="bottomLeft" activeCell="B2" sqref="B2"/>
    </sheetView>
  </sheetViews>
  <sheetFormatPr baseColWidth="10" defaultRowHeight="15"/>
  <cols>
    <col min="1" max="1" width="37" style="8" customWidth="1"/>
    <col min="2" max="2" width="119.5703125" style="8" customWidth="1"/>
    <col min="3" max="3" width="42.140625" style="8" customWidth="1"/>
    <col min="4" max="16384" width="11.42578125" style="8"/>
  </cols>
  <sheetData>
    <row r="1" spans="2:2" ht="86.25" customHeight="1">
      <c r="B1" s="15" t="str">
        <f>Raison_Sociale&amp;" - "&amp;Titre&amp;" "&amp;Année_Réf</f>
        <v>Ma Boutique - Registre des ventes 2016</v>
      </c>
    </row>
    <row r="2" spans="2:2" ht="378" customHeight="1"/>
  </sheetData>
  <sheetProtection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53"/>
  <sheetViews>
    <sheetView workbookViewId="0">
      <pane ySplit="4" topLeftCell="A28" activePane="bottomLeft" state="frozen"/>
      <selection pane="bottomLeft" activeCell="B50" sqref="B50"/>
    </sheetView>
  </sheetViews>
  <sheetFormatPr baseColWidth="10" defaultColWidth="17.42578125" defaultRowHeight="15"/>
  <cols>
    <col min="1" max="1" width="26.42578125" style="1" customWidth="1"/>
    <col min="2" max="2" width="9" style="29" customWidth="1"/>
    <col min="3" max="3" width="43.42578125" style="1" customWidth="1"/>
    <col min="4" max="4" width="14.85546875" style="1" customWidth="1"/>
    <col min="5" max="5" width="14.85546875" style="2" customWidth="1"/>
    <col min="6" max="7" width="13.28515625" style="19" customWidth="1"/>
    <col min="8" max="8" width="13.7109375" style="19" customWidth="1"/>
    <col min="9" max="9" width="32.85546875" style="1" customWidth="1"/>
    <col min="10" max="11" width="13.28515625" style="2" customWidth="1"/>
    <col min="12" max="12" width="17.85546875" style="1" customWidth="1"/>
    <col min="13" max="13" width="41.140625" style="1" customWidth="1"/>
    <col min="14" max="16384" width="17.42578125" style="1"/>
  </cols>
  <sheetData>
    <row r="1" spans="1:11" ht="23.25">
      <c r="A1" s="14" t="str">
        <f>Raison_Sociale&amp;" - "&amp;Titre&amp;" - Registre des ventes"</f>
        <v>Ma Boutique - Registre des ventes - Registre des ventes</v>
      </c>
    </row>
    <row r="2" spans="1:11">
      <c r="C2" s="30">
        <f>SUBTOTAL(3,A4:A53)-1</f>
        <v>48</v>
      </c>
      <c r="F2" s="35">
        <f>SUBTOTAL(1,F4:F53)</f>
        <v>2.1267361111111115E-2</v>
      </c>
      <c r="H2" s="17">
        <f>SUBTOTAL(9,H4:H53)</f>
        <v>4335</v>
      </c>
    </row>
    <row r="3" spans="1:11" ht="46.5" customHeight="1"/>
    <row r="4" spans="1:11" s="6" customFormat="1" ht="30">
      <c r="A4" s="26" t="s">
        <v>54</v>
      </c>
      <c r="B4" s="24" t="s">
        <v>55</v>
      </c>
      <c r="C4" s="9" t="s">
        <v>56</v>
      </c>
      <c r="D4" s="16" t="s">
        <v>15</v>
      </c>
      <c r="E4" s="10" t="s">
        <v>57</v>
      </c>
      <c r="F4" s="16" t="s">
        <v>58</v>
      </c>
      <c r="G4" s="31" t="s">
        <v>59</v>
      </c>
      <c r="H4" s="16" t="s">
        <v>60</v>
      </c>
      <c r="I4" s="9" t="s">
        <v>34</v>
      </c>
      <c r="J4" s="16" t="s">
        <v>17</v>
      </c>
      <c r="K4" s="16" t="s">
        <v>18</v>
      </c>
    </row>
    <row r="5" spans="1:11">
      <c r="A5" s="27">
        <v>42383</v>
      </c>
      <c r="B5" s="29">
        <v>1</v>
      </c>
      <c r="C5" s="1" t="s">
        <v>65</v>
      </c>
      <c r="D5" s="18">
        <f>IFERROR(VLOOKUP(C5,Articles,5,FALSE),"")</f>
        <v>45</v>
      </c>
      <c r="E5" s="2">
        <v>40</v>
      </c>
      <c r="F5" s="34">
        <f>IFERROR((D5-E5)/D5,"")</f>
        <v>0.1111111111111111</v>
      </c>
      <c r="G5" s="32">
        <v>1</v>
      </c>
      <c r="H5" s="18">
        <f>E5*G5</f>
        <v>40</v>
      </c>
      <c r="I5" s="13"/>
      <c r="J5" s="18" t="s">
        <v>48</v>
      </c>
      <c r="K5" s="18" t="s">
        <v>24</v>
      </c>
    </row>
    <row r="6" spans="1:11">
      <c r="A6" s="27">
        <v>42383</v>
      </c>
      <c r="B6" s="29">
        <v>2</v>
      </c>
      <c r="C6" s="1" t="s">
        <v>66</v>
      </c>
      <c r="D6" s="18">
        <f>IFERROR(VLOOKUP(C6,Articles,5,FALSE),"")</f>
        <v>15</v>
      </c>
      <c r="E6" s="2">
        <v>15</v>
      </c>
      <c r="F6" s="34">
        <f t="shared" ref="F6:F20" si="0">IFERROR((D6-E6)/D6,"")</f>
        <v>0</v>
      </c>
      <c r="G6" s="32">
        <v>1</v>
      </c>
      <c r="H6" s="18">
        <f t="shared" ref="H6:H20" si="1">E6*G6</f>
        <v>15</v>
      </c>
      <c r="I6" s="13"/>
      <c r="J6" s="18" t="s">
        <v>45</v>
      </c>
      <c r="K6" s="18" t="s">
        <v>24</v>
      </c>
    </row>
    <row r="7" spans="1:11">
      <c r="A7" s="27">
        <v>42383</v>
      </c>
      <c r="B7" s="29">
        <v>1</v>
      </c>
      <c r="C7" s="1" t="s">
        <v>67</v>
      </c>
      <c r="D7" s="18">
        <f>IFERROR(VLOOKUP(C7,Articles,5,FALSE),"")</f>
        <v>80</v>
      </c>
      <c r="E7" s="2">
        <v>80</v>
      </c>
      <c r="F7" s="34">
        <f t="shared" si="0"/>
        <v>0</v>
      </c>
      <c r="G7" s="32">
        <v>1</v>
      </c>
      <c r="H7" s="18">
        <f t="shared" si="1"/>
        <v>80</v>
      </c>
      <c r="I7" s="13"/>
      <c r="J7" s="18" t="s">
        <v>41</v>
      </c>
      <c r="K7" s="18" t="s">
        <v>24</v>
      </c>
    </row>
    <row r="8" spans="1:11">
      <c r="A8" s="27">
        <v>42383</v>
      </c>
      <c r="B8" s="29">
        <v>1</v>
      </c>
      <c r="C8" s="1" t="s">
        <v>68</v>
      </c>
      <c r="D8" s="18">
        <f>IFERROR(VLOOKUP(C8,Articles,5,FALSE),"")</f>
        <v>150</v>
      </c>
      <c r="E8" s="2">
        <v>150</v>
      </c>
      <c r="F8" s="34">
        <f t="shared" si="0"/>
        <v>0</v>
      </c>
      <c r="G8" s="32">
        <v>1</v>
      </c>
      <c r="H8" s="18">
        <f t="shared" si="1"/>
        <v>150</v>
      </c>
      <c r="I8" s="13"/>
      <c r="J8" s="18" t="s">
        <v>41</v>
      </c>
      <c r="K8" s="18" t="s">
        <v>24</v>
      </c>
    </row>
    <row r="9" spans="1:11">
      <c r="A9" s="27">
        <v>42383</v>
      </c>
      <c r="B9" s="29">
        <v>1</v>
      </c>
      <c r="C9" s="1" t="s">
        <v>63</v>
      </c>
      <c r="D9" s="18">
        <f>IFERROR(VLOOKUP(C9,Articles,5,FALSE),"")</f>
        <v>120</v>
      </c>
      <c r="E9" s="2">
        <v>120</v>
      </c>
      <c r="F9" s="34">
        <f t="shared" si="0"/>
        <v>0</v>
      </c>
      <c r="G9" s="32">
        <v>1</v>
      </c>
      <c r="H9" s="18">
        <f t="shared" si="1"/>
        <v>120</v>
      </c>
      <c r="I9" s="13"/>
      <c r="J9" s="18" t="s">
        <v>41</v>
      </c>
      <c r="K9" s="18" t="s">
        <v>24</v>
      </c>
    </row>
    <row r="10" spans="1:11">
      <c r="A10" s="27">
        <v>42383</v>
      </c>
      <c r="B10" s="29">
        <v>1</v>
      </c>
      <c r="C10" s="1" t="s">
        <v>64</v>
      </c>
      <c r="D10" s="18">
        <f>IFERROR(VLOOKUP(C10,Articles,5,FALSE),"")</f>
        <v>150</v>
      </c>
      <c r="E10" s="2">
        <v>150</v>
      </c>
      <c r="F10" s="34">
        <f t="shared" si="0"/>
        <v>0</v>
      </c>
      <c r="G10" s="32">
        <v>1</v>
      </c>
      <c r="H10" s="18">
        <f t="shared" si="1"/>
        <v>150</v>
      </c>
      <c r="I10" s="13"/>
      <c r="J10" s="18" t="s">
        <v>41</v>
      </c>
      <c r="K10" s="18" t="s">
        <v>24</v>
      </c>
    </row>
    <row r="11" spans="1:11">
      <c r="A11" s="27">
        <v>42383</v>
      </c>
      <c r="B11" s="29">
        <v>2</v>
      </c>
      <c r="C11" s="1" t="s">
        <v>69</v>
      </c>
      <c r="D11" s="18">
        <f>IFERROR(VLOOKUP(C11,Articles,5,FALSE),"")</f>
        <v>120</v>
      </c>
      <c r="E11" s="2">
        <v>110</v>
      </c>
      <c r="F11" s="34">
        <f t="shared" si="0"/>
        <v>8.3333333333333329E-2</v>
      </c>
      <c r="G11" s="32">
        <v>1</v>
      </c>
      <c r="H11" s="18">
        <f t="shared" si="1"/>
        <v>110</v>
      </c>
      <c r="I11" s="13"/>
      <c r="J11" s="18" t="s">
        <v>42</v>
      </c>
      <c r="K11" s="18" t="s">
        <v>24</v>
      </c>
    </row>
    <row r="12" spans="1:11">
      <c r="A12" s="27">
        <v>42383</v>
      </c>
      <c r="B12" s="29">
        <v>1</v>
      </c>
      <c r="C12" s="1" t="s">
        <v>70</v>
      </c>
      <c r="D12" s="18">
        <f>IFERROR(VLOOKUP(C12,Articles,5,FALSE),"")</f>
        <v>100</v>
      </c>
      <c r="E12" s="2">
        <v>100</v>
      </c>
      <c r="F12" s="34">
        <f t="shared" si="0"/>
        <v>0</v>
      </c>
      <c r="G12" s="32">
        <v>1</v>
      </c>
      <c r="H12" s="18">
        <f t="shared" si="1"/>
        <v>100</v>
      </c>
      <c r="I12" s="13"/>
      <c r="J12" s="18" t="s">
        <v>42</v>
      </c>
      <c r="K12" s="18" t="s">
        <v>24</v>
      </c>
    </row>
    <row r="13" spans="1:11">
      <c r="A13" s="27">
        <v>42383</v>
      </c>
      <c r="B13" s="29">
        <v>2</v>
      </c>
      <c r="C13" s="1" t="s">
        <v>71</v>
      </c>
      <c r="D13" s="18">
        <f>IFERROR(VLOOKUP(C13,Articles,5,FALSE),"")</f>
        <v>220</v>
      </c>
      <c r="E13" s="2">
        <v>220</v>
      </c>
      <c r="F13" s="34">
        <f t="shared" si="0"/>
        <v>0</v>
      </c>
      <c r="G13" s="32">
        <v>1</v>
      </c>
      <c r="H13" s="18">
        <f t="shared" si="1"/>
        <v>220</v>
      </c>
      <c r="I13" s="13"/>
      <c r="J13" s="18" t="s">
        <v>41</v>
      </c>
      <c r="K13" s="18" t="s">
        <v>24</v>
      </c>
    </row>
    <row r="14" spans="1:11">
      <c r="A14" s="27">
        <v>42383</v>
      </c>
      <c r="B14" s="29">
        <v>1</v>
      </c>
      <c r="C14" s="1" t="s">
        <v>61</v>
      </c>
      <c r="D14" s="18">
        <f>IFERROR(VLOOKUP(C14,Articles,5,FALSE),"")</f>
        <v>60</v>
      </c>
      <c r="E14" s="2">
        <v>55</v>
      </c>
      <c r="F14" s="34">
        <f t="shared" si="0"/>
        <v>8.3333333333333329E-2</v>
      </c>
      <c r="G14" s="32">
        <v>1</v>
      </c>
      <c r="H14" s="18">
        <f t="shared" si="1"/>
        <v>55</v>
      </c>
      <c r="I14" s="13"/>
      <c r="J14" s="18" t="s">
        <v>41</v>
      </c>
      <c r="K14" s="18" t="s">
        <v>24</v>
      </c>
    </row>
    <row r="15" spans="1:11">
      <c r="A15" s="27">
        <v>42383</v>
      </c>
      <c r="B15" s="29">
        <v>2</v>
      </c>
      <c r="C15" s="1" t="s">
        <v>62</v>
      </c>
      <c r="D15" s="18">
        <f>IFERROR(VLOOKUP(C15,Articles,5,FALSE),"")</f>
        <v>25</v>
      </c>
      <c r="E15" s="2">
        <v>25</v>
      </c>
      <c r="F15" s="34">
        <f t="shared" si="0"/>
        <v>0</v>
      </c>
      <c r="G15" s="32">
        <v>1</v>
      </c>
      <c r="H15" s="18">
        <f t="shared" si="1"/>
        <v>25</v>
      </c>
      <c r="I15" s="13"/>
      <c r="J15" s="18" t="s">
        <v>41</v>
      </c>
      <c r="K15" s="18" t="s">
        <v>24</v>
      </c>
    </row>
    <row r="16" spans="1:11">
      <c r="A16" s="27">
        <v>42383</v>
      </c>
      <c r="B16" s="29">
        <v>2</v>
      </c>
      <c r="C16" s="1" t="s">
        <v>72</v>
      </c>
      <c r="D16" s="18">
        <f>IFERROR(VLOOKUP(C16,Articles,5,FALSE),"")</f>
        <v>25</v>
      </c>
      <c r="E16" s="2">
        <v>25</v>
      </c>
      <c r="F16" s="34">
        <f t="shared" si="0"/>
        <v>0</v>
      </c>
      <c r="G16" s="32">
        <v>1</v>
      </c>
      <c r="H16" s="18">
        <f t="shared" si="1"/>
        <v>25</v>
      </c>
      <c r="I16" s="13"/>
      <c r="J16" s="18" t="s">
        <v>47</v>
      </c>
      <c r="K16" s="18" t="s">
        <v>25</v>
      </c>
    </row>
    <row r="17" spans="1:11">
      <c r="A17" s="27">
        <v>42383</v>
      </c>
      <c r="B17" s="29">
        <v>2</v>
      </c>
      <c r="C17" s="1" t="s">
        <v>73</v>
      </c>
      <c r="D17" s="18">
        <f>IFERROR(VLOOKUP(C17,Articles,5,FALSE),"")</f>
        <v>250</v>
      </c>
      <c r="E17" s="2">
        <v>250</v>
      </c>
      <c r="F17" s="34">
        <f t="shared" si="0"/>
        <v>0</v>
      </c>
      <c r="G17" s="32">
        <v>1</v>
      </c>
      <c r="H17" s="18">
        <f t="shared" si="1"/>
        <v>250</v>
      </c>
      <c r="I17" s="13"/>
      <c r="J17" s="18" t="s">
        <v>47</v>
      </c>
      <c r="K17" s="18" t="s">
        <v>26</v>
      </c>
    </row>
    <row r="18" spans="1:11">
      <c r="A18" s="27">
        <v>42383</v>
      </c>
      <c r="B18" s="29">
        <v>1</v>
      </c>
      <c r="C18" s="1" t="s">
        <v>74</v>
      </c>
      <c r="D18" s="18">
        <f>IFERROR(VLOOKUP(C18,Articles,5,FALSE),"")</f>
        <v>80</v>
      </c>
      <c r="E18" s="2">
        <v>75</v>
      </c>
      <c r="F18" s="34">
        <f t="shared" si="0"/>
        <v>6.25E-2</v>
      </c>
      <c r="G18" s="32">
        <v>1</v>
      </c>
      <c r="H18" s="18">
        <f t="shared" si="1"/>
        <v>75</v>
      </c>
      <c r="I18" s="13"/>
      <c r="J18" s="18" t="s">
        <v>46</v>
      </c>
      <c r="K18" s="18" t="s">
        <v>26</v>
      </c>
    </row>
    <row r="19" spans="1:11">
      <c r="A19" s="27">
        <v>42383</v>
      </c>
      <c r="B19" s="29">
        <v>1</v>
      </c>
      <c r="C19" s="1" t="s">
        <v>75</v>
      </c>
      <c r="D19" s="18">
        <f>IFERROR(VLOOKUP(C19,Articles,5,FALSE),"")</f>
        <v>5</v>
      </c>
      <c r="E19" s="2">
        <v>5</v>
      </c>
      <c r="F19" s="34">
        <f t="shared" si="0"/>
        <v>0</v>
      </c>
      <c r="G19" s="32">
        <v>1</v>
      </c>
      <c r="H19" s="18">
        <f t="shared" si="1"/>
        <v>5</v>
      </c>
      <c r="I19" s="13"/>
      <c r="J19" s="18" t="s">
        <v>44</v>
      </c>
      <c r="K19" s="18" t="s">
        <v>26</v>
      </c>
    </row>
    <row r="20" spans="1:11">
      <c r="A20" s="27">
        <v>42383</v>
      </c>
      <c r="B20" s="29">
        <v>1</v>
      </c>
      <c r="C20" s="1" t="s">
        <v>76</v>
      </c>
      <c r="D20" s="18">
        <f>IFERROR(VLOOKUP(C20,Articles,5,FALSE),"")</f>
        <v>25</v>
      </c>
      <c r="E20" s="2">
        <v>25</v>
      </c>
      <c r="F20" s="34">
        <f t="shared" si="0"/>
        <v>0</v>
      </c>
      <c r="G20" s="32">
        <v>1</v>
      </c>
      <c r="H20" s="18">
        <f t="shared" si="1"/>
        <v>25</v>
      </c>
      <c r="I20" s="13"/>
      <c r="J20" s="18" t="s">
        <v>44</v>
      </c>
      <c r="K20" s="18" t="s">
        <v>26</v>
      </c>
    </row>
    <row r="21" spans="1:11">
      <c r="A21" s="27">
        <v>42384</v>
      </c>
      <c r="B21" s="29">
        <v>1</v>
      </c>
      <c r="C21" s="1" t="s">
        <v>65</v>
      </c>
      <c r="D21" s="18">
        <f>IFERROR(VLOOKUP(C21,Articles,5,FALSE),"")</f>
        <v>45</v>
      </c>
      <c r="E21" s="2">
        <v>40</v>
      </c>
      <c r="F21" s="34">
        <f>IFERROR((D21-E21)/D21,"")</f>
        <v>0.1111111111111111</v>
      </c>
      <c r="G21" s="32">
        <v>1</v>
      </c>
      <c r="H21" s="18">
        <f>E21*G21</f>
        <v>40</v>
      </c>
      <c r="I21" s="13"/>
      <c r="J21" s="18" t="s">
        <v>48</v>
      </c>
      <c r="K21" s="18" t="s">
        <v>24</v>
      </c>
    </row>
    <row r="22" spans="1:11">
      <c r="A22" s="27">
        <v>42384</v>
      </c>
      <c r="B22" s="29">
        <v>1</v>
      </c>
      <c r="C22" s="1" t="s">
        <v>66</v>
      </c>
      <c r="D22" s="18">
        <f>IFERROR(VLOOKUP(C22,Articles,5,FALSE),"")</f>
        <v>15</v>
      </c>
      <c r="E22" s="2">
        <v>15</v>
      </c>
      <c r="F22" s="34">
        <f t="shared" ref="F22:F36" si="2">IFERROR((D22-E22)/D22,"")</f>
        <v>0</v>
      </c>
      <c r="G22" s="32">
        <v>1</v>
      </c>
      <c r="H22" s="18">
        <f t="shared" ref="H22:H36" si="3">E22*G22</f>
        <v>15</v>
      </c>
      <c r="I22" s="13"/>
      <c r="J22" s="18" t="s">
        <v>45</v>
      </c>
      <c r="K22" s="18" t="s">
        <v>24</v>
      </c>
    </row>
    <row r="23" spans="1:11">
      <c r="A23" s="27">
        <v>42384</v>
      </c>
      <c r="B23" s="29">
        <v>1</v>
      </c>
      <c r="C23" s="1" t="s">
        <v>67</v>
      </c>
      <c r="D23" s="18">
        <f>IFERROR(VLOOKUP(C23,Articles,5,FALSE),"")</f>
        <v>80</v>
      </c>
      <c r="E23" s="2">
        <v>80</v>
      </c>
      <c r="F23" s="34">
        <f t="shared" si="2"/>
        <v>0</v>
      </c>
      <c r="G23" s="32">
        <v>1</v>
      </c>
      <c r="H23" s="18">
        <f t="shared" si="3"/>
        <v>80</v>
      </c>
      <c r="I23" s="13"/>
      <c r="J23" s="18" t="s">
        <v>41</v>
      </c>
      <c r="K23" s="18" t="s">
        <v>24</v>
      </c>
    </row>
    <row r="24" spans="1:11">
      <c r="A24" s="27">
        <v>42384</v>
      </c>
      <c r="B24" s="29">
        <v>1</v>
      </c>
      <c r="C24" s="1" t="s">
        <v>68</v>
      </c>
      <c r="D24" s="18">
        <f>IFERROR(VLOOKUP(C24,Articles,5,FALSE),"")</f>
        <v>150</v>
      </c>
      <c r="E24" s="2">
        <v>150</v>
      </c>
      <c r="F24" s="34">
        <f t="shared" si="2"/>
        <v>0</v>
      </c>
      <c r="G24" s="32">
        <v>1</v>
      </c>
      <c r="H24" s="18">
        <f t="shared" si="3"/>
        <v>150</v>
      </c>
      <c r="I24" s="13"/>
      <c r="J24" s="18" t="s">
        <v>41</v>
      </c>
      <c r="K24" s="18" t="s">
        <v>24</v>
      </c>
    </row>
    <row r="25" spans="1:11">
      <c r="A25" s="27">
        <v>42384</v>
      </c>
      <c r="B25" s="29">
        <v>2</v>
      </c>
      <c r="C25" s="1" t="s">
        <v>63</v>
      </c>
      <c r="D25" s="18">
        <f>IFERROR(VLOOKUP(C25,Articles,5,FALSE),"")</f>
        <v>120</v>
      </c>
      <c r="E25" s="2">
        <v>120</v>
      </c>
      <c r="F25" s="34">
        <f t="shared" si="2"/>
        <v>0</v>
      </c>
      <c r="G25" s="32">
        <v>1</v>
      </c>
      <c r="H25" s="18">
        <f t="shared" si="3"/>
        <v>120</v>
      </c>
      <c r="I25" s="13"/>
      <c r="J25" s="18" t="s">
        <v>41</v>
      </c>
      <c r="K25" s="18" t="s">
        <v>24</v>
      </c>
    </row>
    <row r="26" spans="1:11">
      <c r="A26" s="27">
        <v>42384</v>
      </c>
      <c r="B26" s="29">
        <v>1</v>
      </c>
      <c r="C26" s="1" t="s">
        <v>64</v>
      </c>
      <c r="D26" s="18">
        <f>IFERROR(VLOOKUP(C26,Articles,5,FALSE),"")</f>
        <v>150</v>
      </c>
      <c r="E26" s="2">
        <v>150</v>
      </c>
      <c r="F26" s="34">
        <f t="shared" si="2"/>
        <v>0</v>
      </c>
      <c r="G26" s="32">
        <v>1</v>
      </c>
      <c r="H26" s="18">
        <f t="shared" si="3"/>
        <v>150</v>
      </c>
      <c r="I26" s="13"/>
      <c r="J26" s="18" t="s">
        <v>41</v>
      </c>
      <c r="K26" s="18" t="s">
        <v>24</v>
      </c>
    </row>
    <row r="27" spans="1:11">
      <c r="A27" s="27">
        <v>42384</v>
      </c>
      <c r="B27" s="29">
        <v>2</v>
      </c>
      <c r="C27" s="1" t="s">
        <v>69</v>
      </c>
      <c r="D27" s="18">
        <f>IFERROR(VLOOKUP(C27,Articles,5,FALSE),"")</f>
        <v>120</v>
      </c>
      <c r="E27" s="2">
        <v>110</v>
      </c>
      <c r="F27" s="34">
        <f t="shared" si="2"/>
        <v>8.3333333333333329E-2</v>
      </c>
      <c r="G27" s="32">
        <v>1</v>
      </c>
      <c r="H27" s="18">
        <f t="shared" si="3"/>
        <v>110</v>
      </c>
      <c r="I27" s="13"/>
      <c r="J27" s="18" t="s">
        <v>42</v>
      </c>
      <c r="K27" s="18" t="s">
        <v>24</v>
      </c>
    </row>
    <row r="28" spans="1:11">
      <c r="A28" s="27">
        <v>42384</v>
      </c>
      <c r="B28" s="29">
        <v>1</v>
      </c>
      <c r="C28" s="1" t="s">
        <v>70</v>
      </c>
      <c r="D28" s="18">
        <f>IFERROR(VLOOKUP(C28,Articles,5,FALSE),"")</f>
        <v>100</v>
      </c>
      <c r="E28" s="2">
        <v>100</v>
      </c>
      <c r="F28" s="34">
        <f t="shared" si="2"/>
        <v>0</v>
      </c>
      <c r="G28" s="32">
        <v>1</v>
      </c>
      <c r="H28" s="18">
        <f t="shared" si="3"/>
        <v>100</v>
      </c>
      <c r="I28" s="13"/>
      <c r="J28" s="18" t="s">
        <v>42</v>
      </c>
      <c r="K28" s="18" t="s">
        <v>24</v>
      </c>
    </row>
    <row r="29" spans="1:11">
      <c r="A29" s="27">
        <v>42384</v>
      </c>
      <c r="B29" s="29">
        <v>1</v>
      </c>
      <c r="C29" s="1" t="s">
        <v>71</v>
      </c>
      <c r="D29" s="18">
        <f>IFERROR(VLOOKUP(C29,Articles,5,FALSE),"")</f>
        <v>220</v>
      </c>
      <c r="E29" s="2">
        <v>220</v>
      </c>
      <c r="F29" s="34">
        <f t="shared" si="2"/>
        <v>0</v>
      </c>
      <c r="G29" s="32">
        <v>1</v>
      </c>
      <c r="H29" s="18">
        <f t="shared" si="3"/>
        <v>220</v>
      </c>
      <c r="I29" s="13"/>
      <c r="J29" s="18" t="s">
        <v>41</v>
      </c>
      <c r="K29" s="18" t="s">
        <v>24</v>
      </c>
    </row>
    <row r="30" spans="1:11">
      <c r="A30" s="27">
        <v>42384</v>
      </c>
      <c r="B30" s="29">
        <v>2</v>
      </c>
      <c r="C30" s="1" t="s">
        <v>61</v>
      </c>
      <c r="D30" s="18">
        <f>IFERROR(VLOOKUP(C30,Articles,5,FALSE),"")</f>
        <v>60</v>
      </c>
      <c r="E30" s="2">
        <v>55</v>
      </c>
      <c r="F30" s="34">
        <f t="shared" si="2"/>
        <v>8.3333333333333329E-2</v>
      </c>
      <c r="G30" s="32">
        <v>1</v>
      </c>
      <c r="H30" s="18">
        <f t="shared" si="3"/>
        <v>55</v>
      </c>
      <c r="I30" s="13"/>
      <c r="J30" s="18" t="s">
        <v>41</v>
      </c>
      <c r="K30" s="18" t="s">
        <v>24</v>
      </c>
    </row>
    <row r="31" spans="1:11">
      <c r="A31" s="27">
        <v>42384</v>
      </c>
      <c r="B31" s="29">
        <v>2</v>
      </c>
      <c r="C31" s="1" t="s">
        <v>62</v>
      </c>
      <c r="D31" s="18">
        <f>IFERROR(VLOOKUP(C31,Articles,5,FALSE),"")</f>
        <v>25</v>
      </c>
      <c r="E31" s="2">
        <v>25</v>
      </c>
      <c r="F31" s="34">
        <f t="shared" si="2"/>
        <v>0</v>
      </c>
      <c r="G31" s="32">
        <v>1</v>
      </c>
      <c r="H31" s="18">
        <f t="shared" si="3"/>
        <v>25</v>
      </c>
      <c r="I31" s="13"/>
      <c r="J31" s="18" t="s">
        <v>41</v>
      </c>
      <c r="K31" s="18" t="s">
        <v>24</v>
      </c>
    </row>
    <row r="32" spans="1:11">
      <c r="A32" s="27">
        <v>42384</v>
      </c>
      <c r="B32" s="29">
        <v>2</v>
      </c>
      <c r="C32" s="1" t="s">
        <v>72</v>
      </c>
      <c r="D32" s="18">
        <f>IFERROR(VLOOKUP(C32,Articles,5,FALSE),"")</f>
        <v>25</v>
      </c>
      <c r="E32" s="2">
        <v>25</v>
      </c>
      <c r="F32" s="34">
        <f t="shared" si="2"/>
        <v>0</v>
      </c>
      <c r="G32" s="32">
        <v>1</v>
      </c>
      <c r="H32" s="18">
        <f t="shared" si="3"/>
        <v>25</v>
      </c>
      <c r="I32" s="13"/>
      <c r="J32" s="18" t="s">
        <v>47</v>
      </c>
      <c r="K32" s="18" t="s">
        <v>25</v>
      </c>
    </row>
    <row r="33" spans="1:11">
      <c r="A33" s="27">
        <v>42384</v>
      </c>
      <c r="B33" s="29">
        <v>1</v>
      </c>
      <c r="C33" s="1" t="s">
        <v>73</v>
      </c>
      <c r="D33" s="18">
        <f>IFERROR(VLOOKUP(C33,Articles,5,FALSE),"")</f>
        <v>250</v>
      </c>
      <c r="E33" s="2">
        <v>250</v>
      </c>
      <c r="F33" s="34">
        <f t="shared" si="2"/>
        <v>0</v>
      </c>
      <c r="G33" s="32">
        <v>1</v>
      </c>
      <c r="H33" s="18">
        <f t="shared" si="3"/>
        <v>250</v>
      </c>
      <c r="I33" s="13"/>
      <c r="J33" s="18" t="s">
        <v>47</v>
      </c>
      <c r="K33" s="18" t="s">
        <v>26</v>
      </c>
    </row>
    <row r="34" spans="1:11">
      <c r="A34" s="27">
        <v>42384</v>
      </c>
      <c r="B34" s="29">
        <v>1</v>
      </c>
      <c r="C34" s="1" t="s">
        <v>74</v>
      </c>
      <c r="D34" s="18">
        <f>IFERROR(VLOOKUP(C34,Articles,5,FALSE),"")</f>
        <v>80</v>
      </c>
      <c r="E34" s="2">
        <v>75</v>
      </c>
      <c r="F34" s="34">
        <f t="shared" si="2"/>
        <v>6.25E-2</v>
      </c>
      <c r="G34" s="32">
        <v>1</v>
      </c>
      <c r="H34" s="18">
        <f t="shared" si="3"/>
        <v>75</v>
      </c>
      <c r="I34" s="13"/>
      <c r="J34" s="18" t="s">
        <v>46</v>
      </c>
      <c r="K34" s="18" t="s">
        <v>26</v>
      </c>
    </row>
    <row r="35" spans="1:11">
      <c r="A35" s="27">
        <v>42384</v>
      </c>
      <c r="B35" s="29">
        <v>1</v>
      </c>
      <c r="C35" s="1" t="s">
        <v>75</v>
      </c>
      <c r="D35" s="18">
        <f>IFERROR(VLOOKUP(C35,Articles,5,FALSE),"")</f>
        <v>5</v>
      </c>
      <c r="E35" s="2">
        <v>5</v>
      </c>
      <c r="F35" s="34">
        <f t="shared" si="2"/>
        <v>0</v>
      </c>
      <c r="G35" s="32">
        <v>1</v>
      </c>
      <c r="H35" s="18">
        <f t="shared" si="3"/>
        <v>5</v>
      </c>
      <c r="I35" s="13"/>
      <c r="J35" s="18" t="s">
        <v>44</v>
      </c>
      <c r="K35" s="18" t="s">
        <v>26</v>
      </c>
    </row>
    <row r="36" spans="1:11">
      <c r="A36" s="27">
        <v>42384</v>
      </c>
      <c r="B36" s="29">
        <v>1</v>
      </c>
      <c r="C36" s="1" t="s">
        <v>76</v>
      </c>
      <c r="D36" s="18">
        <f>IFERROR(VLOOKUP(C36,Articles,5,FALSE),"")</f>
        <v>25</v>
      </c>
      <c r="E36" s="2">
        <v>25</v>
      </c>
      <c r="F36" s="34">
        <f t="shared" si="2"/>
        <v>0</v>
      </c>
      <c r="G36" s="32">
        <v>1</v>
      </c>
      <c r="H36" s="18">
        <f t="shared" si="3"/>
        <v>25</v>
      </c>
      <c r="I36" s="13"/>
      <c r="J36" s="18" t="s">
        <v>44</v>
      </c>
      <c r="K36" s="18" t="s">
        <v>26</v>
      </c>
    </row>
    <row r="37" spans="1:11">
      <c r="A37" s="27">
        <v>42385</v>
      </c>
      <c r="B37" s="29">
        <v>1</v>
      </c>
      <c r="C37" s="1" t="s">
        <v>65</v>
      </c>
      <c r="D37" s="18">
        <f>IFERROR(VLOOKUP(C37,Articles,5,FALSE),"")</f>
        <v>45</v>
      </c>
      <c r="E37" s="2">
        <v>40</v>
      </c>
      <c r="F37" s="34">
        <f>IFERROR((D37-E37)/D37,"")</f>
        <v>0.1111111111111111</v>
      </c>
      <c r="G37" s="32">
        <v>1</v>
      </c>
      <c r="H37" s="18">
        <f>E37*G37</f>
        <v>40</v>
      </c>
      <c r="I37" s="13"/>
      <c r="J37" s="18" t="s">
        <v>48</v>
      </c>
      <c r="K37" s="18" t="s">
        <v>24</v>
      </c>
    </row>
    <row r="38" spans="1:11">
      <c r="A38" s="27">
        <v>42385</v>
      </c>
      <c r="B38" s="29">
        <v>1</v>
      </c>
      <c r="C38" s="1" t="s">
        <v>66</v>
      </c>
      <c r="D38" s="18">
        <f>IFERROR(VLOOKUP(C38,Articles,5,FALSE),"")</f>
        <v>15</v>
      </c>
      <c r="E38" s="2">
        <v>15</v>
      </c>
      <c r="F38" s="34">
        <f t="shared" ref="F38:F52" si="4">IFERROR((D38-E38)/D38,"")</f>
        <v>0</v>
      </c>
      <c r="G38" s="32">
        <v>1</v>
      </c>
      <c r="H38" s="18">
        <f t="shared" ref="H38:H52" si="5">E38*G38</f>
        <v>15</v>
      </c>
      <c r="I38" s="13"/>
      <c r="J38" s="18" t="s">
        <v>45</v>
      </c>
      <c r="K38" s="18" t="s">
        <v>24</v>
      </c>
    </row>
    <row r="39" spans="1:11">
      <c r="A39" s="27">
        <v>42385</v>
      </c>
      <c r="B39" s="29">
        <v>1</v>
      </c>
      <c r="C39" s="1" t="s">
        <v>67</v>
      </c>
      <c r="D39" s="18">
        <f>IFERROR(VLOOKUP(C39,Articles,5,FALSE),"")</f>
        <v>80</v>
      </c>
      <c r="E39" s="2">
        <v>80</v>
      </c>
      <c r="F39" s="34">
        <f t="shared" si="4"/>
        <v>0</v>
      </c>
      <c r="G39" s="32">
        <v>1</v>
      </c>
      <c r="H39" s="18">
        <f t="shared" si="5"/>
        <v>80</v>
      </c>
      <c r="I39" s="13"/>
      <c r="J39" s="18" t="s">
        <v>41</v>
      </c>
      <c r="K39" s="18" t="s">
        <v>24</v>
      </c>
    </row>
    <row r="40" spans="1:11">
      <c r="A40" s="27">
        <v>42385</v>
      </c>
      <c r="B40" s="29">
        <v>2</v>
      </c>
      <c r="C40" s="1" t="s">
        <v>68</v>
      </c>
      <c r="D40" s="18">
        <f>IFERROR(VLOOKUP(C40,Articles,5,FALSE),"")</f>
        <v>150</v>
      </c>
      <c r="E40" s="2">
        <v>150</v>
      </c>
      <c r="F40" s="34">
        <f t="shared" si="4"/>
        <v>0</v>
      </c>
      <c r="G40" s="32">
        <v>1</v>
      </c>
      <c r="H40" s="18">
        <f t="shared" si="5"/>
        <v>150</v>
      </c>
      <c r="I40" s="13"/>
      <c r="J40" s="18" t="s">
        <v>41</v>
      </c>
      <c r="K40" s="18" t="s">
        <v>24</v>
      </c>
    </row>
    <row r="41" spans="1:11">
      <c r="A41" s="27">
        <v>42385</v>
      </c>
      <c r="B41" s="29">
        <v>2</v>
      </c>
      <c r="C41" s="1" t="s">
        <v>63</v>
      </c>
      <c r="D41" s="18">
        <f>IFERROR(VLOOKUP(C41,Articles,5,FALSE),"")</f>
        <v>120</v>
      </c>
      <c r="E41" s="2">
        <v>120</v>
      </c>
      <c r="F41" s="34">
        <f t="shared" si="4"/>
        <v>0</v>
      </c>
      <c r="G41" s="32">
        <v>1</v>
      </c>
      <c r="H41" s="18">
        <f t="shared" si="5"/>
        <v>120</v>
      </c>
      <c r="I41" s="13"/>
      <c r="J41" s="18" t="s">
        <v>41</v>
      </c>
      <c r="K41" s="18" t="s">
        <v>24</v>
      </c>
    </row>
    <row r="42" spans="1:11">
      <c r="A42" s="27">
        <v>42385</v>
      </c>
      <c r="B42" s="29">
        <v>1</v>
      </c>
      <c r="C42" s="1" t="s">
        <v>64</v>
      </c>
      <c r="D42" s="18">
        <f>IFERROR(VLOOKUP(C42,Articles,5,FALSE),"")</f>
        <v>150</v>
      </c>
      <c r="E42" s="2">
        <v>150</v>
      </c>
      <c r="F42" s="34">
        <f t="shared" si="4"/>
        <v>0</v>
      </c>
      <c r="G42" s="32">
        <v>1</v>
      </c>
      <c r="H42" s="18">
        <f t="shared" si="5"/>
        <v>150</v>
      </c>
      <c r="I42" s="13"/>
      <c r="J42" s="18" t="s">
        <v>41</v>
      </c>
      <c r="K42" s="18" t="s">
        <v>24</v>
      </c>
    </row>
    <row r="43" spans="1:11">
      <c r="A43" s="27">
        <v>42385</v>
      </c>
      <c r="B43" s="29">
        <v>1</v>
      </c>
      <c r="C43" s="1" t="s">
        <v>69</v>
      </c>
      <c r="D43" s="18">
        <f>IFERROR(VLOOKUP(C43,Articles,5,FALSE),"")</f>
        <v>120</v>
      </c>
      <c r="E43" s="2">
        <v>110</v>
      </c>
      <c r="F43" s="34">
        <f t="shared" si="4"/>
        <v>8.3333333333333329E-2</v>
      </c>
      <c r="G43" s="32">
        <v>1</v>
      </c>
      <c r="H43" s="18">
        <f t="shared" si="5"/>
        <v>110</v>
      </c>
      <c r="I43" s="13"/>
      <c r="J43" s="18" t="s">
        <v>42</v>
      </c>
      <c r="K43" s="18" t="s">
        <v>24</v>
      </c>
    </row>
    <row r="44" spans="1:11">
      <c r="A44" s="27">
        <v>42385</v>
      </c>
      <c r="B44" s="29">
        <v>2</v>
      </c>
      <c r="C44" s="1" t="s">
        <v>70</v>
      </c>
      <c r="D44" s="18">
        <f>IFERROR(VLOOKUP(C44,Articles,5,FALSE),"")</f>
        <v>100</v>
      </c>
      <c r="E44" s="2">
        <v>100</v>
      </c>
      <c r="F44" s="34">
        <f t="shared" si="4"/>
        <v>0</v>
      </c>
      <c r="G44" s="32">
        <v>1</v>
      </c>
      <c r="H44" s="18">
        <f t="shared" si="5"/>
        <v>100</v>
      </c>
      <c r="I44" s="13"/>
      <c r="J44" s="18" t="s">
        <v>42</v>
      </c>
      <c r="K44" s="18" t="s">
        <v>24</v>
      </c>
    </row>
    <row r="45" spans="1:11">
      <c r="A45" s="27">
        <v>42385</v>
      </c>
      <c r="B45" s="29">
        <v>1</v>
      </c>
      <c r="C45" s="1" t="s">
        <v>71</v>
      </c>
      <c r="D45" s="18">
        <f>IFERROR(VLOOKUP(C45,Articles,5,FALSE),"")</f>
        <v>220</v>
      </c>
      <c r="E45" s="2">
        <v>220</v>
      </c>
      <c r="F45" s="34">
        <f t="shared" si="4"/>
        <v>0</v>
      </c>
      <c r="G45" s="32">
        <v>1</v>
      </c>
      <c r="H45" s="18">
        <f t="shared" si="5"/>
        <v>220</v>
      </c>
      <c r="I45" s="13"/>
      <c r="J45" s="18" t="s">
        <v>41</v>
      </c>
      <c r="K45" s="18" t="s">
        <v>24</v>
      </c>
    </row>
    <row r="46" spans="1:11">
      <c r="A46" s="27">
        <v>42385</v>
      </c>
      <c r="B46" s="29">
        <v>1</v>
      </c>
      <c r="C46" s="1" t="s">
        <v>61</v>
      </c>
      <c r="D46" s="18">
        <f>IFERROR(VLOOKUP(C46,Articles,5,FALSE),"")</f>
        <v>60</v>
      </c>
      <c r="E46" s="2">
        <v>55</v>
      </c>
      <c r="F46" s="34">
        <f t="shared" si="4"/>
        <v>8.3333333333333329E-2</v>
      </c>
      <c r="G46" s="32">
        <v>1</v>
      </c>
      <c r="H46" s="18">
        <f t="shared" si="5"/>
        <v>55</v>
      </c>
      <c r="I46" s="13"/>
      <c r="J46" s="18" t="s">
        <v>41</v>
      </c>
      <c r="K46" s="18" t="s">
        <v>24</v>
      </c>
    </row>
    <row r="47" spans="1:11">
      <c r="A47" s="27">
        <v>42385</v>
      </c>
      <c r="B47" s="29">
        <v>1</v>
      </c>
      <c r="C47" s="1" t="s">
        <v>62</v>
      </c>
      <c r="D47" s="18">
        <f>IFERROR(VLOOKUP(C47,Articles,5,FALSE),"")</f>
        <v>25</v>
      </c>
      <c r="E47" s="2">
        <v>25</v>
      </c>
      <c r="F47" s="34">
        <f t="shared" si="4"/>
        <v>0</v>
      </c>
      <c r="G47" s="32">
        <v>1</v>
      </c>
      <c r="H47" s="18">
        <f t="shared" si="5"/>
        <v>25</v>
      </c>
      <c r="I47" s="13"/>
      <c r="J47" s="18" t="s">
        <v>41</v>
      </c>
      <c r="K47" s="18" t="s">
        <v>24</v>
      </c>
    </row>
    <row r="48" spans="1:11">
      <c r="A48" s="27">
        <v>42385</v>
      </c>
      <c r="B48" s="29">
        <v>2</v>
      </c>
      <c r="C48" s="1" t="s">
        <v>72</v>
      </c>
      <c r="D48" s="18">
        <f>IFERROR(VLOOKUP(C48,Articles,5,FALSE),"")</f>
        <v>25</v>
      </c>
      <c r="E48" s="2">
        <v>25</v>
      </c>
      <c r="F48" s="34">
        <f t="shared" si="4"/>
        <v>0</v>
      </c>
      <c r="G48" s="32">
        <v>1</v>
      </c>
      <c r="H48" s="18">
        <f t="shared" si="5"/>
        <v>25</v>
      </c>
      <c r="I48" s="13"/>
      <c r="J48" s="18" t="s">
        <v>47</v>
      </c>
      <c r="K48" s="18" t="s">
        <v>25</v>
      </c>
    </row>
    <row r="49" spans="1:11">
      <c r="A49" s="27">
        <v>42385</v>
      </c>
      <c r="B49" s="29">
        <v>2</v>
      </c>
      <c r="C49" s="1" t="s">
        <v>73</v>
      </c>
      <c r="D49" s="18">
        <f>IFERROR(VLOOKUP(C49,Articles,5,FALSE),"")</f>
        <v>250</v>
      </c>
      <c r="E49" s="2">
        <v>250</v>
      </c>
      <c r="F49" s="34">
        <f t="shared" si="4"/>
        <v>0</v>
      </c>
      <c r="G49" s="32">
        <v>1</v>
      </c>
      <c r="H49" s="18">
        <f t="shared" si="5"/>
        <v>250</v>
      </c>
      <c r="I49" s="13"/>
      <c r="J49" s="18" t="s">
        <v>47</v>
      </c>
      <c r="K49" s="18" t="s">
        <v>26</v>
      </c>
    </row>
    <row r="50" spans="1:11">
      <c r="A50" s="27">
        <v>42385</v>
      </c>
      <c r="B50" s="29">
        <v>1</v>
      </c>
      <c r="C50" s="1" t="s">
        <v>74</v>
      </c>
      <c r="D50" s="18">
        <f>IFERROR(VLOOKUP(C50,Articles,5,FALSE),"")</f>
        <v>80</v>
      </c>
      <c r="E50" s="2">
        <v>75</v>
      </c>
      <c r="F50" s="34">
        <f t="shared" si="4"/>
        <v>6.25E-2</v>
      </c>
      <c r="G50" s="32">
        <v>1</v>
      </c>
      <c r="H50" s="18">
        <f t="shared" si="5"/>
        <v>75</v>
      </c>
      <c r="I50" s="13"/>
      <c r="J50" s="18" t="s">
        <v>46</v>
      </c>
      <c r="K50" s="18" t="s">
        <v>26</v>
      </c>
    </row>
    <row r="51" spans="1:11">
      <c r="A51" s="27">
        <v>42385</v>
      </c>
      <c r="B51" s="29">
        <v>1</v>
      </c>
      <c r="C51" s="1" t="s">
        <v>75</v>
      </c>
      <c r="D51" s="18">
        <f>IFERROR(VLOOKUP(C51,Articles,5,FALSE),"")</f>
        <v>5</v>
      </c>
      <c r="E51" s="2">
        <v>5</v>
      </c>
      <c r="F51" s="34">
        <f t="shared" si="4"/>
        <v>0</v>
      </c>
      <c r="G51" s="32">
        <v>1</v>
      </c>
      <c r="H51" s="18">
        <f t="shared" si="5"/>
        <v>5</v>
      </c>
      <c r="I51" s="13"/>
      <c r="J51" s="18" t="s">
        <v>44</v>
      </c>
      <c r="K51" s="18" t="s">
        <v>26</v>
      </c>
    </row>
    <row r="52" spans="1:11">
      <c r="A52" s="27">
        <v>42385</v>
      </c>
      <c r="B52" s="29">
        <v>1</v>
      </c>
      <c r="C52" s="1" t="s">
        <v>76</v>
      </c>
      <c r="D52" s="18">
        <f>IFERROR(VLOOKUP(C52,Articles,5,FALSE),"")</f>
        <v>25</v>
      </c>
      <c r="E52" s="2">
        <v>25</v>
      </c>
      <c r="F52" s="34">
        <f t="shared" si="4"/>
        <v>0</v>
      </c>
      <c r="G52" s="32">
        <v>1</v>
      </c>
      <c r="H52" s="18">
        <f t="shared" si="5"/>
        <v>25</v>
      </c>
      <c r="I52" s="13"/>
      <c r="J52" s="18" t="s">
        <v>44</v>
      </c>
      <c r="K52" s="18" t="s">
        <v>26</v>
      </c>
    </row>
    <row r="53" spans="1:11">
      <c r="A53" s="28"/>
      <c r="B53" s="25"/>
      <c r="C53" s="11"/>
      <c r="D53" s="17"/>
      <c r="E53" s="12"/>
      <c r="F53" s="17"/>
      <c r="G53" s="33"/>
      <c r="H53" s="17"/>
      <c r="I53" s="11"/>
      <c r="J53" s="17"/>
      <c r="K53" s="17"/>
    </row>
  </sheetData>
  <autoFilter ref="A4:K52">
    <filterColumn colId="6"/>
    <filterColumn colId="7"/>
    <filterColumn colId="8"/>
  </autoFilter>
  <dataValidations count="1">
    <dataValidation type="list" allowBlank="1" showInputMessage="1" showErrorMessage="1" errorTitle="Choisir dans la liste" error="Choisir dans la liste !" sqref="C4:C53">
      <formula1>Liste_Articles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K21"/>
  <sheetViews>
    <sheetView workbookViewId="0">
      <pane ySplit="4" topLeftCell="A5" activePane="bottomLeft" state="frozen"/>
      <selection pane="bottomLeft" activeCell="A5" sqref="A5"/>
    </sheetView>
  </sheetViews>
  <sheetFormatPr baseColWidth="10" defaultColWidth="17.42578125" defaultRowHeight="15"/>
  <cols>
    <col min="1" max="1" width="39.42578125" style="1" customWidth="1"/>
    <col min="2" max="2" width="21" style="1" customWidth="1"/>
    <col min="3" max="3" width="19.42578125" style="1" customWidth="1"/>
    <col min="4" max="4" width="17.42578125" style="1"/>
    <col min="5" max="5" width="13.28515625" style="2" customWidth="1"/>
    <col min="6" max="6" width="13.28515625" style="19" customWidth="1"/>
    <col min="7" max="8" width="13.28515625" style="2" customWidth="1"/>
    <col min="9" max="9" width="25.140625" style="1" customWidth="1"/>
    <col min="10" max="10" width="17.85546875" style="1" customWidth="1"/>
    <col min="11" max="11" width="41.140625" style="1" customWidth="1"/>
    <col min="12" max="16384" width="17.42578125" style="1"/>
  </cols>
  <sheetData>
    <row r="1" spans="1:11" ht="23.25">
      <c r="A1" s="14" t="str">
        <f>Raison_Sociale&amp;" - "&amp;Titre&amp;" - Inventaire des articles"</f>
        <v>Ma Boutique - Registre des ventes - Inventaire des articles</v>
      </c>
    </row>
    <row r="2" spans="1:11">
      <c r="E2" s="23">
        <f>SUBTOTAL(3,A4:A21)-1</f>
        <v>16</v>
      </c>
      <c r="F2" s="20">
        <f>SUBTOTAL(9,F4:F21)</f>
        <v>0</v>
      </c>
      <c r="G2" s="17">
        <f t="shared" ref="G2:H2" si="0">SUBTOTAL(9,G4:G21)</f>
        <v>0</v>
      </c>
      <c r="H2" s="17">
        <f t="shared" si="0"/>
        <v>0</v>
      </c>
    </row>
    <row r="3" spans="1:11" ht="42" customHeight="1"/>
    <row r="4" spans="1:11" s="6" customFormat="1" ht="30">
      <c r="A4" s="5" t="s">
        <v>16</v>
      </c>
      <c r="B4" s="9" t="s">
        <v>13</v>
      </c>
      <c r="C4" s="9" t="s">
        <v>0</v>
      </c>
      <c r="D4" s="9" t="s">
        <v>14</v>
      </c>
      <c r="E4" s="10" t="s">
        <v>15</v>
      </c>
      <c r="F4" s="21" t="s">
        <v>78</v>
      </c>
      <c r="G4" s="16" t="s">
        <v>52</v>
      </c>
      <c r="H4" s="16" t="s">
        <v>53</v>
      </c>
      <c r="I4" s="9" t="s">
        <v>17</v>
      </c>
      <c r="J4" s="9" t="s">
        <v>18</v>
      </c>
      <c r="K4" s="9" t="s">
        <v>34</v>
      </c>
    </row>
    <row r="5" spans="1:11" ht="16.5">
      <c r="A5" s="4" t="str">
        <f>J5&amp;"-"&amp;B5&amp;"-"&amp;C5&amp;" "&amp;D5</f>
        <v xml:space="preserve">Vêtement-T-Shirt-Oxbow </v>
      </c>
      <c r="B5" s="1" t="s">
        <v>3</v>
      </c>
      <c r="C5" s="1" t="s">
        <v>4</v>
      </c>
      <c r="E5" s="2">
        <v>45</v>
      </c>
      <c r="F5" s="22"/>
      <c r="G5" s="18"/>
      <c r="H5" s="18"/>
      <c r="I5" s="1" t="s">
        <v>48</v>
      </c>
      <c r="J5" s="1" t="s">
        <v>24</v>
      </c>
      <c r="K5" s="13"/>
    </row>
    <row r="6" spans="1:11" ht="16.5">
      <c r="A6" s="4" t="str">
        <f t="shared" ref="A6:A20" si="1">J6&amp;"-"&amp;B6&amp;"-"&amp;C6&amp;" "&amp;D6</f>
        <v xml:space="preserve">Vêtement-Main d'œuvre- </v>
      </c>
      <c r="B6" s="1" t="s">
        <v>9</v>
      </c>
      <c r="E6" s="2">
        <v>15</v>
      </c>
      <c r="F6" s="22"/>
      <c r="G6" s="18"/>
      <c r="H6" s="18"/>
      <c r="I6" s="1" t="s">
        <v>45</v>
      </c>
      <c r="J6" s="1" t="s">
        <v>24</v>
      </c>
      <c r="K6" s="13"/>
    </row>
    <row r="7" spans="1:11" ht="16.5">
      <c r="A7" s="4" t="str">
        <f t="shared" si="1"/>
        <v>Vêtement-Maillot-Adidas Diables</v>
      </c>
      <c r="B7" s="1" t="s">
        <v>23</v>
      </c>
      <c r="C7" s="1" t="s">
        <v>1</v>
      </c>
      <c r="D7" s="1" t="s">
        <v>32</v>
      </c>
      <c r="E7" s="2">
        <v>80</v>
      </c>
      <c r="F7" s="22"/>
      <c r="G7" s="18"/>
      <c r="H7" s="18"/>
      <c r="I7" s="1" t="s">
        <v>41</v>
      </c>
      <c r="J7" s="1" t="s">
        <v>24</v>
      </c>
      <c r="K7" s="13"/>
    </row>
    <row r="8" spans="1:11" ht="16.5">
      <c r="A8" s="4" t="str">
        <f t="shared" si="1"/>
        <v>Vêtement-Chaussures-Nike Tiempo</v>
      </c>
      <c r="B8" s="1" t="s">
        <v>8</v>
      </c>
      <c r="C8" s="1" t="s">
        <v>6</v>
      </c>
      <c r="D8" s="1" t="s">
        <v>31</v>
      </c>
      <c r="E8" s="2">
        <v>150</v>
      </c>
      <c r="F8" s="22"/>
      <c r="G8" s="18"/>
      <c r="H8" s="18"/>
      <c r="I8" s="1" t="s">
        <v>41</v>
      </c>
      <c r="J8" s="1" t="s">
        <v>24</v>
      </c>
      <c r="K8" s="13"/>
    </row>
    <row r="9" spans="1:11" ht="16.5">
      <c r="A9" s="4" t="str">
        <f t="shared" si="1"/>
        <v>Vêtement-Chaussures-Nike Mercurial</v>
      </c>
      <c r="B9" s="1" t="s">
        <v>8</v>
      </c>
      <c r="C9" s="1" t="s">
        <v>6</v>
      </c>
      <c r="D9" s="1" t="s">
        <v>7</v>
      </c>
      <c r="E9" s="2">
        <v>120</v>
      </c>
      <c r="F9" s="22"/>
      <c r="G9" s="18"/>
      <c r="H9" s="18"/>
      <c r="I9" s="1" t="s">
        <v>41</v>
      </c>
      <c r="J9" s="1" t="s">
        <v>24</v>
      </c>
      <c r="K9" s="13"/>
    </row>
    <row r="10" spans="1:11" ht="16.5">
      <c r="A10" s="4" t="str">
        <f t="shared" si="1"/>
        <v>Vêtement-Chaussures-Nike Magista</v>
      </c>
      <c r="B10" s="1" t="s">
        <v>8</v>
      </c>
      <c r="C10" s="1" t="s">
        <v>6</v>
      </c>
      <c r="D10" s="1" t="s">
        <v>30</v>
      </c>
      <c r="E10" s="2">
        <v>150</v>
      </c>
      <c r="F10" s="22"/>
      <c r="G10" s="18"/>
      <c r="H10" s="18"/>
      <c r="I10" s="1" t="s">
        <v>41</v>
      </c>
      <c r="J10" s="1" t="s">
        <v>24</v>
      </c>
      <c r="K10" s="13"/>
    </row>
    <row r="11" spans="1:11" ht="16.5">
      <c r="A11" s="4" t="str">
        <f t="shared" si="1"/>
        <v>Vêtement-Chaussures-Mizuno Wave Sayonara</v>
      </c>
      <c r="B11" s="1" t="s">
        <v>8</v>
      </c>
      <c r="C11" s="1" t="s">
        <v>20</v>
      </c>
      <c r="D11" s="1" t="s">
        <v>29</v>
      </c>
      <c r="E11" s="2">
        <v>120</v>
      </c>
      <c r="F11" s="22"/>
      <c r="G11" s="18"/>
      <c r="H11" s="18"/>
      <c r="I11" s="1" t="s">
        <v>42</v>
      </c>
      <c r="J11" s="1" t="s">
        <v>24</v>
      </c>
      <c r="K11" s="13"/>
    </row>
    <row r="12" spans="1:11" ht="16.5">
      <c r="A12" s="4" t="str">
        <f t="shared" si="1"/>
        <v>Vêtement-Chaussures-Asics GT-2000</v>
      </c>
      <c r="B12" s="1" t="s">
        <v>8</v>
      </c>
      <c r="C12" s="1" t="s">
        <v>19</v>
      </c>
      <c r="D12" s="1" t="s">
        <v>12</v>
      </c>
      <c r="E12" s="2">
        <v>100</v>
      </c>
      <c r="F12" s="22"/>
      <c r="G12" s="18"/>
      <c r="H12" s="18"/>
      <c r="I12" s="1" t="s">
        <v>42</v>
      </c>
      <c r="J12" s="1" t="s">
        <v>24</v>
      </c>
      <c r="K12" s="13"/>
    </row>
    <row r="13" spans="1:11" ht="16.5">
      <c r="A13" s="4" t="str">
        <f t="shared" si="1"/>
        <v>Vêtement-Chaussures-Adidas Predator</v>
      </c>
      <c r="B13" s="1" t="s">
        <v>8</v>
      </c>
      <c r="C13" s="1" t="s">
        <v>1</v>
      </c>
      <c r="D13" s="1" t="s">
        <v>28</v>
      </c>
      <c r="E13" s="2">
        <v>220</v>
      </c>
      <c r="F13" s="22"/>
      <c r="G13" s="18"/>
      <c r="H13" s="18"/>
      <c r="I13" s="1" t="s">
        <v>41</v>
      </c>
      <c r="J13" s="1" t="s">
        <v>24</v>
      </c>
      <c r="K13" s="13"/>
    </row>
    <row r="14" spans="1:11" ht="16.5">
      <c r="A14" s="4" t="str">
        <f t="shared" si="1"/>
        <v>Vêtement-Chaussures-Adidas F10</v>
      </c>
      <c r="B14" s="1" t="s">
        <v>8</v>
      </c>
      <c r="C14" s="1" t="s">
        <v>1</v>
      </c>
      <c r="D14" s="1" t="s">
        <v>2</v>
      </c>
      <c r="E14" s="2">
        <v>60</v>
      </c>
      <c r="F14" s="22"/>
      <c r="G14" s="18"/>
      <c r="H14" s="18"/>
      <c r="I14" s="1" t="s">
        <v>41</v>
      </c>
      <c r="J14" s="1" t="s">
        <v>24</v>
      </c>
      <c r="K14" s="13"/>
    </row>
    <row r="15" spans="1:11" ht="16.5">
      <c r="A15" s="4" t="str">
        <f t="shared" si="1"/>
        <v>Vêtement-Ballon-Adidas F50</v>
      </c>
      <c r="B15" s="1" t="s">
        <v>5</v>
      </c>
      <c r="C15" s="1" t="s">
        <v>1</v>
      </c>
      <c r="D15" s="1" t="s">
        <v>27</v>
      </c>
      <c r="E15" s="2">
        <v>25</v>
      </c>
      <c r="F15" s="22"/>
      <c r="G15" s="18"/>
      <c r="H15" s="18"/>
      <c r="I15" s="1" t="s">
        <v>41</v>
      </c>
      <c r="J15" s="1" t="s">
        <v>24</v>
      </c>
      <c r="K15" s="13"/>
    </row>
    <row r="16" spans="1:11" ht="16.5">
      <c r="A16" s="4" t="str">
        <f t="shared" si="1"/>
        <v xml:space="preserve">Prestation-Réparation vélo- </v>
      </c>
      <c r="B16" s="1" t="s">
        <v>49</v>
      </c>
      <c r="E16" s="2">
        <v>25</v>
      </c>
      <c r="F16" s="22"/>
      <c r="G16" s="18"/>
      <c r="H16" s="18"/>
      <c r="I16" s="1" t="s">
        <v>47</v>
      </c>
      <c r="J16" s="1" t="s">
        <v>25</v>
      </c>
      <c r="K16" s="13"/>
    </row>
    <row r="17" spans="1:11" ht="16.5">
      <c r="A17" s="4" t="str">
        <f t="shared" si="1"/>
        <v>Equipement-Vélo-Orbea Kids</v>
      </c>
      <c r="B17" s="1" t="s">
        <v>50</v>
      </c>
      <c r="C17" s="1" t="s">
        <v>22</v>
      </c>
      <c r="D17" s="1" t="s">
        <v>33</v>
      </c>
      <c r="E17" s="2">
        <v>250</v>
      </c>
      <c r="F17" s="22"/>
      <c r="G17" s="18"/>
      <c r="H17" s="18"/>
      <c r="I17" s="1" t="s">
        <v>47</v>
      </c>
      <c r="J17" s="1" t="s">
        <v>26</v>
      </c>
      <c r="K17" s="13"/>
    </row>
    <row r="18" spans="1:11" ht="16.5">
      <c r="A18" s="4" t="str">
        <f t="shared" si="1"/>
        <v xml:space="preserve">Equipement-Raquette-Babolat </v>
      </c>
      <c r="B18" s="1" t="s">
        <v>51</v>
      </c>
      <c r="C18" s="1" t="s">
        <v>21</v>
      </c>
      <c r="E18" s="2">
        <v>80</v>
      </c>
      <c r="F18" s="22"/>
      <c r="G18" s="18"/>
      <c r="H18" s="18"/>
      <c r="I18" s="1" t="s">
        <v>46</v>
      </c>
      <c r="J18" s="1" t="s">
        <v>26</v>
      </c>
      <c r="K18" s="13"/>
    </row>
    <row r="19" spans="1:11" ht="16.5">
      <c r="A19" s="4" t="str">
        <f t="shared" si="1"/>
        <v xml:space="preserve">Equipement-Gourde-S+ </v>
      </c>
      <c r="B19" s="1" t="s">
        <v>10</v>
      </c>
      <c r="C19" s="1" t="s">
        <v>11</v>
      </c>
      <c r="E19" s="2">
        <v>5</v>
      </c>
      <c r="F19" s="22"/>
      <c r="G19" s="18"/>
      <c r="H19" s="18"/>
      <c r="I19" s="1" t="s">
        <v>44</v>
      </c>
      <c r="J19" s="1" t="s">
        <v>26</v>
      </c>
      <c r="K19" s="13"/>
    </row>
    <row r="20" spans="1:11" ht="16.5">
      <c r="A20" s="4" t="str">
        <f t="shared" si="1"/>
        <v xml:space="preserve">Equipement-Cordage- </v>
      </c>
      <c r="B20" s="1" t="s">
        <v>43</v>
      </c>
      <c r="E20" s="2">
        <v>25</v>
      </c>
      <c r="F20" s="22"/>
      <c r="G20" s="18"/>
      <c r="H20" s="18"/>
      <c r="I20" s="1" t="s">
        <v>44</v>
      </c>
      <c r="J20" s="1" t="s">
        <v>26</v>
      </c>
      <c r="K20" s="13"/>
    </row>
    <row r="21" spans="1:11">
      <c r="A21" s="3"/>
      <c r="B21" s="11"/>
      <c r="C21" s="11"/>
      <c r="D21" s="11"/>
      <c r="E21" s="12"/>
      <c r="F21" s="20"/>
      <c r="G21" s="17"/>
      <c r="H21" s="17"/>
      <c r="I21" s="11"/>
      <c r="J21" s="11"/>
      <c r="K21" s="11"/>
    </row>
  </sheetData>
  <autoFilter ref="A4:K20">
    <filterColumn colId="5"/>
    <filterColumn colId="6"/>
    <filterColumn colId="7"/>
    <sortState ref="A6:H21">
      <sortCondition descending="1" ref="A11"/>
    </sortState>
  </autoFilter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E13"/>
  <sheetViews>
    <sheetView workbookViewId="0">
      <pane ySplit="4" topLeftCell="A5" activePane="bottomLeft" state="frozen"/>
      <selection pane="bottomLeft" activeCell="A2" sqref="A2"/>
    </sheetView>
  </sheetViews>
  <sheetFormatPr baseColWidth="10" defaultColWidth="17.42578125" defaultRowHeight="15"/>
  <cols>
    <col min="1" max="1" width="39.42578125" style="1" customWidth="1"/>
    <col min="2" max="2" width="14.5703125" style="1" customWidth="1"/>
    <col min="3" max="3" width="16.42578125" style="1" customWidth="1"/>
    <col min="4" max="4" width="15" style="40" customWidth="1"/>
    <col min="5" max="5" width="58.28515625" style="2" customWidth="1"/>
    <col min="6" max="6" width="25.140625" style="1" customWidth="1"/>
    <col min="7" max="7" width="17.85546875" style="1" customWidth="1"/>
    <col min="8" max="8" width="41.140625" style="1" customWidth="1"/>
    <col min="9" max="16384" width="17.42578125" style="1"/>
  </cols>
  <sheetData>
    <row r="1" spans="1:5" ht="23.25">
      <c r="A1" s="14" t="str">
        <f>Raison_Sociale&amp;" - "&amp;Titre&amp;" - Catégories d'articles"</f>
        <v>Ma Boutique - Registre des ventes - Catégories d'articles</v>
      </c>
    </row>
    <row r="2" spans="1:5">
      <c r="B2" s="38">
        <f>SUBTOTAL(9,B4:B13)</f>
        <v>69</v>
      </c>
      <c r="C2" s="17">
        <f t="shared" ref="C2:D2" si="0">SUBTOTAL(9,C4:C13)</f>
        <v>6735</v>
      </c>
      <c r="D2" s="41">
        <f>SUBTOTAL(1,D4:D13)</f>
        <v>2.9885912698412696E-2</v>
      </c>
    </row>
    <row r="3" spans="1:5" ht="42" customHeight="1"/>
    <row r="4" spans="1:5" s="6" customFormat="1" ht="30.75" customHeight="1">
      <c r="A4" s="36" t="s">
        <v>77</v>
      </c>
      <c r="B4" s="21" t="s">
        <v>78</v>
      </c>
      <c r="C4" s="16" t="s">
        <v>52</v>
      </c>
      <c r="D4" s="42" t="s">
        <v>53</v>
      </c>
      <c r="E4" s="9" t="s">
        <v>34</v>
      </c>
    </row>
    <row r="5" spans="1:5">
      <c r="A5" s="1" t="s">
        <v>47</v>
      </c>
      <c r="B5" s="39">
        <f>SUMIF(Ventes!J:J,A:A,Ventes!G:G)</f>
        <v>6</v>
      </c>
      <c r="C5" s="18">
        <f>SUMIF(Ventes!J:J,A:A,Ventes!H:H)</f>
        <v>825</v>
      </c>
      <c r="D5" s="43">
        <f>AVERAGEIF(Ventes!J:J,A:A,Ventes!F:F)</f>
        <v>0</v>
      </c>
      <c r="E5" s="13"/>
    </row>
    <row r="6" spans="1:5">
      <c r="A6" s="1" t="s">
        <v>41</v>
      </c>
      <c r="B6" s="39">
        <f>SUMIF(Ventes!J:J,A:A,Ventes!G:G)</f>
        <v>21</v>
      </c>
      <c r="C6" s="18">
        <f>SUMIF(Ventes!J:J,A:A,Ventes!H:H)</f>
        <v>2400</v>
      </c>
      <c r="D6" s="43">
        <f>AVERAGEIF(Ventes!J:J,A:A,Ventes!F:F)</f>
        <v>1.1904761904761904E-2</v>
      </c>
      <c r="E6" s="13"/>
    </row>
    <row r="7" spans="1:5">
      <c r="A7" s="1" t="s">
        <v>41</v>
      </c>
      <c r="B7" s="39">
        <f>SUMIF(Ventes!J:J,A:A,Ventes!G:G)</f>
        <v>21</v>
      </c>
      <c r="C7" s="18">
        <f>SUMIF(Ventes!J:J,A:A,Ventes!H:H)</f>
        <v>2400</v>
      </c>
      <c r="D7" s="43">
        <f>AVERAGEIF(Ventes!J:J,A:A,Ventes!F:F)</f>
        <v>1.1904761904761904E-2</v>
      </c>
      <c r="E7" s="13"/>
    </row>
    <row r="8" spans="1:5">
      <c r="A8" s="1" t="s">
        <v>44</v>
      </c>
      <c r="B8" s="39">
        <f>SUMIF(Ventes!J:J,A:A,Ventes!G:G)</f>
        <v>6</v>
      </c>
      <c r="C8" s="18">
        <f>SUMIF(Ventes!J:J,A:A,Ventes!H:H)</f>
        <v>90</v>
      </c>
      <c r="D8" s="43">
        <f>AVERAGEIF(Ventes!J:J,A:A,Ventes!F:F)</f>
        <v>0</v>
      </c>
      <c r="E8" s="13"/>
    </row>
    <row r="9" spans="1:5">
      <c r="A9" s="1" t="s">
        <v>42</v>
      </c>
      <c r="B9" s="39">
        <f>SUMIF(Ventes!J:J,A:A,Ventes!G:G)</f>
        <v>6</v>
      </c>
      <c r="C9" s="18">
        <f>SUMIF(Ventes!J:J,A:A,Ventes!H:H)</f>
        <v>630</v>
      </c>
      <c r="D9" s="43">
        <f>AVERAGEIF(Ventes!J:J,A:A,Ventes!F:F)</f>
        <v>4.1666666666666664E-2</v>
      </c>
      <c r="E9" s="13"/>
    </row>
    <row r="10" spans="1:5">
      <c r="A10" s="1" t="s">
        <v>48</v>
      </c>
      <c r="B10" s="39">
        <f>SUMIF(Ventes!J:J,A:A,Ventes!G:G)</f>
        <v>3</v>
      </c>
      <c r="C10" s="18">
        <f>SUMIF(Ventes!J:J,A:A,Ventes!H:H)</f>
        <v>120</v>
      </c>
      <c r="D10" s="43">
        <f>AVERAGEIF(Ventes!J:J,A:A,Ventes!F:F)</f>
        <v>0.1111111111111111</v>
      </c>
      <c r="E10" s="13"/>
    </row>
    <row r="11" spans="1:5">
      <c r="A11" s="1" t="s">
        <v>46</v>
      </c>
      <c r="B11" s="39">
        <f>SUMIF(Ventes!J:J,A:A,Ventes!G:G)</f>
        <v>3</v>
      </c>
      <c r="C11" s="18">
        <f>SUMIF(Ventes!J:J,A:A,Ventes!H:H)</f>
        <v>225</v>
      </c>
      <c r="D11" s="43">
        <f>AVERAGEIF(Ventes!J:J,A:A,Ventes!F:F)</f>
        <v>6.25E-2</v>
      </c>
      <c r="E11" s="13"/>
    </row>
    <row r="12" spans="1:5">
      <c r="A12" s="1" t="s">
        <v>45</v>
      </c>
      <c r="B12" s="39">
        <f>SUMIF(Ventes!J:J,A:A,Ventes!G:G)</f>
        <v>3</v>
      </c>
      <c r="C12" s="18">
        <f>SUMIF(Ventes!J:J,A:A,Ventes!H:H)</f>
        <v>45</v>
      </c>
      <c r="D12" s="43">
        <f>AVERAGEIF(Ventes!J:J,A:A,Ventes!F:F)</f>
        <v>0</v>
      </c>
      <c r="E12" s="13"/>
    </row>
    <row r="13" spans="1:5">
      <c r="A13" s="37"/>
      <c r="B13" s="20"/>
      <c r="C13" s="17"/>
      <c r="D13" s="41"/>
      <c r="E13" s="11"/>
    </row>
  </sheetData>
  <autoFilter ref="A4:E12"/>
  <sortState ref="A5:G12">
    <sortCondition ref="A7"/>
  </sortState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pane ySplit="4" topLeftCell="A5" activePane="bottomLeft" state="frozen"/>
      <selection pane="bottomLeft" activeCell="A7" sqref="A7"/>
    </sheetView>
  </sheetViews>
  <sheetFormatPr baseColWidth="10" defaultColWidth="17.42578125" defaultRowHeight="15"/>
  <cols>
    <col min="1" max="1" width="39.42578125" style="1" customWidth="1"/>
    <col min="2" max="2" width="14.5703125" style="1" customWidth="1"/>
    <col min="3" max="3" width="16.42578125" style="1" customWidth="1"/>
    <col min="4" max="4" width="15" style="40" customWidth="1"/>
    <col min="5" max="5" width="58.28515625" style="2" customWidth="1"/>
    <col min="6" max="6" width="25.140625" style="1" customWidth="1"/>
    <col min="7" max="7" width="17.85546875" style="1" customWidth="1"/>
    <col min="8" max="8" width="41.140625" style="1" customWidth="1"/>
    <col min="9" max="16384" width="17.42578125" style="1"/>
  </cols>
  <sheetData>
    <row r="1" spans="1:5" ht="23.25">
      <c r="A1" s="14" t="str">
        <f>Raison_Sociale&amp;" - "&amp;Titre&amp;" - Types d'articles"</f>
        <v>Ma Boutique - Registre des ventes - Types d'articles</v>
      </c>
    </row>
    <row r="2" spans="1:5">
      <c r="B2" s="38">
        <f>SUBTOTAL(9,B4:B8)</f>
        <v>0</v>
      </c>
      <c r="C2" s="17">
        <f>SUBTOTAL(9,C4:C8)</f>
        <v>0</v>
      </c>
      <c r="D2" s="41">
        <f>SUBTOTAL(1,D4:D8)</f>
        <v>1.362584175084175E-2</v>
      </c>
    </row>
    <row r="3" spans="1:5" ht="42" customHeight="1"/>
    <row r="4" spans="1:5" s="6" customFormat="1" ht="30.75" customHeight="1">
      <c r="A4" s="36" t="s">
        <v>77</v>
      </c>
      <c r="B4" s="21" t="s">
        <v>78</v>
      </c>
      <c r="C4" s="16" t="s">
        <v>52</v>
      </c>
      <c r="D4" s="42" t="s">
        <v>53</v>
      </c>
      <c r="E4" s="9" t="s">
        <v>34</v>
      </c>
    </row>
    <row r="5" spans="1:5">
      <c r="A5" s="1" t="s">
        <v>24</v>
      </c>
      <c r="B5" s="39">
        <f>SUMIF(Ventes!J:J,A:A,Ventes!G:G)</f>
        <v>0</v>
      </c>
      <c r="C5" s="18">
        <f>SUMIF(Ventes!J:J,A:A,Ventes!H:H)</f>
        <v>0</v>
      </c>
      <c r="D5" s="43">
        <f>AVERAGEIF(Ventes!K:K,A:A,Ventes!F:F)</f>
        <v>2.5252525252525249E-2</v>
      </c>
      <c r="E5" s="13"/>
    </row>
    <row r="6" spans="1:5">
      <c r="A6" s="1" t="s">
        <v>25</v>
      </c>
      <c r="B6" s="39">
        <f>SUMIF(Ventes!J:J,A:A,Ventes!G:G)</f>
        <v>0</v>
      </c>
      <c r="C6" s="18">
        <f>SUMIF(Ventes!J:J,A:A,Ventes!H:H)</f>
        <v>0</v>
      </c>
      <c r="D6" s="43">
        <f>AVERAGEIF(Ventes!K:K,A:A,Ventes!F:F)</f>
        <v>0</v>
      </c>
      <c r="E6" s="13"/>
    </row>
    <row r="7" spans="1:5">
      <c r="A7" s="1" t="s">
        <v>26</v>
      </c>
      <c r="B7" s="39">
        <f>SUMIF(Ventes!J:J,A:A,Ventes!G:G)</f>
        <v>0</v>
      </c>
      <c r="C7" s="18">
        <f>SUMIF(Ventes!J:J,A:A,Ventes!H:H)</f>
        <v>0</v>
      </c>
      <c r="D7" s="43">
        <f>AVERAGEIF(Ventes!K:K,A:A,Ventes!F:F)</f>
        <v>1.5625E-2</v>
      </c>
      <c r="E7" s="13"/>
    </row>
    <row r="8" spans="1:5">
      <c r="A8" s="37"/>
      <c r="B8" s="20"/>
      <c r="C8" s="17"/>
      <c r="D8" s="41"/>
      <c r="E8" s="11"/>
    </row>
  </sheetData>
  <autoFilter ref="A4:E7"/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Q9"/>
  <sheetViews>
    <sheetView workbookViewId="0">
      <selection activeCell="G4" sqref="G4"/>
    </sheetView>
  </sheetViews>
  <sheetFormatPr baseColWidth="10" defaultRowHeight="15"/>
  <cols>
    <col min="1" max="1" width="21" customWidth="1"/>
    <col min="2" max="10" width="13.28515625" customWidth="1"/>
  </cols>
  <sheetData>
    <row r="1" spans="1:17" ht="23.25">
      <c r="A1" s="14" t="str">
        <f>Raison_Sociale&amp;" - "&amp;Titre&amp;" - Satistiques des ventes"</f>
        <v>Ma Boutique - Registre des ventes - Satistiques des ventes</v>
      </c>
    </row>
    <row r="2" spans="1:17" ht="39" customHeight="1"/>
    <row r="4" spans="1:17">
      <c r="A4" s="44" t="s">
        <v>17</v>
      </c>
      <c r="B4" s="48" t="s">
        <v>80</v>
      </c>
    </row>
    <row r="6" spans="1:17">
      <c r="A6" s="44" t="s">
        <v>81</v>
      </c>
      <c r="C6" s="44" t="s">
        <v>55</v>
      </c>
    </row>
    <row r="7" spans="1:17" s="47" customFormat="1">
      <c r="A7" s="44" t="s">
        <v>82</v>
      </c>
      <c r="B7" s="46" t="s">
        <v>54</v>
      </c>
      <c r="C7" s="49">
        <v>1</v>
      </c>
      <c r="D7" s="49">
        <v>2</v>
      </c>
      <c r="E7" s="48" t="s">
        <v>79</v>
      </c>
      <c r="F7"/>
      <c r="G7"/>
      <c r="H7"/>
      <c r="I7"/>
      <c r="J7"/>
      <c r="K7"/>
      <c r="L7"/>
      <c r="M7"/>
      <c r="N7"/>
      <c r="O7"/>
      <c r="P7"/>
      <c r="Q7"/>
    </row>
    <row r="8" spans="1:17">
      <c r="A8" t="s">
        <v>83</v>
      </c>
      <c r="B8" t="s">
        <v>84</v>
      </c>
      <c r="C8" s="45">
        <v>2710</v>
      </c>
      <c r="D8" s="45">
        <v>1625</v>
      </c>
      <c r="E8" s="45">
        <v>4335</v>
      </c>
    </row>
    <row r="9" spans="1:17">
      <c r="A9" t="s">
        <v>79</v>
      </c>
      <c r="C9" s="45">
        <v>2710</v>
      </c>
      <c r="D9" s="45">
        <v>1625</v>
      </c>
      <c r="E9" s="45">
        <v>4335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6" sqref="A6"/>
    </sheetView>
  </sheetViews>
  <sheetFormatPr baseColWidth="10" defaultRowHeight="15"/>
  <cols>
    <col min="1" max="1" width="22.7109375" customWidth="1"/>
    <col min="2" max="2" width="22" style="7" customWidth="1"/>
  </cols>
  <sheetData>
    <row r="1" spans="1:2">
      <c r="A1" t="s">
        <v>35</v>
      </c>
      <c r="B1" s="7" t="s">
        <v>36</v>
      </c>
    </row>
    <row r="2" spans="1:2">
      <c r="A2" t="s">
        <v>39</v>
      </c>
      <c r="B2" s="7" t="s">
        <v>40</v>
      </c>
    </row>
    <row r="3" spans="1:2">
      <c r="A3" t="s">
        <v>37</v>
      </c>
      <c r="B3" s="7">
        <v>2016</v>
      </c>
    </row>
    <row r="4" spans="1:2">
      <c r="A4" t="s">
        <v>38</v>
      </c>
      <c r="B4" s="7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Accueil</vt:lpstr>
      <vt:lpstr>Ventes</vt:lpstr>
      <vt:lpstr>Articles</vt:lpstr>
      <vt:lpstr>Catégories</vt:lpstr>
      <vt:lpstr>Types</vt:lpstr>
      <vt:lpstr>Statistiques</vt:lpstr>
      <vt:lpstr>Paramètres</vt:lpstr>
      <vt:lpstr>Ventes!_FilterDatabase</vt:lpstr>
      <vt:lpstr>Année_Réf</vt:lpstr>
      <vt:lpstr>Articles</vt:lpstr>
      <vt:lpstr>Types!Catégories</vt:lpstr>
      <vt:lpstr>Catégories</vt:lpstr>
      <vt:lpstr>Liste_Articles</vt:lpstr>
      <vt:lpstr>Types!Liste_Catégories</vt:lpstr>
      <vt:lpstr>Liste_Catégories</vt:lpstr>
      <vt:lpstr>Nb_Caisses</vt:lpstr>
      <vt:lpstr>Raison_Sociale</vt:lpstr>
      <vt:lpstr>Titre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Closon</dc:creator>
  <cp:lastModifiedBy>Admin</cp:lastModifiedBy>
  <dcterms:created xsi:type="dcterms:W3CDTF">2015-12-18T00:38:39Z</dcterms:created>
  <dcterms:modified xsi:type="dcterms:W3CDTF">2016-01-15T10:10:29Z</dcterms:modified>
</cp:coreProperties>
</file>