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21840" windowHeight="11835"/>
  </bookViews>
  <sheets>
    <sheet name="Accueil" sheetId="4" r:id="rId1"/>
    <sheet name="Entetes Devis" sheetId="2" r:id="rId2"/>
    <sheet name="Lignes Devis" sheetId="10" r:id="rId3"/>
    <sheet name="Devis" sheetId="14" r:id="rId4"/>
    <sheet name="Entetes Factures" sheetId="12" r:id="rId5"/>
    <sheet name="Lignes Factures" sheetId="11" r:id="rId6"/>
    <sheet name="Facture" sheetId="15" r:id="rId7"/>
    <sheet name="Réglements" sheetId="13" r:id="rId8"/>
    <sheet name="Clients" sheetId="9" r:id="rId9"/>
    <sheet name="Paramètres" sheetId="1" r:id="rId10"/>
  </sheets>
  <functionGroups/>
  <definedNames>
    <definedName name="_xlnm._FilterDatabase" localSheetId="8" hidden="1">Clients!$A$4:$K$7</definedName>
    <definedName name="_xlnm._FilterDatabase" localSheetId="1" hidden="1">'Entetes Devis'!$A$4:$J$7</definedName>
    <definedName name="_xlnm._FilterDatabase" localSheetId="4" hidden="1">'Entetes Factures'!$A$4:$J$5</definedName>
    <definedName name="_xlnm._FilterDatabase" localSheetId="2" hidden="1">'Lignes Devis'!$A$4:$K$14</definedName>
    <definedName name="_xlnm._FilterDatabase" localSheetId="5" hidden="1">'Lignes Factures'!$A$4:$K$8</definedName>
    <definedName name="_xlnm._FilterDatabase" localSheetId="7" hidden="1">Réglements!$A$4:$F$7</definedName>
    <definedName name="Adresse_1">Paramètres!$B$2</definedName>
    <definedName name="Adresse_2">Paramètres!$B$3</definedName>
    <definedName name="Client_Devis">Devis!$H$7</definedName>
    <definedName name="Client_Facture">Facture!$H$7</definedName>
    <definedName name="Clients">Clients!$A$4:$K$8</definedName>
    <definedName name="Code_postal">Paramètres!$B$4</definedName>
    <definedName name="Courriel">Paramètres!$B$9</definedName>
    <definedName name="Critère_Devis">Devis!$J$1:$J$2</definedName>
    <definedName name="Critère_Facture">Facture!$J$1:$J$2</definedName>
    <definedName name="_xlnm.Criteria" localSheetId="3">Devis!$J$1:$J$2</definedName>
    <definedName name="_xlnm.Criteria" localSheetId="6">Facture!$J$1:$J$2</definedName>
    <definedName name="Entetes_Devis">'Entetes Devis'!$A$4:$J$8</definedName>
    <definedName name="Entetes_Factures">'Entetes Factures'!$A$4:$J$6</definedName>
    <definedName name="Extraction_Devis">Devis!$O$13:$Y$13</definedName>
    <definedName name="Extraction_Facture">Facture!$O$13:$Y$13</definedName>
    <definedName name="_xlnm.Extract" localSheetId="3">Devis!$O$13:$Y$13</definedName>
    <definedName name="_xlnm.Extract" localSheetId="6">Facture!$O$13:$Y$13</definedName>
    <definedName name="_xlnm.Extract" localSheetId="5">'Lignes Factures'!#REF!</definedName>
    <definedName name="Lignes_Devis">'Lignes Devis'!$A$4:$K$14</definedName>
    <definedName name="Lignes_Factures">'Lignes Factures'!$A$4:$K$8</definedName>
    <definedName name="Liste_Clients">Clients!$A$4:$A$8</definedName>
    <definedName name="Liste_Devis">'Entetes Devis'!$A$4:$A$8</definedName>
    <definedName name="Liste_Factures">'Entetes Factures'!$A$4:$A$6</definedName>
    <definedName name="Liste_Numeros_Devis">'Entetes Devis'!$D$4:$D$8</definedName>
    <definedName name="Modes_Paiement">Paramètres!$A$12:$A$19</definedName>
    <definedName name="Numéro_Devis">Devis!$J$2</definedName>
    <definedName name="Numéro_Facture">Facture!$J$2</definedName>
    <definedName name="Raison_sociale">Paramètres!$B$1</definedName>
    <definedName name="Site_web">Paramètres!$B$8</definedName>
    <definedName name="Taux_TVA">Paramètres!$A$21:$A$25</definedName>
    <definedName name="Télécopie">Paramètres!$B$7</definedName>
    <definedName name="Téléphone">Paramètres!$B$6</definedName>
    <definedName name="Titre">Paramètres!$B$10</definedName>
    <definedName name="VD_Mode_Paiement">Paramètres!$B$28</definedName>
    <definedName name="VD_Taux_TVA">Paramètres!$B$29</definedName>
    <definedName name="Ville">Paramètres!$B$5</definedName>
    <definedName name="_xlnm.Print_Area" localSheetId="3">Devis!$A$1:$H$46</definedName>
    <definedName name="_xlnm.Print_Area" localSheetId="6">Facture!$A$1:$H$46</definedName>
  </definedNames>
  <calcPr calcId="125725"/>
</workbook>
</file>

<file path=xl/calcChain.xml><?xml version="1.0" encoding="utf-8"?>
<calcChain xmlns="http://schemas.openxmlformats.org/spreadsheetml/2006/main">
  <c r="I7" i="2"/>
  <c r="H7"/>
  <c r="G7"/>
  <c r="A7"/>
  <c r="A6"/>
  <c r="G6" s="1"/>
  <c r="I5"/>
  <c r="H5"/>
  <c r="G5"/>
  <c r="A5"/>
  <c r="J6" i="11"/>
  <c r="I6"/>
  <c r="H6"/>
  <c r="J5"/>
  <c r="I5"/>
  <c r="H5"/>
  <c r="J13" i="10"/>
  <c r="I13"/>
  <c r="H13"/>
  <c r="J12"/>
  <c r="I12"/>
  <c r="H12"/>
  <c r="J11"/>
  <c r="I11"/>
  <c r="H11"/>
  <c r="J10"/>
  <c r="I10"/>
  <c r="H10"/>
  <c r="J9"/>
  <c r="I9"/>
  <c r="H9"/>
  <c r="J8"/>
  <c r="I8"/>
  <c r="H8"/>
  <c r="J7"/>
  <c r="I7"/>
  <c r="H7"/>
  <c r="J6"/>
  <c r="I6"/>
  <c r="H6"/>
  <c r="H7" i="11"/>
  <c r="I7" s="1"/>
  <c r="A5" i="12"/>
  <c r="G5" s="1"/>
  <c r="J5" i="10"/>
  <c r="I5"/>
  <c r="H5"/>
  <c r="I6" i="2" l="1"/>
  <c r="H6"/>
  <c r="I5" i="12"/>
  <c r="J7" i="11"/>
  <c r="H5" i="12"/>
  <c r="H3" i="14"/>
  <c r="H4" i="15"/>
  <c r="H3"/>
  <c r="H4" i="14"/>
  <c r="H7"/>
  <c r="H10" s="1"/>
  <c r="H8" l="1"/>
  <c r="H9"/>
  <c r="H46" i="15" l="1"/>
  <c r="J9" s="1"/>
  <c r="H45"/>
  <c r="J8" s="1"/>
  <c r="H46" i="14"/>
  <c r="J9" s="1"/>
  <c r="H45"/>
  <c r="J8" s="1"/>
  <c r="B15"/>
  <c r="C15"/>
  <c r="D15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B18"/>
  <c r="C18"/>
  <c r="D18"/>
  <c r="E18"/>
  <c r="F18"/>
  <c r="G18"/>
  <c r="H18"/>
  <c r="B19"/>
  <c r="C19"/>
  <c r="D19"/>
  <c r="E19"/>
  <c r="F19"/>
  <c r="G19"/>
  <c r="H19"/>
  <c r="B20"/>
  <c r="C20"/>
  <c r="D20"/>
  <c r="E20"/>
  <c r="F20"/>
  <c r="G20"/>
  <c r="H20"/>
  <c r="B21"/>
  <c r="C21"/>
  <c r="D21"/>
  <c r="E21"/>
  <c r="F21"/>
  <c r="G21"/>
  <c r="H21"/>
  <c r="B22"/>
  <c r="C22"/>
  <c r="D22"/>
  <c r="E22"/>
  <c r="F22"/>
  <c r="G22"/>
  <c r="H22"/>
  <c r="B23"/>
  <c r="C23"/>
  <c r="D23"/>
  <c r="E23"/>
  <c r="F23"/>
  <c r="G23"/>
  <c r="H23"/>
  <c r="B24"/>
  <c r="C24"/>
  <c r="D24"/>
  <c r="E24"/>
  <c r="F24"/>
  <c r="G24"/>
  <c r="H24"/>
  <c r="B25"/>
  <c r="C25"/>
  <c r="D25"/>
  <c r="E25"/>
  <c r="F25"/>
  <c r="G25"/>
  <c r="H25"/>
  <c r="B26"/>
  <c r="C26"/>
  <c r="D26"/>
  <c r="E26"/>
  <c r="F26"/>
  <c r="G26"/>
  <c r="H26"/>
  <c r="B27"/>
  <c r="C27"/>
  <c r="D27"/>
  <c r="E27"/>
  <c r="F27"/>
  <c r="G27"/>
  <c r="H27"/>
  <c r="B28"/>
  <c r="C28"/>
  <c r="D28"/>
  <c r="E28"/>
  <c r="F28"/>
  <c r="G28"/>
  <c r="H28"/>
  <c r="B29"/>
  <c r="C29"/>
  <c r="D29"/>
  <c r="E29"/>
  <c r="F29"/>
  <c r="G29"/>
  <c r="H29"/>
  <c r="B30"/>
  <c r="C30"/>
  <c r="D30"/>
  <c r="E30"/>
  <c r="F30"/>
  <c r="G30"/>
  <c r="H30"/>
  <c r="B31"/>
  <c r="C31"/>
  <c r="D31"/>
  <c r="E31"/>
  <c r="F31"/>
  <c r="G31"/>
  <c r="H31"/>
  <c r="B32"/>
  <c r="C32"/>
  <c r="D32"/>
  <c r="E32"/>
  <c r="F32"/>
  <c r="G32"/>
  <c r="H32"/>
  <c r="B33"/>
  <c r="C33"/>
  <c r="D33"/>
  <c r="E33"/>
  <c r="F33"/>
  <c r="G33"/>
  <c r="H33"/>
  <c r="B34"/>
  <c r="C34"/>
  <c r="D34"/>
  <c r="E34"/>
  <c r="F34"/>
  <c r="G34"/>
  <c r="H34"/>
  <c r="B35"/>
  <c r="C35"/>
  <c r="D35"/>
  <c r="E35"/>
  <c r="F35"/>
  <c r="G35"/>
  <c r="H35"/>
  <c r="B36"/>
  <c r="C36"/>
  <c r="D36"/>
  <c r="E36"/>
  <c r="F36"/>
  <c r="G36"/>
  <c r="H36"/>
  <c r="B37"/>
  <c r="C37"/>
  <c r="D37"/>
  <c r="E37"/>
  <c r="F37"/>
  <c r="G37"/>
  <c r="H37"/>
  <c r="B38"/>
  <c r="C38"/>
  <c r="D38"/>
  <c r="E38"/>
  <c r="F38"/>
  <c r="G38"/>
  <c r="H38"/>
  <c r="B39"/>
  <c r="C39"/>
  <c r="D39"/>
  <c r="E39"/>
  <c r="F39"/>
  <c r="G39"/>
  <c r="H39"/>
  <c r="B40"/>
  <c r="C40"/>
  <c r="D40"/>
  <c r="E40"/>
  <c r="F40"/>
  <c r="G40"/>
  <c r="H40"/>
  <c r="B41"/>
  <c r="C41"/>
  <c r="D41"/>
  <c r="E41"/>
  <c r="F41"/>
  <c r="G41"/>
  <c r="H41"/>
  <c r="B42"/>
  <c r="C42"/>
  <c r="D42"/>
  <c r="E42"/>
  <c r="F42"/>
  <c r="G42"/>
  <c r="H42"/>
  <c r="B43"/>
  <c r="C43"/>
  <c r="D43"/>
  <c r="E43"/>
  <c r="F43"/>
  <c r="G43"/>
  <c r="H43"/>
  <c r="H14"/>
  <c r="G14"/>
  <c r="F14"/>
  <c r="E14"/>
  <c r="D14"/>
  <c r="C14"/>
  <c r="B14"/>
  <c r="B15" i="15"/>
  <c r="C15"/>
  <c r="D15"/>
  <c r="E15"/>
  <c r="F15"/>
  <c r="G15"/>
  <c r="H15"/>
  <c r="B16"/>
  <c r="C16"/>
  <c r="D16"/>
  <c r="E16"/>
  <c r="F16"/>
  <c r="G16"/>
  <c r="H16"/>
  <c r="B17"/>
  <c r="C17"/>
  <c r="D17"/>
  <c r="E17"/>
  <c r="F17"/>
  <c r="G17"/>
  <c r="H17"/>
  <c r="B18"/>
  <c r="C18"/>
  <c r="D18"/>
  <c r="E18"/>
  <c r="F18"/>
  <c r="G18"/>
  <c r="H18"/>
  <c r="B19"/>
  <c r="C19"/>
  <c r="D19"/>
  <c r="E19"/>
  <c r="F19"/>
  <c r="G19"/>
  <c r="H19"/>
  <c r="B20"/>
  <c r="C20"/>
  <c r="D20"/>
  <c r="E20"/>
  <c r="F20"/>
  <c r="G20"/>
  <c r="H20"/>
  <c r="B21"/>
  <c r="C21"/>
  <c r="D21"/>
  <c r="E21"/>
  <c r="F21"/>
  <c r="G21"/>
  <c r="H21"/>
  <c r="B22"/>
  <c r="C22"/>
  <c r="D22"/>
  <c r="E22"/>
  <c r="F22"/>
  <c r="G22"/>
  <c r="H22"/>
  <c r="B23"/>
  <c r="C23"/>
  <c r="D23"/>
  <c r="E23"/>
  <c r="F23"/>
  <c r="G23"/>
  <c r="H23"/>
  <c r="B24"/>
  <c r="C24"/>
  <c r="D24"/>
  <c r="E24"/>
  <c r="F24"/>
  <c r="G24"/>
  <c r="H24"/>
  <c r="B25"/>
  <c r="C25"/>
  <c r="D25"/>
  <c r="E25"/>
  <c r="F25"/>
  <c r="G25"/>
  <c r="H25"/>
  <c r="B26"/>
  <c r="C26"/>
  <c r="D26"/>
  <c r="E26"/>
  <c r="F26"/>
  <c r="G26"/>
  <c r="H26"/>
  <c r="B27"/>
  <c r="C27"/>
  <c r="D27"/>
  <c r="E27"/>
  <c r="F27"/>
  <c r="G27"/>
  <c r="H27"/>
  <c r="B28"/>
  <c r="C28"/>
  <c r="D28"/>
  <c r="E28"/>
  <c r="F28"/>
  <c r="G28"/>
  <c r="H28"/>
  <c r="B29"/>
  <c r="C29"/>
  <c r="D29"/>
  <c r="E29"/>
  <c r="F29"/>
  <c r="G29"/>
  <c r="H29"/>
  <c r="B30"/>
  <c r="C30"/>
  <c r="D30"/>
  <c r="E30"/>
  <c r="F30"/>
  <c r="G30"/>
  <c r="H30"/>
  <c r="B31"/>
  <c r="C31"/>
  <c r="D31"/>
  <c r="E31"/>
  <c r="F31"/>
  <c r="G31"/>
  <c r="H31"/>
  <c r="B32"/>
  <c r="C32"/>
  <c r="D32"/>
  <c r="E32"/>
  <c r="F32"/>
  <c r="G32"/>
  <c r="H32"/>
  <c r="B33"/>
  <c r="C33"/>
  <c r="D33"/>
  <c r="E33"/>
  <c r="F33"/>
  <c r="G33"/>
  <c r="H33"/>
  <c r="B34"/>
  <c r="C34"/>
  <c r="D34"/>
  <c r="E34"/>
  <c r="F34"/>
  <c r="G34"/>
  <c r="H34"/>
  <c r="B35"/>
  <c r="C35"/>
  <c r="D35"/>
  <c r="E35"/>
  <c r="F35"/>
  <c r="G35"/>
  <c r="H35"/>
  <c r="B36"/>
  <c r="C36"/>
  <c r="D36"/>
  <c r="E36"/>
  <c r="F36"/>
  <c r="G36"/>
  <c r="H36"/>
  <c r="B37"/>
  <c r="C37"/>
  <c r="D37"/>
  <c r="E37"/>
  <c r="F37"/>
  <c r="G37"/>
  <c r="H37"/>
  <c r="B38"/>
  <c r="C38"/>
  <c r="D38"/>
  <c r="E38"/>
  <c r="F38"/>
  <c r="G38"/>
  <c r="H38"/>
  <c r="B39"/>
  <c r="C39"/>
  <c r="D39"/>
  <c r="E39"/>
  <c r="F39"/>
  <c r="G39"/>
  <c r="H39"/>
  <c r="B40"/>
  <c r="C40"/>
  <c r="D40"/>
  <c r="E40"/>
  <c r="F40"/>
  <c r="G40"/>
  <c r="H40"/>
  <c r="B41"/>
  <c r="C41"/>
  <c r="D41"/>
  <c r="E41"/>
  <c r="F41"/>
  <c r="G41"/>
  <c r="H41"/>
  <c r="B42"/>
  <c r="C42"/>
  <c r="D42"/>
  <c r="E42"/>
  <c r="F42"/>
  <c r="G42"/>
  <c r="H42"/>
  <c r="B43"/>
  <c r="C43"/>
  <c r="D43"/>
  <c r="E43"/>
  <c r="F43"/>
  <c r="G43"/>
  <c r="H43"/>
  <c r="H14"/>
  <c r="G14"/>
  <c r="F14"/>
  <c r="E14"/>
  <c r="D14"/>
  <c r="C14"/>
  <c r="B14"/>
  <c r="A11"/>
  <c r="A10"/>
  <c r="A9"/>
  <c r="A8"/>
  <c r="A7"/>
  <c r="A6"/>
  <c r="A5"/>
  <c r="A4"/>
  <c r="A11" i="14"/>
  <c r="A10"/>
  <c r="A9"/>
  <c r="A8"/>
  <c r="A7"/>
  <c r="A6"/>
  <c r="A5"/>
  <c r="A4"/>
  <c r="A1" i="13"/>
  <c r="I5" i="9" s="1"/>
  <c r="A1" i="12"/>
  <c r="A1" i="11"/>
  <c r="A1" i="10"/>
  <c r="A1" i="9"/>
  <c r="A1" i="2"/>
  <c r="B1" i="4"/>
  <c r="H1" i="15" l="1"/>
  <c r="H7"/>
  <c r="H44"/>
  <c r="J7" s="1"/>
  <c r="H44" i="14"/>
  <c r="J7" s="1"/>
  <c r="H6" i="9"/>
  <c r="E7" i="13"/>
  <c r="I7" i="9" s="1"/>
  <c r="E6" i="13"/>
  <c r="H2" i="10"/>
  <c r="I2"/>
  <c r="H2" i="11"/>
  <c r="I2" l="1"/>
  <c r="H8" i="15"/>
  <c r="H10"/>
  <c r="H9"/>
  <c r="G5" i="9"/>
  <c r="G7"/>
  <c r="J2" i="10"/>
  <c r="G6" i="9"/>
  <c r="E2" i="13"/>
  <c r="I6" i="9"/>
  <c r="J6" s="1"/>
  <c r="H2" i="12"/>
  <c r="G2"/>
  <c r="H1" i="14"/>
  <c r="H2" i="2"/>
  <c r="G2"/>
  <c r="J2" i="11" l="1"/>
  <c r="I2" i="12"/>
  <c r="H7" i="9"/>
  <c r="J7" s="1"/>
  <c r="I2" i="2"/>
  <c r="H5" i="9" l="1"/>
  <c r="J5" s="1"/>
</calcChain>
</file>

<file path=xl/sharedStrings.xml><?xml version="1.0" encoding="utf-8"?>
<sst xmlns="http://schemas.openxmlformats.org/spreadsheetml/2006/main" count="248" uniqueCount="107">
  <si>
    <t>Raison sociale</t>
  </si>
  <si>
    <t>Adresse 1</t>
  </si>
  <si>
    <t>Adresse 2</t>
  </si>
  <si>
    <t>Code postal</t>
  </si>
  <si>
    <t>Ville</t>
  </si>
  <si>
    <t>Téléphone</t>
  </si>
  <si>
    <t>Télécopie</t>
  </si>
  <si>
    <t>Site web</t>
  </si>
  <si>
    <t>Courriel</t>
  </si>
  <si>
    <t>Ma Petite Entreprise</t>
  </si>
  <si>
    <t>1 rue des Roses</t>
  </si>
  <si>
    <t>Bâtiment B - Entrée E</t>
  </si>
  <si>
    <t>Excel-les-Bains</t>
  </si>
  <si>
    <t>01.01.01.01.01</t>
  </si>
  <si>
    <t>01.01.01.01.02</t>
  </si>
  <si>
    <t>Titre</t>
  </si>
  <si>
    <t>Devis et Factures</t>
  </si>
  <si>
    <t>Client</t>
  </si>
  <si>
    <t>Date</t>
  </si>
  <si>
    <t>Nombre de lignes</t>
  </si>
  <si>
    <t>Montant HT</t>
  </si>
  <si>
    <t>Montant TTC</t>
  </si>
  <si>
    <t>Observations</t>
  </si>
  <si>
    <t>Numéro Devis</t>
  </si>
  <si>
    <t>CP</t>
  </si>
  <si>
    <t>Mail contact</t>
  </si>
  <si>
    <t>Montant Factures</t>
  </si>
  <si>
    <t>Montant Réglements</t>
  </si>
  <si>
    <t>Solde</t>
  </si>
  <si>
    <t>1 rue des Rosiers</t>
  </si>
  <si>
    <t>Garage Ma Jolie Poubelle</t>
  </si>
  <si>
    <t>gerard.lescrau@mjp.fr</t>
  </si>
  <si>
    <t>Plomberie Scellaf 8</t>
  </si>
  <si>
    <t>2 rue des Cerisiers</t>
  </si>
  <si>
    <t>g.2mainsgauches@ps8.fr</t>
  </si>
  <si>
    <t>3 rue des Marronniers</t>
  </si>
  <si>
    <t>sylvain.tfemalboidlo@mpa.fr</t>
  </si>
  <si>
    <t>Maçonnerie Plume d'Ange</t>
  </si>
  <si>
    <t>DE15001</t>
  </si>
  <si>
    <t>DE15002</t>
  </si>
  <si>
    <t>DE15003</t>
  </si>
  <si>
    <t>Identifiant</t>
  </si>
  <si>
    <t>Devis</t>
  </si>
  <si>
    <t>Article</t>
  </si>
  <si>
    <t>Quantité</t>
  </si>
  <si>
    <t>Unité</t>
  </si>
  <si>
    <t>PUHT</t>
  </si>
  <si>
    <t>Taux de TVA</t>
  </si>
  <si>
    <t>Montant TVA</t>
  </si>
  <si>
    <t>jours</t>
  </si>
  <si>
    <t>forfait</t>
  </si>
  <si>
    <t>Facture</t>
  </si>
  <si>
    <t>Remise</t>
  </si>
  <si>
    <t>FA15001</t>
  </si>
  <si>
    <t>FA15002</t>
  </si>
  <si>
    <t>FA15003</t>
  </si>
  <si>
    <t>Numéro Facture</t>
  </si>
  <si>
    <t>Mode</t>
  </si>
  <si>
    <t>Chèque</t>
  </si>
  <si>
    <t>Espèces</t>
  </si>
  <si>
    <t>Virement</t>
  </si>
  <si>
    <t>Prélèvement</t>
  </si>
  <si>
    <t>Paypal</t>
  </si>
  <si>
    <t>Montant réglé</t>
  </si>
  <si>
    <t>Montant TTC Devis</t>
  </si>
  <si>
    <t>Numéro</t>
  </si>
  <si>
    <t>Désignation</t>
  </si>
  <si>
    <t xml:space="preserve">Total HT </t>
  </si>
  <si>
    <t xml:space="preserve">Montant TVA </t>
  </si>
  <si>
    <t xml:space="preserve">Montant TTC </t>
  </si>
  <si>
    <t>contact@mpe.fr</t>
  </si>
  <si>
    <t>mpe.fr</t>
  </si>
  <si>
    <t>Adresse ligne 1</t>
  </si>
  <si>
    <t>Adresse ligne 2</t>
  </si>
  <si>
    <t>Carte bancaire</t>
  </si>
  <si>
    <t>Modes de paiement</t>
  </si>
  <si>
    <t>Libellé</t>
  </si>
  <si>
    <t>Plomberie Selaf 8</t>
  </si>
  <si>
    <t>Maintenance Gestion de Clientèle</t>
  </si>
  <si>
    <t>Licence Gestion de Clientèle</t>
  </si>
  <si>
    <t>Formation Gestion de Clientèle</t>
  </si>
  <si>
    <t>Montant 
HT</t>
  </si>
  <si>
    <t>Montant 
TVA</t>
  </si>
  <si>
    <t>Montant 
TTC</t>
  </si>
  <si>
    <t>année</t>
  </si>
  <si>
    <t>licence</t>
  </si>
  <si>
    <t>Valeurs par défaut</t>
  </si>
  <si>
    <t>Mode de paiement</t>
  </si>
  <si>
    <t>Maintenance Gestion de Formation</t>
  </si>
  <si>
    <t>Licence Gestion de Formation</t>
  </si>
  <si>
    <t>Formation Gestion de la Formation</t>
  </si>
  <si>
    <r>
      <t></t>
    </r>
    <r>
      <rPr>
        <b/>
        <sz val="12"/>
        <color rgb="FFFFFFFF"/>
        <rFont val="Calibri"/>
        <family val="2"/>
        <scheme val="minor"/>
      </rPr>
      <t xml:space="preserve"> </t>
    </r>
  </si>
  <si>
    <t>Application Gestion de la Formation</t>
  </si>
  <si>
    <t>Application Gestion Comptable</t>
  </si>
  <si>
    <t>Licence application Gestion Comptable</t>
  </si>
  <si>
    <t>Formation Gestion Comptable</t>
  </si>
  <si>
    <t>Maintenance Gestion Comptable</t>
  </si>
  <si>
    <t>Numéro
Facture</t>
  </si>
  <si>
    <t>Numéro
Devis</t>
  </si>
  <si>
    <t>Date
Facture</t>
  </si>
  <si>
    <t>Licence Gestion Factures</t>
  </si>
  <si>
    <t>Gamme complète de logiciels et prestations informatiques</t>
  </si>
  <si>
    <t>DE15001 - Garage Ma Jolie Poubelle - Gamme complète de logiciels et prestations informatiques</t>
  </si>
  <si>
    <t>FA15004</t>
  </si>
  <si>
    <t>FA15004 - Garage Ma Jolie Poubelle - Gamme complète de logiciels et prestations informatiques</t>
  </si>
  <si>
    <t>Licence Gestion Clientèle</t>
  </si>
  <si>
    <t>Licence Gestion Comptable</t>
  </si>
</sst>
</file>

<file path=xl/styles.xml><?xml version="1.0" encoding="utf-8"?>
<styleSheet xmlns="http://schemas.openxmlformats.org/spreadsheetml/2006/main">
  <numFmts count="3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2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sz val="14"/>
      <color theme="6" tint="-0.249977111117893"/>
      <name val="Arial Black"/>
      <family val="2"/>
    </font>
    <font>
      <sz val="14"/>
      <color theme="4" tint="-0.249977111117893"/>
      <name val="Arial Black"/>
      <family val="2"/>
    </font>
    <font>
      <b/>
      <sz val="26"/>
      <color theme="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6"/>
      <color theme="4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8"/>
      <color theme="4" tint="-0.249977111117893"/>
      <name val="Calibri"/>
      <family val="2"/>
      <scheme val="minor"/>
    </font>
    <font>
      <b/>
      <sz val="20"/>
      <color rgb="FFFFFFFF"/>
      <name val="Webdings"/>
      <family val="1"/>
      <charset val="2"/>
    </font>
    <font>
      <b/>
      <sz val="12"/>
      <color rgb="FFFFFFFF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7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149">
    <xf numFmtId="0" fontId="0" fillId="0" borderId="0" xfId="0"/>
    <xf numFmtId="0" fontId="0" fillId="2" borderId="0" xfId="0" applyFill="1"/>
    <xf numFmtId="0" fontId="0" fillId="0" borderId="0" xfId="0" applyAlignment="1">
      <alignment horizontal="left"/>
    </xf>
    <xf numFmtId="0" fontId="1" fillId="0" borderId="0" xfId="1" applyAlignment="1" applyProtection="1">
      <alignment horizontal="left"/>
    </xf>
    <xf numFmtId="0" fontId="2" fillId="3" borderId="0" xfId="2" applyFill="1" applyProtection="1"/>
    <xf numFmtId="0" fontId="2" fillId="3" borderId="0" xfId="2" applyFill="1" applyAlignment="1" applyProtection="1">
      <alignment horizontal="center"/>
    </xf>
    <xf numFmtId="0" fontId="4" fillId="3" borderId="0" xfId="3" applyFont="1" applyFill="1" applyAlignment="1" applyProtection="1">
      <alignment horizontal="center" vertical="center"/>
    </xf>
    <xf numFmtId="0" fontId="2" fillId="3" borderId="0" xfId="2" applyFill="1" applyAlignment="1" applyProtection="1">
      <alignment vertical="center"/>
    </xf>
    <xf numFmtId="0" fontId="5" fillId="3" borderId="0" xfId="2" applyFont="1" applyFill="1" applyAlignment="1" applyProtection="1">
      <alignment vertical="center"/>
    </xf>
    <xf numFmtId="0" fontId="6" fillId="3" borderId="0" xfId="2" applyFont="1" applyFill="1" applyAlignment="1" applyProtection="1"/>
    <xf numFmtId="0" fontId="7" fillId="3" borderId="0" xfId="2" applyFont="1" applyFill="1" applyAlignment="1" applyProtection="1">
      <alignment horizontal="left" vertical="top"/>
    </xf>
    <xf numFmtId="0" fontId="10" fillId="0" borderId="0" xfId="0" applyFont="1"/>
    <xf numFmtId="0" fontId="11" fillId="0" borderId="0" xfId="0" applyFont="1"/>
    <xf numFmtId="0" fontId="0" fillId="0" borderId="0" xfId="0" applyAlignment="1">
      <alignment horizontal="center"/>
    </xf>
    <xf numFmtId="0" fontId="10" fillId="0" borderId="0" xfId="0" applyFont="1" applyAlignment="1">
      <alignment vertical="top" wrapText="1"/>
    </xf>
    <xf numFmtId="44" fontId="0" fillId="0" borderId="0" xfId="4" applyFont="1" applyAlignment="1">
      <alignment horizontal="center"/>
    </xf>
    <xf numFmtId="0" fontId="10" fillId="2" borderId="0" xfId="0" applyFont="1" applyFill="1" applyAlignment="1">
      <alignment vertical="top" wrapText="1"/>
    </xf>
    <xf numFmtId="0" fontId="10" fillId="2" borderId="0" xfId="0" applyFont="1" applyFill="1" applyAlignment="1">
      <alignment horizontal="center" vertical="top" wrapText="1"/>
    </xf>
    <xf numFmtId="0" fontId="0" fillId="2" borderId="0" xfId="0" applyFill="1" applyAlignment="1">
      <alignment horizontal="center"/>
    </xf>
    <xf numFmtId="0" fontId="11" fillId="4" borderId="0" xfId="0" applyFont="1" applyFill="1"/>
    <xf numFmtId="0" fontId="11" fillId="4" borderId="0" xfId="0" applyFont="1" applyFill="1" applyAlignment="1">
      <alignment horizontal="center"/>
    </xf>
    <xf numFmtId="44" fontId="11" fillId="4" borderId="0" xfId="4" applyFont="1" applyFill="1" applyAlignment="1">
      <alignment horizontal="center"/>
    </xf>
    <xf numFmtId="0" fontId="10" fillId="4" borderId="0" xfId="0" applyFont="1" applyFill="1"/>
    <xf numFmtId="0" fontId="10" fillId="4" borderId="0" xfId="0" applyFont="1" applyFill="1" applyAlignment="1">
      <alignment horizontal="center"/>
    </xf>
    <xf numFmtId="44" fontId="10" fillId="4" borderId="0" xfId="4" applyFont="1" applyFill="1" applyAlignment="1">
      <alignment horizontal="center"/>
    </xf>
    <xf numFmtId="0" fontId="10" fillId="6" borderId="0" xfId="0" applyFont="1" applyFill="1" applyAlignment="1">
      <alignment horizontal="center" vertical="top" wrapText="1"/>
    </xf>
    <xf numFmtId="44" fontId="10" fillId="6" borderId="0" xfId="4" applyFont="1" applyFill="1" applyAlignment="1">
      <alignment horizontal="center" vertical="top" wrapText="1"/>
    </xf>
    <xf numFmtId="0" fontId="0" fillId="6" borderId="0" xfId="0" applyFill="1" applyAlignment="1">
      <alignment horizontal="center"/>
    </xf>
    <xf numFmtId="44" fontId="0" fillId="6" borderId="0" xfId="4" applyFont="1" applyFill="1" applyAlignment="1">
      <alignment horizontal="center"/>
    </xf>
    <xf numFmtId="44" fontId="0" fillId="5" borderId="0" xfId="4" applyFont="1" applyFill="1" applyAlignment="1">
      <alignment horizontal="center"/>
    </xf>
    <xf numFmtId="0" fontId="0" fillId="0" borderId="0" xfId="0" applyProtection="1">
      <protection locked="0"/>
    </xf>
    <xf numFmtId="0" fontId="10" fillId="2" borderId="0" xfId="0" applyFont="1" applyFill="1" applyAlignment="1">
      <alignment horizontal="left" vertical="top" wrapText="1"/>
    </xf>
    <xf numFmtId="0" fontId="11" fillId="4" borderId="0" xfId="0" applyFont="1" applyFill="1" applyAlignment="1">
      <alignment horizontal="left"/>
    </xf>
    <xf numFmtId="0" fontId="10" fillId="4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14" fontId="0" fillId="0" borderId="0" xfId="0" applyNumberFormat="1" applyAlignment="1">
      <alignment horizontal="center"/>
    </xf>
    <xf numFmtId="0" fontId="10" fillId="6" borderId="0" xfId="0" applyFont="1" applyFill="1" applyAlignment="1">
      <alignment horizontal="left" vertical="top" wrapText="1"/>
    </xf>
    <xf numFmtId="0" fontId="11" fillId="7" borderId="0" xfId="0" applyFont="1" applyFill="1"/>
    <xf numFmtId="0" fontId="11" fillId="7" borderId="0" xfId="0" applyFont="1" applyFill="1" applyAlignment="1">
      <alignment horizontal="center"/>
    </xf>
    <xf numFmtId="44" fontId="11" fillId="7" borderId="0" xfId="4" applyFont="1" applyFill="1" applyAlignment="1">
      <alignment horizontal="center"/>
    </xf>
    <xf numFmtId="0" fontId="13" fillId="7" borderId="0" xfId="0" applyFont="1" applyFill="1" applyAlignment="1">
      <alignment horizontal="center" vertical="center"/>
    </xf>
    <xf numFmtId="44" fontId="13" fillId="7" borderId="0" xfId="4" applyFont="1" applyFill="1" applyAlignment="1">
      <alignment horizontal="center" vertical="center"/>
    </xf>
    <xf numFmtId="0" fontId="10" fillId="7" borderId="0" xfId="0" applyFont="1" applyFill="1"/>
    <xf numFmtId="0" fontId="10" fillId="7" borderId="0" xfId="0" applyFont="1" applyFill="1" applyAlignment="1">
      <alignment horizontal="center"/>
    </xf>
    <xf numFmtId="44" fontId="10" fillId="7" borderId="0" xfId="4" applyFont="1" applyFill="1" applyAlignment="1">
      <alignment horizontal="center"/>
    </xf>
    <xf numFmtId="44" fontId="11" fillId="7" borderId="0" xfId="4" applyFont="1" applyFill="1"/>
    <xf numFmtId="44" fontId="10" fillId="7" borderId="0" xfId="4" applyFont="1" applyFill="1"/>
    <xf numFmtId="44" fontId="10" fillId="2" borderId="0" xfId="4" applyFont="1" applyFill="1" applyAlignment="1">
      <alignment horizontal="center" vertical="top" wrapText="1"/>
    </xf>
    <xf numFmtId="44" fontId="0" fillId="2" borderId="0" xfId="4" applyFont="1" applyFill="1" applyAlignment="1">
      <alignment horizontal="center"/>
    </xf>
    <xf numFmtId="44" fontId="0" fillId="0" borderId="0" xfId="4" applyFont="1"/>
    <xf numFmtId="10" fontId="11" fillId="7" borderId="0" xfId="5" applyNumberFormat="1" applyFont="1" applyFill="1"/>
    <xf numFmtId="10" fontId="11" fillId="7" borderId="0" xfId="5" applyNumberFormat="1" applyFont="1" applyFill="1" applyAlignment="1">
      <alignment horizontal="center"/>
    </xf>
    <xf numFmtId="10" fontId="10" fillId="7" borderId="0" xfId="5" applyNumberFormat="1" applyFont="1" applyFill="1"/>
    <xf numFmtId="10" fontId="10" fillId="7" borderId="0" xfId="5" applyNumberFormat="1" applyFont="1" applyFill="1" applyAlignment="1">
      <alignment horizontal="center"/>
    </xf>
    <xf numFmtId="10" fontId="10" fillId="2" borderId="0" xfId="5" applyNumberFormat="1" applyFont="1" applyFill="1" applyAlignment="1">
      <alignment horizontal="center" vertical="top" wrapText="1"/>
    </xf>
    <xf numFmtId="10" fontId="0" fillId="0" borderId="0" xfId="5" applyNumberFormat="1" applyFont="1" applyAlignment="1">
      <alignment horizontal="center"/>
    </xf>
    <xf numFmtId="10" fontId="0" fillId="0" borderId="0" xfId="5" applyNumberFormat="1" applyFont="1"/>
    <xf numFmtId="0" fontId="0" fillId="0" borderId="0" xfId="0" applyAlignment="1">
      <alignment horizontal="right"/>
    </xf>
    <xf numFmtId="0" fontId="14" fillId="0" borderId="0" xfId="0" applyFont="1" applyAlignment="1">
      <alignment horizontal="right"/>
    </xf>
    <xf numFmtId="0" fontId="15" fillId="0" borderId="0" xfId="0" applyFont="1" applyAlignment="1">
      <alignment horizontal="right"/>
    </xf>
    <xf numFmtId="0" fontId="0" fillId="0" borderId="0" xfId="0" applyAlignment="1">
      <alignment vertical="top" wrapText="1"/>
    </xf>
    <xf numFmtId="0" fontId="16" fillId="0" borderId="0" xfId="0" applyFont="1" applyAlignment="1">
      <alignment horizontal="right"/>
    </xf>
    <xf numFmtId="0" fontId="12" fillId="8" borderId="0" xfId="0" applyFont="1" applyFill="1" applyAlignment="1">
      <alignment vertical="top" wrapText="1"/>
    </xf>
    <xf numFmtId="0" fontId="12" fillId="8" borderId="0" xfId="0" applyFont="1" applyFill="1" applyAlignment="1">
      <alignment horizontal="left" vertical="top" wrapText="1"/>
    </xf>
    <xf numFmtId="0" fontId="12" fillId="8" borderId="0" xfId="0" applyFont="1" applyFill="1" applyAlignment="1">
      <alignment horizontal="center" vertical="top" wrapText="1"/>
    </xf>
    <xf numFmtId="44" fontId="12" fillId="8" borderId="0" xfId="4" applyFont="1" applyFill="1" applyAlignment="1">
      <alignment horizontal="center" vertical="top" wrapText="1"/>
    </xf>
    <xf numFmtId="10" fontId="12" fillId="8" borderId="0" xfId="5" applyNumberFormat="1" applyFont="1" applyFill="1" applyAlignment="1">
      <alignment horizontal="center"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vertical="top" wrapText="1"/>
    </xf>
    <xf numFmtId="44" fontId="0" fillId="2" borderId="1" xfId="4" applyFont="1" applyFill="1" applyBorder="1" applyAlignment="1">
      <alignment horizontal="center" vertical="top" wrapText="1"/>
    </xf>
    <xf numFmtId="10" fontId="0" fillId="2" borderId="1" xfId="5" applyNumberFormat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44" fontId="0" fillId="0" borderId="1" xfId="4" applyFont="1" applyBorder="1" applyAlignment="1">
      <alignment vertical="top" wrapText="1"/>
    </xf>
    <xf numFmtId="10" fontId="0" fillId="0" borderId="1" xfId="5" applyNumberFormat="1" applyFont="1" applyBorder="1" applyAlignment="1">
      <alignment vertical="top" wrapText="1"/>
    </xf>
    <xf numFmtId="44" fontId="0" fillId="2" borderId="1" xfId="4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2" borderId="2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8" fillId="3" borderId="0" xfId="2" applyFont="1" applyFill="1" applyAlignment="1" applyProtection="1">
      <alignment vertical="center"/>
    </xf>
    <xf numFmtId="0" fontId="0" fillId="2" borderId="1" xfId="0" applyFill="1" applyBorder="1" applyAlignment="1">
      <alignment horizontal="center"/>
    </xf>
    <xf numFmtId="10" fontId="0" fillId="2" borderId="0" xfId="5" applyNumberFormat="1" applyFont="1" applyFill="1" applyAlignment="1">
      <alignment horizontal="left"/>
    </xf>
    <xf numFmtId="10" fontId="0" fillId="2" borderId="0" xfId="5" applyNumberFormat="1" applyFont="1" applyFill="1"/>
    <xf numFmtId="0" fontId="0" fillId="11" borderId="0" xfId="0" applyFill="1" applyAlignment="1">
      <alignment horizontal="left"/>
    </xf>
    <xf numFmtId="0" fontId="1" fillId="11" borderId="0" xfId="1" applyFill="1" applyAlignment="1" applyProtection="1">
      <alignment horizontal="left"/>
    </xf>
    <xf numFmtId="10" fontId="0" fillId="11" borderId="0" xfId="5" applyNumberFormat="1" applyFont="1" applyFill="1" applyAlignment="1">
      <alignment horizontal="left"/>
    </xf>
    <xf numFmtId="43" fontId="0" fillId="11" borderId="0" xfId="6" applyNumberFormat="1" applyFont="1" applyFill="1"/>
    <xf numFmtId="10" fontId="11" fillId="4" borderId="0" xfId="5" applyNumberFormat="1" applyFont="1" applyFill="1"/>
    <xf numFmtId="10" fontId="11" fillId="4" borderId="0" xfId="5" applyNumberFormat="1" applyFont="1" applyFill="1" applyAlignment="1">
      <alignment horizontal="center"/>
    </xf>
    <xf numFmtId="0" fontId="20" fillId="4" borderId="0" xfId="0" applyFont="1" applyFill="1" applyAlignment="1">
      <alignment horizontal="center"/>
    </xf>
    <xf numFmtId="44" fontId="18" fillId="4" borderId="0" xfId="4" applyFont="1" applyFill="1" applyAlignment="1">
      <alignment horizontal="center" vertical="center"/>
    </xf>
    <xf numFmtId="44" fontId="13" fillId="4" borderId="0" xfId="4" applyFont="1" applyFill="1" applyAlignment="1">
      <alignment horizontal="center" vertical="center"/>
    </xf>
    <xf numFmtId="10" fontId="10" fillId="4" borderId="0" xfId="5" applyNumberFormat="1" applyFont="1" applyFill="1"/>
    <xf numFmtId="10" fontId="10" fillId="4" borderId="0" xfId="5" applyNumberFormat="1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right"/>
    </xf>
    <xf numFmtId="0" fontId="16" fillId="4" borderId="0" xfId="0" applyFont="1" applyFill="1" applyAlignment="1">
      <alignment horizontal="right"/>
    </xf>
    <xf numFmtId="0" fontId="19" fillId="4" borderId="0" xfId="0" applyFont="1" applyFill="1" applyAlignment="1">
      <alignment horizontal="right"/>
    </xf>
    <xf numFmtId="0" fontId="14" fillId="4" borderId="0" xfId="0" applyFont="1" applyFill="1" applyAlignment="1">
      <alignment horizontal="right"/>
    </xf>
    <xf numFmtId="0" fontId="15" fillId="4" borderId="0" xfId="0" applyFont="1" applyFill="1" applyAlignment="1">
      <alignment horizontal="right"/>
    </xf>
    <xf numFmtId="0" fontId="0" fillId="4" borderId="1" xfId="0" applyFill="1" applyBorder="1" applyAlignment="1">
      <alignment horizontal="center" vertical="top" wrapText="1"/>
    </xf>
    <xf numFmtId="0" fontId="0" fillId="4" borderId="1" xfId="0" applyFill="1" applyBorder="1" applyAlignment="1">
      <alignment vertical="top" wrapText="1"/>
    </xf>
    <xf numFmtId="0" fontId="0" fillId="4" borderId="0" xfId="0" applyFill="1" applyAlignment="1">
      <alignment vertical="top" wrapText="1"/>
    </xf>
    <xf numFmtId="0" fontId="12" fillId="4" borderId="0" xfId="0" applyFont="1" applyFill="1" applyAlignment="1">
      <alignment vertical="top" wrapText="1"/>
    </xf>
    <xf numFmtId="0" fontId="12" fillId="4" borderId="0" xfId="0" applyFont="1" applyFill="1" applyAlignment="1">
      <alignment horizontal="left" vertical="top" wrapText="1"/>
    </xf>
    <xf numFmtId="0" fontId="12" fillId="4" borderId="0" xfId="0" applyFont="1" applyFill="1" applyAlignment="1">
      <alignment horizontal="center" vertical="top" wrapText="1"/>
    </xf>
    <xf numFmtId="44" fontId="12" fillId="4" borderId="0" xfId="4" applyFont="1" applyFill="1" applyAlignment="1">
      <alignment horizontal="center" vertical="top" wrapText="1"/>
    </xf>
    <xf numFmtId="10" fontId="12" fillId="4" borderId="0" xfId="5" applyNumberFormat="1" applyFont="1" applyFill="1" applyAlignment="1">
      <alignment horizontal="center" vertical="top" wrapText="1"/>
    </xf>
    <xf numFmtId="44" fontId="0" fillId="4" borderId="1" xfId="4" applyFont="1" applyFill="1" applyBorder="1" applyAlignment="1">
      <alignment vertical="top" wrapText="1"/>
    </xf>
    <xf numFmtId="10" fontId="0" fillId="4" borderId="1" xfId="5" applyNumberFormat="1" applyFont="1" applyFill="1" applyBorder="1" applyAlignment="1">
      <alignment vertical="top" wrapText="1"/>
    </xf>
    <xf numFmtId="0" fontId="0" fillId="4" borderId="0" xfId="0" applyFill="1" applyAlignment="1">
      <alignment vertical="center"/>
    </xf>
    <xf numFmtId="0" fontId="0" fillId="4" borderId="4" xfId="0" applyFill="1" applyBorder="1" applyAlignment="1">
      <alignment vertical="center"/>
    </xf>
    <xf numFmtId="0" fontId="11" fillId="7" borderId="0" xfId="0" applyFont="1" applyFill="1" applyAlignment="1">
      <alignment horizontal="left"/>
    </xf>
    <xf numFmtId="0" fontId="10" fillId="7" borderId="0" xfId="0" applyFont="1" applyFill="1" applyAlignment="1">
      <alignment horizontal="left"/>
    </xf>
    <xf numFmtId="0" fontId="0" fillId="5" borderId="0" xfId="0" applyFill="1" applyAlignment="1">
      <alignment horizontal="left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5" borderId="0" xfId="0" applyFill="1" applyAlignment="1">
      <alignment horizontal="center" vertical="top" wrapText="1"/>
    </xf>
    <xf numFmtId="44" fontId="0" fillId="5" borderId="0" xfId="4" applyFont="1" applyFill="1" applyAlignment="1">
      <alignment horizontal="center" vertical="top" wrapText="1"/>
    </xf>
    <xf numFmtId="0" fontId="0" fillId="0" borderId="0" xfId="0" applyAlignment="1" applyProtection="1">
      <alignment vertical="top" wrapText="1"/>
      <protection locked="0"/>
    </xf>
    <xf numFmtId="0" fontId="0" fillId="6" borderId="0" xfId="0" applyFill="1" applyAlignment="1">
      <alignment horizontal="left" vertical="top" wrapText="1"/>
    </xf>
    <xf numFmtId="0" fontId="0" fillId="2" borderId="0" xfId="0" applyFill="1" applyAlignment="1">
      <alignment vertical="top" wrapText="1"/>
    </xf>
    <xf numFmtId="0" fontId="0" fillId="2" borderId="0" xfId="0" applyFill="1" applyAlignment="1">
      <alignment horizontal="center" vertical="top" wrapText="1"/>
    </xf>
    <xf numFmtId="0" fontId="0" fillId="6" borderId="0" xfId="0" applyFill="1" applyAlignment="1">
      <alignment horizontal="center" vertical="top" wrapText="1"/>
    </xf>
    <xf numFmtId="44" fontId="0" fillId="6" borderId="0" xfId="4" applyFont="1" applyFill="1" applyAlignment="1">
      <alignment horizontal="center" vertical="top" wrapText="1"/>
    </xf>
    <xf numFmtId="0" fontId="0" fillId="0" borderId="0" xfId="0" applyAlignment="1">
      <alignment horizontal="left" vertical="top" wrapText="1"/>
    </xf>
    <xf numFmtId="7" fontId="0" fillId="0" borderId="0" xfId="4" applyNumberFormat="1" applyFont="1" applyAlignment="1">
      <alignment horizontal="center" vertical="top" wrapText="1"/>
    </xf>
    <xf numFmtId="10" fontId="0" fillId="0" borderId="0" xfId="5" applyNumberFormat="1" applyFont="1" applyAlignment="1">
      <alignment horizontal="right" vertical="top" wrapText="1"/>
    </xf>
    <xf numFmtId="44" fontId="0" fillId="0" borderId="0" xfId="4" applyFont="1" applyAlignment="1">
      <alignment horizontal="center" vertical="top" wrapText="1"/>
    </xf>
    <xf numFmtId="10" fontId="0" fillId="0" borderId="0" xfId="5" applyNumberFormat="1" applyFont="1" applyAlignment="1">
      <alignment horizontal="center" vertical="top" wrapText="1"/>
    </xf>
    <xf numFmtId="0" fontId="0" fillId="2" borderId="0" xfId="0" applyFill="1" applyAlignment="1">
      <alignment horizontal="left" vertical="top" wrapText="1"/>
    </xf>
    <xf numFmtId="44" fontId="0" fillId="2" borderId="0" xfId="4" applyFont="1" applyFill="1" applyAlignment="1">
      <alignment horizontal="center" vertical="top" wrapText="1"/>
    </xf>
    <xf numFmtId="10" fontId="0" fillId="2" borderId="0" xfId="5" applyNumberFormat="1" applyFont="1" applyFill="1" applyAlignment="1">
      <alignment horizontal="center" vertical="top" wrapText="1"/>
    </xf>
    <xf numFmtId="0" fontId="17" fillId="0" borderId="0" xfId="0" applyFont="1" applyFill="1" applyAlignment="1">
      <alignment vertical="top" wrapText="1"/>
    </xf>
    <xf numFmtId="0" fontId="0" fillId="0" borderId="0" xfId="0" applyFill="1" applyAlignment="1">
      <alignment vertical="top" wrapText="1"/>
    </xf>
    <xf numFmtId="0" fontId="0" fillId="0" borderId="0" xfId="0" applyFill="1"/>
    <xf numFmtId="0" fontId="0" fillId="0" borderId="0" xfId="0" applyFill="1" applyAlignment="1">
      <alignment vertical="center"/>
    </xf>
    <xf numFmtId="0" fontId="17" fillId="8" borderId="0" xfId="0" applyFont="1" applyFill="1" applyAlignment="1">
      <alignment horizontal="center" vertical="top" wrapText="1"/>
    </xf>
    <xf numFmtId="0" fontId="0" fillId="12" borderId="0" xfId="0" applyFill="1" applyAlignment="1">
      <alignment horizontal="center" vertical="top" wrapText="1"/>
    </xf>
    <xf numFmtId="0" fontId="22" fillId="0" borderId="0" xfId="0" applyFont="1" applyAlignment="1">
      <alignment horizontal="left" vertical="top" wrapText="1"/>
    </xf>
    <xf numFmtId="0" fontId="17" fillId="9" borderId="0" xfId="0" applyFont="1" applyFill="1" applyAlignment="1">
      <alignment horizontal="center" vertical="top"/>
    </xf>
    <xf numFmtId="0" fontId="23" fillId="6" borderId="0" xfId="0" applyFont="1" applyFill="1" applyAlignment="1">
      <alignment horizontal="left" vertical="top" wrapText="1"/>
    </xf>
    <xf numFmtId="0" fontId="22" fillId="5" borderId="0" xfId="0" applyFont="1" applyFill="1" applyAlignment="1">
      <alignment horizontal="left" vertical="top" wrapText="1"/>
    </xf>
    <xf numFmtId="0" fontId="22" fillId="6" borderId="0" xfId="0" applyFont="1" applyFill="1" applyAlignment="1">
      <alignment horizontal="left" vertical="top" wrapText="1"/>
    </xf>
    <xf numFmtId="0" fontId="0" fillId="10" borderId="0" xfId="0" applyFill="1" applyAlignment="1">
      <alignment horizontal="center" vertical="top" wrapText="1"/>
    </xf>
    <xf numFmtId="0" fontId="24" fillId="7" borderId="0" xfId="0" applyFont="1" applyFill="1" applyAlignment="1" applyProtection="1">
      <alignment horizontal="center" vertical="top"/>
      <protection locked="0"/>
    </xf>
    <xf numFmtId="0" fontId="0" fillId="2" borderId="2" xfId="0" applyFill="1" applyBorder="1" applyAlignment="1">
      <alignment horizontal="right" vertical="center"/>
    </xf>
    <xf numFmtId="0" fontId="0" fillId="2" borderId="3" xfId="0" applyFill="1" applyBorder="1" applyAlignment="1">
      <alignment horizontal="right" vertical="center"/>
    </xf>
    <xf numFmtId="0" fontId="0" fillId="2" borderId="1" xfId="0" applyFill="1" applyBorder="1" applyAlignment="1">
      <alignment horizontal="right" vertical="center"/>
    </xf>
  </cellXfs>
  <cellStyles count="7">
    <cellStyle name="Lien hypertexte" xfId="1" builtinId="8"/>
    <cellStyle name="Lien hypertexte 2" xfId="3"/>
    <cellStyle name="Milliers" xfId="6" builtinId="3"/>
    <cellStyle name="Monétaire" xfId="4" builtinId="4"/>
    <cellStyle name="Normal" xfId="0" builtinId="0"/>
    <cellStyle name="Normal 2" xfId="2"/>
    <cellStyle name="Pourcentage" xfId="5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ignes Factures'!A4"/><Relationship Id="rId3" Type="http://schemas.openxmlformats.org/officeDocument/2006/relationships/hyperlink" Target="#'Entetes Factures'!A4"/><Relationship Id="rId7" Type="http://schemas.openxmlformats.org/officeDocument/2006/relationships/hyperlink" Target="#'Lignes Devis'!A4"/><Relationship Id="rId2" Type="http://schemas.openxmlformats.org/officeDocument/2006/relationships/hyperlink" Target="#'Entetes Devis'!A4"/><Relationship Id="rId1" Type="http://schemas.openxmlformats.org/officeDocument/2006/relationships/hyperlink" Target="#Param&#232;tres!A1"/><Relationship Id="rId6" Type="http://schemas.openxmlformats.org/officeDocument/2006/relationships/hyperlink" Target="#R&#233;glements!A4"/><Relationship Id="rId5" Type="http://schemas.openxmlformats.org/officeDocument/2006/relationships/hyperlink" Target="#Clients!A4"/><Relationship Id="rId10" Type="http://schemas.openxmlformats.org/officeDocument/2006/relationships/hyperlink" Target="#Facture!A4"/><Relationship Id="rId4" Type="http://schemas.openxmlformats.org/officeDocument/2006/relationships/image" Target="../media/image1.jpeg"/><Relationship Id="rId9" Type="http://schemas.openxmlformats.org/officeDocument/2006/relationships/hyperlink" Target="#Devis!J2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1603215</xdr:colOff>
      <xdr:row>1</xdr:row>
      <xdr:rowOff>2192122</xdr:rowOff>
    </xdr:from>
    <xdr:to>
      <xdr:col>1</xdr:col>
      <xdr:colOff>3168564</xdr:colOff>
      <xdr:row>1</xdr:row>
      <xdr:rowOff>2673061</xdr:rowOff>
    </xdr:to>
    <xdr:sp macro="" textlink="">
      <xdr:nvSpPr>
        <xdr:cNvPr id="3" name="Rectangle à coins arrondis 2">
          <a:hlinkClick xmlns:r="http://schemas.openxmlformats.org/officeDocument/2006/relationships" r:id="rId1" tooltip="Paramètres et mode d'emploi"/>
        </xdr:cNvPr>
        <xdr:cNvSpPr/>
      </xdr:nvSpPr>
      <xdr:spPr>
        <a:xfrm>
          <a:off x="4746465" y="3591564"/>
          <a:ext cx="1565349" cy="480939"/>
        </a:xfrm>
        <a:prstGeom prst="roundRect">
          <a:avLst/>
        </a:prstGeom>
        <a:ln/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628007</xdr:colOff>
      <xdr:row>1</xdr:row>
      <xdr:rowOff>101139</xdr:rowOff>
    </xdr:from>
    <xdr:to>
      <xdr:col>1</xdr:col>
      <xdr:colOff>2193356</xdr:colOff>
      <xdr:row>1</xdr:row>
      <xdr:rowOff>582078</xdr:rowOff>
    </xdr:to>
    <xdr:sp macro="" textlink="">
      <xdr:nvSpPr>
        <xdr:cNvPr id="4" name="Rectangle à coins arrondis 3">
          <a:hlinkClick xmlns:r="http://schemas.openxmlformats.org/officeDocument/2006/relationships" r:id="rId2" tooltip="Entetes Devis"/>
        </xdr:cNvPr>
        <xdr:cNvSpPr/>
      </xdr:nvSpPr>
      <xdr:spPr>
        <a:xfrm>
          <a:off x="3771257" y="1500581"/>
          <a:ext cx="1565349" cy="480939"/>
        </a:xfrm>
        <a:prstGeom prst="round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Entêtes</a:t>
          </a:r>
          <a:r>
            <a:rPr lang="fr-FR" sz="1200" b="0" baseline="0">
              <a:solidFill>
                <a:schemeClr val="bg1"/>
              </a:solidFill>
            </a:rPr>
            <a:t> </a:t>
          </a:r>
          <a:r>
            <a:rPr lang="fr-FR" sz="1200" b="0">
              <a:solidFill>
                <a:schemeClr val="bg1"/>
              </a:solidFill>
            </a:rPr>
            <a:t>Devis</a:t>
          </a:r>
        </a:p>
      </xdr:txBody>
    </xdr:sp>
    <xdr:clientData/>
  </xdr:twoCellAnchor>
  <xdr:twoCellAnchor>
    <xdr:from>
      <xdr:col>1</xdr:col>
      <xdr:colOff>630116</xdr:colOff>
      <xdr:row>1</xdr:row>
      <xdr:rowOff>766963</xdr:rowOff>
    </xdr:from>
    <xdr:to>
      <xdr:col>1</xdr:col>
      <xdr:colOff>2206556</xdr:colOff>
      <xdr:row>1</xdr:row>
      <xdr:rowOff>1247902</xdr:rowOff>
    </xdr:to>
    <xdr:sp macro="" textlink="">
      <xdr:nvSpPr>
        <xdr:cNvPr id="5" name="Rectangle à coins arrondis 4">
          <a:hlinkClick xmlns:r="http://schemas.openxmlformats.org/officeDocument/2006/relationships" r:id="rId3" tooltip="Entetes Factures"/>
        </xdr:cNvPr>
        <xdr:cNvSpPr/>
      </xdr:nvSpPr>
      <xdr:spPr>
        <a:xfrm>
          <a:off x="3773366" y="2166405"/>
          <a:ext cx="1576440" cy="480939"/>
        </a:xfrm>
        <a:prstGeom prst="roundRect">
          <a:avLst/>
        </a:prstGeom>
        <a:ln/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lt1"/>
              </a:solidFill>
              <a:latin typeface="+mn-lt"/>
              <a:ea typeface="+mn-ea"/>
              <a:cs typeface="+mn-cs"/>
            </a:rPr>
            <a:t>Entêtes</a:t>
          </a:r>
          <a:r>
            <a:rPr lang="fr-FR" sz="1050" b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200" b="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1</xdr:col>
      <xdr:colOff>3371829</xdr:colOff>
      <xdr:row>1</xdr:row>
      <xdr:rowOff>2185727</xdr:rowOff>
    </xdr:from>
    <xdr:to>
      <xdr:col>1</xdr:col>
      <xdr:colOff>4937178</xdr:colOff>
      <xdr:row>1</xdr:row>
      <xdr:rowOff>2666666</xdr:rowOff>
    </xdr:to>
    <xdr:sp macro="[0]!quitter" textlink="">
      <xdr:nvSpPr>
        <xdr:cNvPr id="6" name="Rectangle à coins arrondis 5"/>
        <xdr:cNvSpPr/>
      </xdr:nvSpPr>
      <xdr:spPr>
        <a:xfrm>
          <a:off x="6515079" y="3585169"/>
          <a:ext cx="1565349" cy="480939"/>
        </a:xfrm>
        <a:prstGeom prst="round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Quitter</a:t>
          </a:r>
        </a:p>
      </xdr:txBody>
    </xdr:sp>
    <xdr:clientData/>
  </xdr:twoCellAnchor>
  <xdr:twoCellAnchor editAs="oneCell">
    <xdr:from>
      <xdr:col>0</xdr:col>
      <xdr:colOff>1190141</xdr:colOff>
      <xdr:row>1</xdr:row>
      <xdr:rowOff>76200</xdr:rowOff>
    </xdr:from>
    <xdr:to>
      <xdr:col>0</xdr:col>
      <xdr:colOff>3058166</xdr:colOff>
      <xdr:row>1</xdr:row>
      <xdr:rowOff>1657350</xdr:rowOff>
    </xdr:to>
    <xdr:pic>
      <xdr:nvPicPr>
        <xdr:cNvPr id="1025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90141" y="1965056"/>
          <a:ext cx="1868025" cy="1581150"/>
        </a:xfrm>
        <a:prstGeom prst="rect">
          <a:avLst/>
        </a:prstGeom>
        <a:noFill/>
        <a:effectLst>
          <a:reflection blurRad="6350" stA="50000" endA="300" endPos="90000" dist="50800" dir="5400000" sy="-100000" algn="bl" rotWithShape="0"/>
        </a:effectLst>
      </xdr:spPr>
    </xdr:pic>
    <xdr:clientData/>
  </xdr:twoCellAnchor>
  <xdr:twoCellAnchor>
    <xdr:from>
      <xdr:col>1</xdr:col>
      <xdr:colOff>645990</xdr:colOff>
      <xdr:row>1</xdr:row>
      <xdr:rowOff>1457154</xdr:rowOff>
    </xdr:from>
    <xdr:to>
      <xdr:col>1</xdr:col>
      <xdr:colOff>2211339</xdr:colOff>
      <xdr:row>1</xdr:row>
      <xdr:rowOff>1938093</xdr:rowOff>
    </xdr:to>
    <xdr:sp macro="" textlink="">
      <xdr:nvSpPr>
        <xdr:cNvPr id="14" name="Rectangle à coins arrondis 13">
          <a:hlinkClick xmlns:r="http://schemas.openxmlformats.org/officeDocument/2006/relationships" r:id="rId5" tooltip="Fichier des clients"/>
        </xdr:cNvPr>
        <xdr:cNvSpPr/>
      </xdr:nvSpPr>
      <xdr:spPr>
        <a:xfrm>
          <a:off x="3789240" y="2856596"/>
          <a:ext cx="1565349" cy="480939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Clients</a:t>
          </a:r>
        </a:p>
      </xdr:txBody>
    </xdr:sp>
    <xdr:clientData/>
  </xdr:twoCellAnchor>
  <xdr:twoCellAnchor>
    <xdr:from>
      <xdr:col>1</xdr:col>
      <xdr:colOff>4240171</xdr:colOff>
      <xdr:row>1</xdr:row>
      <xdr:rowOff>1462950</xdr:rowOff>
    </xdr:from>
    <xdr:to>
      <xdr:col>1</xdr:col>
      <xdr:colOff>5805520</xdr:colOff>
      <xdr:row>1</xdr:row>
      <xdr:rowOff>1943889</xdr:rowOff>
    </xdr:to>
    <xdr:sp macro="" textlink="">
      <xdr:nvSpPr>
        <xdr:cNvPr id="15" name="Rectangle à coins arrondis 14"/>
        <xdr:cNvSpPr/>
      </xdr:nvSpPr>
      <xdr:spPr>
        <a:xfrm>
          <a:off x="7383421" y="2862392"/>
          <a:ext cx="1565349" cy="480939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Synthèses</a:t>
          </a:r>
        </a:p>
      </xdr:txBody>
    </xdr:sp>
    <xdr:clientData/>
  </xdr:twoCellAnchor>
  <xdr:twoCellAnchor>
    <xdr:from>
      <xdr:col>1</xdr:col>
      <xdr:colOff>2439273</xdr:colOff>
      <xdr:row>1</xdr:row>
      <xdr:rowOff>1462241</xdr:rowOff>
    </xdr:from>
    <xdr:to>
      <xdr:col>1</xdr:col>
      <xdr:colOff>4004622</xdr:colOff>
      <xdr:row>1</xdr:row>
      <xdr:rowOff>1943180</xdr:rowOff>
    </xdr:to>
    <xdr:sp macro="" textlink="">
      <xdr:nvSpPr>
        <xdr:cNvPr id="10" name="Rectangle à coins arrondis 9">
          <a:hlinkClick xmlns:r="http://schemas.openxmlformats.org/officeDocument/2006/relationships" r:id="rId6" tooltip="Règlements"/>
        </xdr:cNvPr>
        <xdr:cNvSpPr/>
      </xdr:nvSpPr>
      <xdr:spPr>
        <a:xfrm>
          <a:off x="5582523" y="2861683"/>
          <a:ext cx="1565349" cy="480939"/>
        </a:xfrm>
        <a:prstGeom prst="roundRec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lt1"/>
              </a:solidFill>
              <a:latin typeface="+mn-lt"/>
              <a:ea typeface="+mn-ea"/>
              <a:cs typeface="+mn-cs"/>
            </a:rPr>
            <a:t>Règlements</a:t>
          </a:r>
          <a:endParaRPr lang="fr-FR" sz="1200" b="0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2421391</xdr:colOff>
      <xdr:row>1</xdr:row>
      <xdr:rowOff>93092</xdr:rowOff>
    </xdr:from>
    <xdr:to>
      <xdr:col>1</xdr:col>
      <xdr:colOff>3986740</xdr:colOff>
      <xdr:row>1</xdr:row>
      <xdr:rowOff>574031</xdr:rowOff>
    </xdr:to>
    <xdr:sp macro="" textlink="">
      <xdr:nvSpPr>
        <xdr:cNvPr id="11" name="Rectangle à coins arrondis 10">
          <a:hlinkClick xmlns:r="http://schemas.openxmlformats.org/officeDocument/2006/relationships" r:id="rId7" tooltip="Lignes Devis"/>
        </xdr:cNvPr>
        <xdr:cNvSpPr/>
      </xdr:nvSpPr>
      <xdr:spPr>
        <a:xfrm>
          <a:off x="5564641" y="1492534"/>
          <a:ext cx="1565349" cy="480939"/>
        </a:xfrm>
        <a:prstGeom prst="round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Lignes Devis</a:t>
          </a:r>
        </a:p>
      </xdr:txBody>
    </xdr:sp>
    <xdr:clientData/>
  </xdr:twoCellAnchor>
  <xdr:twoCellAnchor>
    <xdr:from>
      <xdr:col>1</xdr:col>
      <xdr:colOff>2427571</xdr:colOff>
      <xdr:row>1</xdr:row>
      <xdr:rowOff>773921</xdr:rowOff>
    </xdr:from>
    <xdr:to>
      <xdr:col>1</xdr:col>
      <xdr:colOff>3992920</xdr:colOff>
      <xdr:row>1</xdr:row>
      <xdr:rowOff>1254860</xdr:rowOff>
    </xdr:to>
    <xdr:sp macro="" textlink="">
      <xdr:nvSpPr>
        <xdr:cNvPr id="12" name="Rectangle à coins arrondis 11">
          <a:hlinkClick xmlns:r="http://schemas.openxmlformats.org/officeDocument/2006/relationships" r:id="rId8" tooltip="Lignes Factures"/>
        </xdr:cNvPr>
        <xdr:cNvSpPr/>
      </xdr:nvSpPr>
      <xdr:spPr>
        <a:xfrm>
          <a:off x="5570821" y="2173363"/>
          <a:ext cx="1565349" cy="480939"/>
        </a:xfrm>
        <a:prstGeom prst="roundRect">
          <a:avLst/>
        </a:prstGeom>
        <a:ln/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lt1"/>
              </a:solidFill>
              <a:latin typeface="+mn-lt"/>
              <a:ea typeface="+mn-ea"/>
              <a:cs typeface="+mn-cs"/>
            </a:rPr>
            <a:t>Lignes </a:t>
          </a:r>
          <a:r>
            <a:rPr lang="fr-FR" sz="1200" b="0">
              <a:solidFill>
                <a:schemeClr val="bg1"/>
              </a:solidFill>
            </a:rPr>
            <a:t>Factures</a:t>
          </a:r>
        </a:p>
      </xdr:txBody>
    </xdr:sp>
    <xdr:clientData/>
  </xdr:twoCellAnchor>
  <xdr:twoCellAnchor>
    <xdr:from>
      <xdr:col>1</xdr:col>
      <xdr:colOff>4205931</xdr:colOff>
      <xdr:row>1</xdr:row>
      <xdr:rowOff>91601</xdr:rowOff>
    </xdr:from>
    <xdr:to>
      <xdr:col>1</xdr:col>
      <xdr:colOff>5771280</xdr:colOff>
      <xdr:row>1</xdr:row>
      <xdr:rowOff>572540</xdr:rowOff>
    </xdr:to>
    <xdr:sp macro="" textlink="">
      <xdr:nvSpPr>
        <xdr:cNvPr id="13" name="Rectangle à coins arrondis 12">
          <a:hlinkClick xmlns:r="http://schemas.openxmlformats.org/officeDocument/2006/relationships" r:id="rId9" tooltip="Devis"/>
        </xdr:cNvPr>
        <xdr:cNvSpPr/>
      </xdr:nvSpPr>
      <xdr:spPr>
        <a:xfrm>
          <a:off x="7349181" y="1491043"/>
          <a:ext cx="1565349" cy="480939"/>
        </a:xfrm>
        <a:prstGeom prst="roundRect">
          <a:avLst/>
        </a:prstGeom>
        <a:ln/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Devis</a:t>
          </a:r>
        </a:p>
      </xdr:txBody>
    </xdr:sp>
    <xdr:clientData/>
  </xdr:twoCellAnchor>
  <xdr:twoCellAnchor>
    <xdr:from>
      <xdr:col>1</xdr:col>
      <xdr:colOff>4212980</xdr:colOff>
      <xdr:row>1</xdr:row>
      <xdr:rowOff>776653</xdr:rowOff>
    </xdr:from>
    <xdr:to>
      <xdr:col>1</xdr:col>
      <xdr:colOff>5778329</xdr:colOff>
      <xdr:row>1</xdr:row>
      <xdr:rowOff>1257592</xdr:rowOff>
    </xdr:to>
    <xdr:sp macro="" textlink="">
      <xdr:nvSpPr>
        <xdr:cNvPr id="16" name="Rectangle à coins arrondis 15">
          <a:hlinkClick xmlns:r="http://schemas.openxmlformats.org/officeDocument/2006/relationships" r:id="rId10" tooltip="Facture"/>
        </xdr:cNvPr>
        <xdr:cNvSpPr/>
      </xdr:nvSpPr>
      <xdr:spPr>
        <a:xfrm>
          <a:off x="7356230" y="2176095"/>
          <a:ext cx="1565349" cy="480939"/>
        </a:xfrm>
        <a:prstGeom prst="roundRect">
          <a:avLst/>
        </a:prstGeom>
        <a:ln/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chemeClr val="bg1"/>
              </a:solidFill>
            </a:rPr>
            <a:t>Facture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1040632</xdr:colOff>
      <xdr:row>1</xdr:row>
      <xdr:rowOff>88667</xdr:rowOff>
    </xdr:from>
    <xdr:to>
      <xdr:col>0</xdr:col>
      <xdr:colOff>1409701</xdr:colOff>
      <xdr:row>1</xdr:row>
      <xdr:rowOff>448667</xdr:rowOff>
    </xdr:to>
    <xdr:sp macro="[0]!Feuil1.Trier_Entetes_Devis" textlink="">
      <xdr:nvSpPr>
        <xdr:cNvPr id="2" name="Bouton_Trier"/>
        <xdr:cNvSpPr/>
      </xdr:nvSpPr>
      <xdr:spPr>
        <a:xfrm>
          <a:off x="1040632" y="355367"/>
          <a:ext cx="36906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1497622</xdr:colOff>
      <xdr:row>1</xdr:row>
      <xdr:rowOff>94817</xdr:rowOff>
    </xdr:from>
    <xdr:to>
      <xdr:col>0</xdr:col>
      <xdr:colOff>1866035</xdr:colOff>
      <xdr:row>1</xdr:row>
      <xdr:rowOff>454817</xdr:rowOff>
    </xdr:to>
    <xdr:sp macro="[0]!Feuil1.Supprimer_Entetes_Devis" textlink="">
      <xdr:nvSpPr>
        <xdr:cNvPr id="3" name="Bouton_Supprimer"/>
        <xdr:cNvSpPr/>
      </xdr:nvSpPr>
      <xdr:spPr>
        <a:xfrm>
          <a:off x="1497622" y="361517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66675</xdr:colOff>
      <xdr:row>1</xdr:row>
      <xdr:rowOff>76200</xdr:rowOff>
    </xdr:from>
    <xdr:to>
      <xdr:col>0</xdr:col>
      <xdr:colOff>438151</xdr:colOff>
      <xdr:row>1</xdr:row>
      <xdr:rowOff>436200</xdr:rowOff>
    </xdr:to>
    <xdr:sp macro="[0]!Feuil1.Afficher_Form_Ajout_Entetes_Devis" textlink="">
      <xdr:nvSpPr>
        <xdr:cNvPr id="4" name="Bouton_Ajouter"/>
        <xdr:cNvSpPr/>
      </xdr:nvSpPr>
      <xdr:spPr>
        <a:xfrm>
          <a:off x="66675" y="342900"/>
          <a:ext cx="371476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529937</xdr:colOff>
      <xdr:row>1</xdr:row>
      <xdr:rowOff>76202</xdr:rowOff>
    </xdr:from>
    <xdr:to>
      <xdr:col>0</xdr:col>
      <xdr:colOff>942976</xdr:colOff>
      <xdr:row>1</xdr:row>
      <xdr:rowOff>436202</xdr:rowOff>
    </xdr:to>
    <xdr:sp macro="[0]!Feuil1.Afficher_Form_Modif_Entetes_Devis" textlink="">
      <xdr:nvSpPr>
        <xdr:cNvPr id="5" name="Bouton_Modifier"/>
        <xdr:cNvSpPr/>
      </xdr:nvSpPr>
      <xdr:spPr>
        <a:xfrm>
          <a:off x="529937" y="342902"/>
          <a:ext cx="41303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1954097</xdr:colOff>
      <xdr:row>1</xdr:row>
      <xdr:rowOff>93993</xdr:rowOff>
    </xdr:from>
    <xdr:to>
      <xdr:col>0</xdr:col>
      <xdr:colOff>2323376</xdr:colOff>
      <xdr:row>1</xdr:row>
      <xdr:rowOff>453993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1954097" y="359974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2422944</xdr:colOff>
      <xdr:row>1</xdr:row>
      <xdr:rowOff>88062</xdr:rowOff>
    </xdr:from>
    <xdr:to>
      <xdr:col>0</xdr:col>
      <xdr:colOff>2792223</xdr:colOff>
      <xdr:row>1</xdr:row>
      <xdr:rowOff>448062</xdr:rowOff>
    </xdr:to>
    <xdr:sp macro="[0]!Bouton_Devis_Clic" textlink="">
      <xdr:nvSpPr>
        <xdr:cNvPr id="7" name="Bouton_Devis"/>
        <xdr:cNvSpPr/>
      </xdr:nvSpPr>
      <xdr:spPr>
        <a:xfrm>
          <a:off x="2421327" y="354043"/>
          <a:ext cx="369279" cy="360000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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59127</xdr:colOff>
      <xdr:row>1</xdr:row>
      <xdr:rowOff>96868</xdr:rowOff>
    </xdr:from>
    <xdr:to>
      <xdr:col>1</xdr:col>
      <xdr:colOff>428406</xdr:colOff>
      <xdr:row>1</xdr:row>
      <xdr:rowOff>456868</xdr:rowOff>
    </xdr:to>
    <xdr:sp macro="[0]!EntetesDevis_Bouton_Facture_Clic" textlink="">
      <xdr:nvSpPr>
        <xdr:cNvPr id="8" name="Bouton_Facture"/>
        <xdr:cNvSpPr/>
      </xdr:nvSpPr>
      <xdr:spPr>
        <a:xfrm>
          <a:off x="2897577" y="363568"/>
          <a:ext cx="369279" cy="3600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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1040632</xdr:colOff>
      <xdr:row>1</xdr:row>
      <xdr:rowOff>88667</xdr:rowOff>
    </xdr:from>
    <xdr:to>
      <xdr:col>0</xdr:col>
      <xdr:colOff>1409701</xdr:colOff>
      <xdr:row>1</xdr:row>
      <xdr:rowOff>448667</xdr:rowOff>
    </xdr:to>
    <xdr:sp macro="[0]!Feuil3.Trier_Lignes_Devis" textlink="">
      <xdr:nvSpPr>
        <xdr:cNvPr id="2" name="Bouton_Trier_Opération"/>
        <xdr:cNvSpPr/>
      </xdr:nvSpPr>
      <xdr:spPr>
        <a:xfrm>
          <a:off x="1040632" y="355367"/>
          <a:ext cx="36906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1497622</xdr:colOff>
      <xdr:row>1</xdr:row>
      <xdr:rowOff>94817</xdr:rowOff>
    </xdr:from>
    <xdr:to>
      <xdr:col>0</xdr:col>
      <xdr:colOff>1866035</xdr:colOff>
      <xdr:row>1</xdr:row>
      <xdr:rowOff>454817</xdr:rowOff>
    </xdr:to>
    <xdr:sp macro="[0]!Feuil3.Supprimer_Lignes_Devis" textlink="">
      <xdr:nvSpPr>
        <xdr:cNvPr id="3" name="Bouton_Supprimer_Opération"/>
        <xdr:cNvSpPr/>
      </xdr:nvSpPr>
      <xdr:spPr>
        <a:xfrm>
          <a:off x="1497622" y="361517"/>
          <a:ext cx="368413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66675</xdr:colOff>
      <xdr:row>1</xdr:row>
      <xdr:rowOff>76200</xdr:rowOff>
    </xdr:from>
    <xdr:to>
      <xdr:col>0</xdr:col>
      <xdr:colOff>438151</xdr:colOff>
      <xdr:row>1</xdr:row>
      <xdr:rowOff>436200</xdr:rowOff>
    </xdr:to>
    <xdr:sp macro="[0]!Feuil3.Afficher_Form_Ajout_Lignes_Devis" textlink="">
      <xdr:nvSpPr>
        <xdr:cNvPr id="4" name="Bouton_Ajouter_Opération"/>
        <xdr:cNvSpPr/>
      </xdr:nvSpPr>
      <xdr:spPr>
        <a:xfrm>
          <a:off x="66675" y="342900"/>
          <a:ext cx="371476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529937</xdr:colOff>
      <xdr:row>1</xdr:row>
      <xdr:rowOff>76202</xdr:rowOff>
    </xdr:from>
    <xdr:to>
      <xdr:col>0</xdr:col>
      <xdr:colOff>942976</xdr:colOff>
      <xdr:row>1</xdr:row>
      <xdr:rowOff>436202</xdr:rowOff>
    </xdr:to>
    <xdr:sp macro="[0]!Feuil3.Afficher_Form_Modif_Lignes_Devis" textlink="">
      <xdr:nvSpPr>
        <xdr:cNvPr id="5" name="Bouton_Ajouter_Opération"/>
        <xdr:cNvSpPr/>
      </xdr:nvSpPr>
      <xdr:spPr>
        <a:xfrm>
          <a:off x="529937" y="342902"/>
          <a:ext cx="41303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1967347</xdr:colOff>
      <xdr:row>1</xdr:row>
      <xdr:rowOff>95251</xdr:rowOff>
    </xdr:from>
    <xdr:to>
      <xdr:col>0</xdr:col>
      <xdr:colOff>2336626</xdr:colOff>
      <xdr:row>1</xdr:row>
      <xdr:rowOff>455251</xdr:rowOff>
    </xdr:to>
    <xdr:sp macro="" textlink="">
      <xdr:nvSpPr>
        <xdr:cNvPr id="6" name="Bouton_Supprimer_Opération">
          <a:hlinkClick xmlns:r="http://schemas.openxmlformats.org/officeDocument/2006/relationships" r:id="rId1" tooltip="Accueil"/>
        </xdr:cNvPr>
        <xdr:cNvSpPr/>
      </xdr:nvSpPr>
      <xdr:spPr>
        <a:xfrm>
          <a:off x="1967347" y="363683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19050</xdr:colOff>
      <xdr:row>1</xdr:row>
      <xdr:rowOff>95250</xdr:rowOff>
    </xdr:from>
    <xdr:to>
      <xdr:col>1</xdr:col>
      <xdr:colOff>388329</xdr:colOff>
      <xdr:row>1</xdr:row>
      <xdr:rowOff>455250</xdr:rowOff>
    </xdr:to>
    <xdr:sp macro="[0]!Bouton_Devis_Lignes_Clic" textlink="">
      <xdr:nvSpPr>
        <xdr:cNvPr id="7" name="Bouton_Devis"/>
        <xdr:cNvSpPr/>
      </xdr:nvSpPr>
      <xdr:spPr>
        <a:xfrm>
          <a:off x="2447925" y="361950"/>
          <a:ext cx="369279" cy="360000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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1172741</xdr:colOff>
      <xdr:row>3</xdr:row>
      <xdr:rowOff>9525</xdr:rowOff>
    </xdr:to>
    <xdr:pic>
      <xdr:nvPicPr>
        <xdr:cNvPr id="2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0" y="0"/>
          <a:ext cx="1744241" cy="1476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9</xdr:col>
      <xdr:colOff>1123950</xdr:colOff>
      <xdr:row>2</xdr:row>
      <xdr:rowOff>266700</xdr:rowOff>
    </xdr:from>
    <xdr:to>
      <xdr:col>9</xdr:col>
      <xdr:colOff>1493229</xdr:colOff>
      <xdr:row>3</xdr:row>
      <xdr:rowOff>36150</xdr:rowOff>
    </xdr:to>
    <xdr:sp macro="" textlink="">
      <xdr:nvSpPr>
        <xdr:cNvPr id="3" name="Bouton_Supprimer_Opération">
          <a:hlinkClick xmlns:r="http://schemas.openxmlformats.org/officeDocument/2006/relationships" r:id="rId2" tooltip="Accueil"/>
        </xdr:cNvPr>
        <xdr:cNvSpPr/>
      </xdr:nvSpPr>
      <xdr:spPr>
        <a:xfrm>
          <a:off x="9763125" y="1143000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1040632</xdr:colOff>
      <xdr:row>1</xdr:row>
      <xdr:rowOff>88667</xdr:rowOff>
    </xdr:from>
    <xdr:to>
      <xdr:col>0</xdr:col>
      <xdr:colOff>1409701</xdr:colOff>
      <xdr:row>1</xdr:row>
      <xdr:rowOff>448667</xdr:rowOff>
    </xdr:to>
    <xdr:sp macro="[0]!Feuil9.Trier_Entetes_Factures" textlink="">
      <xdr:nvSpPr>
        <xdr:cNvPr id="2" name="Bouton_Trier_Opération"/>
        <xdr:cNvSpPr/>
      </xdr:nvSpPr>
      <xdr:spPr>
        <a:xfrm>
          <a:off x="1040632" y="355367"/>
          <a:ext cx="36906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1497622</xdr:colOff>
      <xdr:row>1</xdr:row>
      <xdr:rowOff>94817</xdr:rowOff>
    </xdr:from>
    <xdr:to>
      <xdr:col>0</xdr:col>
      <xdr:colOff>1866035</xdr:colOff>
      <xdr:row>1</xdr:row>
      <xdr:rowOff>454817</xdr:rowOff>
    </xdr:to>
    <xdr:sp macro="[0]!Feuil9.Supprimer_Entetes_Factures" textlink="">
      <xdr:nvSpPr>
        <xdr:cNvPr id="3" name="Bouton_Supprimer_Opération"/>
        <xdr:cNvSpPr/>
      </xdr:nvSpPr>
      <xdr:spPr>
        <a:xfrm>
          <a:off x="1497622" y="361517"/>
          <a:ext cx="368413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66675</xdr:colOff>
      <xdr:row>1</xdr:row>
      <xdr:rowOff>76200</xdr:rowOff>
    </xdr:from>
    <xdr:to>
      <xdr:col>0</xdr:col>
      <xdr:colOff>438151</xdr:colOff>
      <xdr:row>1</xdr:row>
      <xdr:rowOff>436200</xdr:rowOff>
    </xdr:to>
    <xdr:sp macro="[0]!Feuil9.Afficher_Form_Ajout_Entetes_Factures" textlink="">
      <xdr:nvSpPr>
        <xdr:cNvPr id="4" name="Bouton_Ajouter_Opération"/>
        <xdr:cNvSpPr/>
      </xdr:nvSpPr>
      <xdr:spPr>
        <a:xfrm>
          <a:off x="66675" y="342900"/>
          <a:ext cx="371476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529937</xdr:colOff>
      <xdr:row>1</xdr:row>
      <xdr:rowOff>76202</xdr:rowOff>
    </xdr:from>
    <xdr:to>
      <xdr:col>0</xdr:col>
      <xdr:colOff>942976</xdr:colOff>
      <xdr:row>1</xdr:row>
      <xdr:rowOff>436202</xdr:rowOff>
    </xdr:to>
    <xdr:sp macro="[0]!Feuil9.Afficher_Form_Modif_Entetes_Factures" textlink="">
      <xdr:nvSpPr>
        <xdr:cNvPr id="5" name="Bouton_Ajouter_Opération"/>
        <xdr:cNvSpPr/>
      </xdr:nvSpPr>
      <xdr:spPr>
        <a:xfrm>
          <a:off x="529937" y="342902"/>
          <a:ext cx="41303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1954097</xdr:colOff>
      <xdr:row>1</xdr:row>
      <xdr:rowOff>93993</xdr:rowOff>
    </xdr:from>
    <xdr:to>
      <xdr:col>0</xdr:col>
      <xdr:colOff>2323376</xdr:colOff>
      <xdr:row>1</xdr:row>
      <xdr:rowOff>453993</xdr:rowOff>
    </xdr:to>
    <xdr:sp macro="" textlink="">
      <xdr:nvSpPr>
        <xdr:cNvPr id="6" name="Bouton_Supprimer_Opération">
          <a:hlinkClick xmlns:r="http://schemas.openxmlformats.org/officeDocument/2006/relationships" r:id="rId1" tooltip="Accueil"/>
        </xdr:cNvPr>
        <xdr:cNvSpPr/>
      </xdr:nvSpPr>
      <xdr:spPr>
        <a:xfrm>
          <a:off x="1954097" y="360693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60744</xdr:colOff>
      <xdr:row>1</xdr:row>
      <xdr:rowOff>88062</xdr:rowOff>
    </xdr:from>
    <xdr:to>
      <xdr:col>1</xdr:col>
      <xdr:colOff>430023</xdr:colOff>
      <xdr:row>1</xdr:row>
      <xdr:rowOff>448062</xdr:rowOff>
    </xdr:to>
    <xdr:sp macro="[0]!Bouton_Facture_Clic" textlink="">
      <xdr:nvSpPr>
        <xdr:cNvPr id="7" name="Bouton_Supprimer_Opération"/>
        <xdr:cNvSpPr/>
      </xdr:nvSpPr>
      <xdr:spPr>
        <a:xfrm>
          <a:off x="2422944" y="354762"/>
          <a:ext cx="369279" cy="3600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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1040632</xdr:colOff>
      <xdr:row>1</xdr:row>
      <xdr:rowOff>88667</xdr:rowOff>
    </xdr:from>
    <xdr:to>
      <xdr:col>0</xdr:col>
      <xdr:colOff>1409701</xdr:colOff>
      <xdr:row>1</xdr:row>
      <xdr:rowOff>448667</xdr:rowOff>
    </xdr:to>
    <xdr:sp macro="[0]!Feuil5.Trier_Lignes_Facture" textlink="">
      <xdr:nvSpPr>
        <xdr:cNvPr id="2" name="Bouton_Trier_Opération"/>
        <xdr:cNvSpPr/>
      </xdr:nvSpPr>
      <xdr:spPr>
        <a:xfrm>
          <a:off x="1040632" y="355367"/>
          <a:ext cx="36906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1497622</xdr:colOff>
      <xdr:row>1</xdr:row>
      <xdr:rowOff>94817</xdr:rowOff>
    </xdr:from>
    <xdr:to>
      <xdr:col>0</xdr:col>
      <xdr:colOff>1866035</xdr:colOff>
      <xdr:row>1</xdr:row>
      <xdr:rowOff>454817</xdr:rowOff>
    </xdr:to>
    <xdr:sp macro="[0]!Feuil5.Supprimer_Lignes_Factures" textlink="">
      <xdr:nvSpPr>
        <xdr:cNvPr id="3" name="Bouton_Supprimer_Opération"/>
        <xdr:cNvSpPr/>
      </xdr:nvSpPr>
      <xdr:spPr>
        <a:xfrm>
          <a:off x="1497622" y="361517"/>
          <a:ext cx="368413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66675</xdr:colOff>
      <xdr:row>1</xdr:row>
      <xdr:rowOff>76200</xdr:rowOff>
    </xdr:from>
    <xdr:to>
      <xdr:col>0</xdr:col>
      <xdr:colOff>438151</xdr:colOff>
      <xdr:row>1</xdr:row>
      <xdr:rowOff>436200</xdr:rowOff>
    </xdr:to>
    <xdr:sp macro="[0]!Feuil5.Afficher_Form_Ajout_Lignes_Factures" textlink="">
      <xdr:nvSpPr>
        <xdr:cNvPr id="4" name="Bouton_Ajouter_Opération"/>
        <xdr:cNvSpPr/>
      </xdr:nvSpPr>
      <xdr:spPr>
        <a:xfrm>
          <a:off x="66675" y="342900"/>
          <a:ext cx="371476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529937</xdr:colOff>
      <xdr:row>1</xdr:row>
      <xdr:rowOff>76202</xdr:rowOff>
    </xdr:from>
    <xdr:to>
      <xdr:col>0</xdr:col>
      <xdr:colOff>942976</xdr:colOff>
      <xdr:row>1</xdr:row>
      <xdr:rowOff>436202</xdr:rowOff>
    </xdr:to>
    <xdr:sp macro="[0]!Feuil5.Afficher_Form_Modif_Lignes_Factures" textlink="">
      <xdr:nvSpPr>
        <xdr:cNvPr id="5" name="Bouton_Ajouter_Opération"/>
        <xdr:cNvSpPr/>
      </xdr:nvSpPr>
      <xdr:spPr>
        <a:xfrm>
          <a:off x="529937" y="342902"/>
          <a:ext cx="41303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1967347</xdr:colOff>
      <xdr:row>1</xdr:row>
      <xdr:rowOff>95251</xdr:rowOff>
    </xdr:from>
    <xdr:to>
      <xdr:col>0</xdr:col>
      <xdr:colOff>2336626</xdr:colOff>
      <xdr:row>1</xdr:row>
      <xdr:rowOff>455251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1967347" y="361951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32904</xdr:colOff>
      <xdr:row>1</xdr:row>
      <xdr:rowOff>96116</xdr:rowOff>
    </xdr:from>
    <xdr:to>
      <xdr:col>1</xdr:col>
      <xdr:colOff>402183</xdr:colOff>
      <xdr:row>1</xdr:row>
      <xdr:rowOff>456116</xdr:rowOff>
    </xdr:to>
    <xdr:sp macro="[0]!Bouton_Facture_Lignes_Clic" textlink="">
      <xdr:nvSpPr>
        <xdr:cNvPr id="7" name="Bouton_Supprimer_Opération"/>
        <xdr:cNvSpPr/>
      </xdr:nvSpPr>
      <xdr:spPr>
        <a:xfrm>
          <a:off x="2461779" y="364548"/>
          <a:ext cx="369279" cy="360000"/>
        </a:xfrm>
        <a:prstGeom prst="roundRect">
          <a:avLst/>
        </a:prstGeom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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1172741</xdr:colOff>
      <xdr:row>2</xdr:row>
      <xdr:rowOff>647700</xdr:rowOff>
    </xdr:to>
    <xdr:pic>
      <xdr:nvPicPr>
        <xdr:cNvPr id="2" name="Pictur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0" y="0"/>
          <a:ext cx="1744241" cy="1476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9</xdr:col>
      <xdr:colOff>1152525</xdr:colOff>
      <xdr:row>2</xdr:row>
      <xdr:rowOff>200025</xdr:rowOff>
    </xdr:from>
    <xdr:to>
      <xdr:col>9</xdr:col>
      <xdr:colOff>1521804</xdr:colOff>
      <xdr:row>2</xdr:row>
      <xdr:rowOff>560025</xdr:rowOff>
    </xdr:to>
    <xdr:sp macro="" textlink="">
      <xdr:nvSpPr>
        <xdr:cNvPr id="3" name="Bouton_Supprimer_Opération">
          <a:hlinkClick xmlns:r="http://schemas.openxmlformats.org/officeDocument/2006/relationships" r:id="rId2"/>
        </xdr:cNvPr>
        <xdr:cNvSpPr/>
      </xdr:nvSpPr>
      <xdr:spPr>
        <a:xfrm>
          <a:off x="9725025" y="1028700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1040632</xdr:colOff>
      <xdr:row>1</xdr:row>
      <xdr:rowOff>88667</xdr:rowOff>
    </xdr:from>
    <xdr:to>
      <xdr:col>0</xdr:col>
      <xdr:colOff>1409701</xdr:colOff>
      <xdr:row>1</xdr:row>
      <xdr:rowOff>448667</xdr:rowOff>
    </xdr:to>
    <xdr:sp macro="" textlink="">
      <xdr:nvSpPr>
        <xdr:cNvPr id="2" name="Bouton_Trier_Opération"/>
        <xdr:cNvSpPr/>
      </xdr:nvSpPr>
      <xdr:spPr>
        <a:xfrm>
          <a:off x="1040632" y="355367"/>
          <a:ext cx="36906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1497622</xdr:colOff>
      <xdr:row>1</xdr:row>
      <xdr:rowOff>94817</xdr:rowOff>
    </xdr:from>
    <xdr:to>
      <xdr:col>0</xdr:col>
      <xdr:colOff>1866035</xdr:colOff>
      <xdr:row>1</xdr:row>
      <xdr:rowOff>454817</xdr:rowOff>
    </xdr:to>
    <xdr:sp macro="" textlink="">
      <xdr:nvSpPr>
        <xdr:cNvPr id="3" name="Bouton_Supprimer_Opération"/>
        <xdr:cNvSpPr/>
      </xdr:nvSpPr>
      <xdr:spPr>
        <a:xfrm>
          <a:off x="1497622" y="361517"/>
          <a:ext cx="368413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66675</xdr:colOff>
      <xdr:row>1</xdr:row>
      <xdr:rowOff>76200</xdr:rowOff>
    </xdr:from>
    <xdr:to>
      <xdr:col>0</xdr:col>
      <xdr:colOff>438151</xdr:colOff>
      <xdr:row>1</xdr:row>
      <xdr:rowOff>436200</xdr:rowOff>
    </xdr:to>
    <xdr:sp macro="" textlink="">
      <xdr:nvSpPr>
        <xdr:cNvPr id="4" name="Bouton_Ajouter_Opération"/>
        <xdr:cNvSpPr/>
      </xdr:nvSpPr>
      <xdr:spPr>
        <a:xfrm>
          <a:off x="66675" y="342900"/>
          <a:ext cx="371476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529937</xdr:colOff>
      <xdr:row>1</xdr:row>
      <xdr:rowOff>76202</xdr:rowOff>
    </xdr:from>
    <xdr:to>
      <xdr:col>0</xdr:col>
      <xdr:colOff>942976</xdr:colOff>
      <xdr:row>1</xdr:row>
      <xdr:rowOff>436202</xdr:rowOff>
    </xdr:to>
    <xdr:sp macro="" textlink="">
      <xdr:nvSpPr>
        <xdr:cNvPr id="5" name="Bouton_Ajouter_Opération"/>
        <xdr:cNvSpPr/>
      </xdr:nvSpPr>
      <xdr:spPr>
        <a:xfrm>
          <a:off x="529937" y="342902"/>
          <a:ext cx="41303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1954097</xdr:colOff>
      <xdr:row>1</xdr:row>
      <xdr:rowOff>93993</xdr:rowOff>
    </xdr:from>
    <xdr:to>
      <xdr:col>0</xdr:col>
      <xdr:colOff>2323376</xdr:colOff>
      <xdr:row>1</xdr:row>
      <xdr:rowOff>453993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1954097" y="360693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1078732</xdr:colOff>
      <xdr:row>1</xdr:row>
      <xdr:rowOff>79142</xdr:rowOff>
    </xdr:from>
    <xdr:to>
      <xdr:col>0</xdr:col>
      <xdr:colOff>1447801</xdr:colOff>
      <xdr:row>1</xdr:row>
      <xdr:rowOff>439142</xdr:rowOff>
    </xdr:to>
    <xdr:sp macro="" textlink="">
      <xdr:nvSpPr>
        <xdr:cNvPr id="2" name="Bouton_Trier_Opération"/>
        <xdr:cNvSpPr/>
      </xdr:nvSpPr>
      <xdr:spPr>
        <a:xfrm>
          <a:off x="1078732" y="345842"/>
          <a:ext cx="36906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1535722</xdr:colOff>
      <xdr:row>1</xdr:row>
      <xdr:rowOff>85292</xdr:rowOff>
    </xdr:from>
    <xdr:to>
      <xdr:col>0</xdr:col>
      <xdr:colOff>1904135</xdr:colOff>
      <xdr:row>1</xdr:row>
      <xdr:rowOff>445292</xdr:rowOff>
    </xdr:to>
    <xdr:sp macro="" textlink="">
      <xdr:nvSpPr>
        <xdr:cNvPr id="3" name="Bouton_Supprimer_Opération"/>
        <xdr:cNvSpPr/>
      </xdr:nvSpPr>
      <xdr:spPr>
        <a:xfrm>
          <a:off x="1535722" y="351992"/>
          <a:ext cx="368413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104775</xdr:colOff>
      <xdr:row>1</xdr:row>
      <xdr:rowOff>66675</xdr:rowOff>
    </xdr:from>
    <xdr:to>
      <xdr:col>0</xdr:col>
      <xdr:colOff>476251</xdr:colOff>
      <xdr:row>1</xdr:row>
      <xdr:rowOff>426675</xdr:rowOff>
    </xdr:to>
    <xdr:sp macro="" textlink="">
      <xdr:nvSpPr>
        <xdr:cNvPr id="4" name="Bouton_Ajouter_Opération"/>
        <xdr:cNvSpPr/>
      </xdr:nvSpPr>
      <xdr:spPr>
        <a:xfrm>
          <a:off x="104775" y="333375"/>
          <a:ext cx="371476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568037</xdr:colOff>
      <xdr:row>1</xdr:row>
      <xdr:rowOff>66677</xdr:rowOff>
    </xdr:from>
    <xdr:to>
      <xdr:col>0</xdr:col>
      <xdr:colOff>981076</xdr:colOff>
      <xdr:row>1</xdr:row>
      <xdr:rowOff>426677</xdr:rowOff>
    </xdr:to>
    <xdr:sp macro="" textlink="">
      <xdr:nvSpPr>
        <xdr:cNvPr id="5" name="Bouton_Ajouter_Opération"/>
        <xdr:cNvSpPr/>
      </xdr:nvSpPr>
      <xdr:spPr>
        <a:xfrm>
          <a:off x="568037" y="333377"/>
          <a:ext cx="41303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1970810</xdr:colOff>
      <xdr:row>1</xdr:row>
      <xdr:rowOff>85726</xdr:rowOff>
    </xdr:from>
    <xdr:to>
      <xdr:col>0</xdr:col>
      <xdr:colOff>2340089</xdr:colOff>
      <xdr:row>1</xdr:row>
      <xdr:rowOff>445726</xdr:rowOff>
    </xdr:to>
    <xdr:sp macro="" textlink="">
      <xdr:nvSpPr>
        <xdr:cNvPr id="6" name="Bouton_Supprimer_Opération">
          <a:hlinkClick xmlns:r="http://schemas.openxmlformats.org/officeDocument/2006/relationships" r:id="rId1"/>
        </xdr:cNvPr>
        <xdr:cNvSpPr/>
      </xdr:nvSpPr>
      <xdr:spPr>
        <a:xfrm>
          <a:off x="1970810" y="352426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400050</xdr:colOff>
      <xdr:row>0</xdr:row>
      <xdr:rowOff>66675</xdr:rowOff>
    </xdr:from>
    <xdr:to>
      <xdr:col>3</xdr:col>
      <xdr:colOff>7329</xdr:colOff>
      <xdr:row>2</xdr:row>
      <xdr:rowOff>45675</xdr:rowOff>
    </xdr:to>
    <xdr:sp macro="" textlink="">
      <xdr:nvSpPr>
        <xdr:cNvPr id="2" name="Bouton_Supprimer_Opération">
          <a:hlinkClick xmlns:r="http://schemas.openxmlformats.org/officeDocument/2006/relationships" r:id="rId1"/>
        </xdr:cNvPr>
        <xdr:cNvSpPr/>
      </xdr:nvSpPr>
      <xdr:spPr>
        <a:xfrm>
          <a:off x="4714875" y="66675"/>
          <a:ext cx="369279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oneCellAnchor>
    <xdr:from>
      <xdr:col>2</xdr:col>
      <xdr:colOff>685801</xdr:colOff>
      <xdr:row>3</xdr:row>
      <xdr:rowOff>9525</xdr:rowOff>
    </xdr:from>
    <xdr:ext cx="5143500" cy="5086350"/>
    <xdr:sp macro="" textlink="">
      <xdr:nvSpPr>
        <xdr:cNvPr id="3" name="ZoneTexte 2"/>
        <xdr:cNvSpPr txBox="1"/>
      </xdr:nvSpPr>
      <xdr:spPr>
        <a:xfrm>
          <a:off x="4686301" y="581025"/>
          <a:ext cx="5143500" cy="508635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1600" b="1"/>
            <a:t>Mode d'emploi du classeur </a:t>
          </a:r>
        </a:p>
        <a:p>
          <a:endParaRPr lang="fr-FR" sz="1100"/>
        </a:p>
        <a:p>
          <a:r>
            <a:rPr lang="fr-FR" sz="1100" b="1"/>
            <a:t>1 - Initialisation :</a:t>
          </a:r>
        </a:p>
        <a:p>
          <a:r>
            <a:rPr lang="fr-FR" sz="1100"/>
            <a:t>- renseigner les valeurs de la feuille Paramètres</a:t>
          </a:r>
        </a:p>
        <a:p>
          <a:endParaRPr lang="fr-FR" sz="1100"/>
        </a:p>
        <a:p>
          <a:r>
            <a:rPr lang="fr-FR" sz="1100" b="1"/>
            <a:t>2 - Création d'un</a:t>
          </a:r>
          <a:r>
            <a:rPr lang="fr-FR" sz="1100" b="1" baseline="0"/>
            <a:t> Devis :</a:t>
          </a:r>
        </a:p>
        <a:p>
          <a:r>
            <a:rPr lang="fr-FR" sz="1100" baseline="0"/>
            <a:t>- enregistrer le Client, s'il est nouveau, dans la feuille Clients</a:t>
          </a:r>
        </a:p>
        <a:p>
          <a:r>
            <a:rPr lang="fr-FR" sz="1100" baseline="0"/>
            <a:t>- enregistrer l'Entete Devis</a:t>
          </a:r>
        </a:p>
        <a:p>
          <a:r>
            <a:rPr lang="fr-FR" sz="1100" baseline="0"/>
            <a:t>- enregistrer les Lignes Devis</a:t>
          </a:r>
        </a:p>
        <a:p>
          <a:r>
            <a:rPr lang="fr-FR" sz="1100" baseline="0"/>
            <a:t>- choisir le Devis à éditer dans la feuille Entetes Devis et cliquer sur le bouton Editer Devis</a:t>
          </a:r>
        </a:p>
        <a:p>
          <a:endParaRPr lang="fr-FR" sz="1100" b="1" baseline="0"/>
        </a:p>
        <a:p>
          <a:r>
            <a:rPr lang="fr-FR" sz="1100" b="1" baseline="0"/>
            <a:t>3 - Génération  d'une Facture :</a:t>
          </a:r>
        </a:p>
        <a:p>
          <a:r>
            <a:rPr lang="fr-FR" sz="1100" baseline="0"/>
            <a:t>- dans la feuille Entetes Devis, choisir le bouton Génération de Facture pour générer une Facture identique au Devis</a:t>
          </a:r>
        </a:p>
        <a:p>
          <a:pPr algn="ctr"/>
          <a:r>
            <a:rPr lang="fr-FR" sz="1100" baseline="0"/>
            <a:t>OU</a:t>
          </a:r>
        </a:p>
        <a:p>
          <a:r>
            <a:rPr lang="fr-FR" sz="1100"/>
            <a:t>- enregister l'Entete Facture</a:t>
          </a:r>
        </a:p>
        <a:p>
          <a:r>
            <a:rPr lang="fr-FR" sz="1100"/>
            <a:t>- enregistrer les Lignes Facture</a:t>
          </a:r>
        </a:p>
        <a:p>
          <a:r>
            <a:rPr lang="fr-FR" sz="1100" baseline="0">
              <a:solidFill>
                <a:schemeClr val="tx1"/>
              </a:solidFill>
              <a:latin typeface="+mn-lt"/>
              <a:ea typeface="+mn-ea"/>
              <a:cs typeface="+mn-cs"/>
            </a:rPr>
            <a:t>- choisir la Facture à éditer dans la feuille Entetes Factures et cliquer sur le bouton Editer Facture</a:t>
          </a:r>
          <a:endParaRPr lang="fr-FR"/>
        </a:p>
        <a:p>
          <a:pPr fontAlgn="base"/>
          <a:endParaRPr lang="fr-FR" sz="1100" baseline="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tx1"/>
              </a:solidFill>
              <a:latin typeface="+mn-lt"/>
              <a:ea typeface="+mn-ea"/>
              <a:cs typeface="+mn-cs"/>
            </a:rPr>
            <a:t>4 - Règlements :</a:t>
          </a:r>
          <a:endParaRPr lang="fr-FR" sz="1100" b="1"/>
        </a:p>
        <a:p>
          <a:r>
            <a:rPr lang="fr-FR" sz="1100"/>
            <a:t>- saisir les Règlements : ils seront imputés</a:t>
          </a:r>
          <a:r>
            <a:rPr lang="fr-FR" sz="1100" baseline="0"/>
            <a:t> sur la feuille Clients</a:t>
          </a:r>
        </a:p>
        <a:p>
          <a:endParaRPr lang="fr-FR" sz="1100" baseline="0"/>
        </a:p>
        <a:p>
          <a:r>
            <a:rPr lang="fr-FR" sz="1100" b="1" baseline="0"/>
            <a:t>5 - Synthèses :</a:t>
          </a:r>
        </a:p>
        <a:p>
          <a:r>
            <a:rPr lang="fr-FR" sz="1100" baseline="0"/>
            <a:t>- les synthèses fournies sont modifiables à volonté (faire une sauvegarde du classeur avant modification des TCD)</a:t>
          </a:r>
        </a:p>
        <a:p>
          <a:r>
            <a:rPr lang="fr-FR" sz="1100" baseline="0"/>
            <a:t>- d'autres synthèses peuvent être créées en fonction des besoins (prévoir suffisamment de lignes et de colonnes autour des TCD existants pour leur extension future)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sylvain.tfemalboidlo@mpa.fr" TargetMode="External"/><Relationship Id="rId2" Type="http://schemas.openxmlformats.org/officeDocument/2006/relationships/hyperlink" Target="mailto:g.2mainsgauches@ps8.fr" TargetMode="External"/><Relationship Id="rId1" Type="http://schemas.openxmlformats.org/officeDocument/2006/relationships/hyperlink" Target="mailto:gerard.lescrau@mjp.fr" TargetMode="Externa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hyperlink" Target="mailto:contact@mp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A1:C12"/>
  <sheetViews>
    <sheetView showZeros="0" tabSelected="1" showOutlineSymbols="0" zoomScale="115" zoomScaleNormal="115" workbookViewId="0">
      <pane ySplit="3" topLeftCell="A4" activePane="bottomLeft" state="frozen"/>
      <selection pane="bottomLeft" activeCell="C2" sqref="C2"/>
    </sheetView>
  </sheetViews>
  <sheetFormatPr baseColWidth="10" defaultRowHeight="12.75"/>
  <cols>
    <col min="1" max="1" width="46.7109375" style="4" customWidth="1"/>
    <col min="2" max="2" width="104.5703125" style="5" customWidth="1"/>
    <col min="3" max="3" width="13.140625" style="4" customWidth="1"/>
    <col min="4" max="16384" width="11.42578125" style="4"/>
  </cols>
  <sheetData>
    <row r="1" spans="1:3" ht="129" customHeight="1">
      <c r="B1" s="79" t="str">
        <f>Raison_sociale&amp;" - "&amp;Titre</f>
        <v>Ma Petite Entreprise - Devis et Factures</v>
      </c>
      <c r="C1" s="79"/>
    </row>
    <row r="2" spans="1:3" ht="409.5" customHeight="1">
      <c r="A2" s="10"/>
      <c r="B2" s="10"/>
    </row>
    <row r="3" spans="1:3" ht="150" customHeight="1">
      <c r="B3" s="4"/>
      <c r="C3" s="9"/>
    </row>
    <row r="4" spans="1:3" ht="21.75" customHeight="1"/>
    <row r="5" spans="1:3" s="7" customFormat="1" ht="21.75" customHeight="1">
      <c r="B5" s="6"/>
    </row>
    <row r="6" spans="1:3" s="7" customFormat="1" ht="21.75" customHeight="1">
      <c r="B6" s="6"/>
    </row>
    <row r="7" spans="1:3" s="7" customFormat="1" ht="21.75" customHeight="1">
      <c r="B7" s="6"/>
    </row>
    <row r="8" spans="1:3" s="7" customFormat="1" ht="21.75" customHeight="1">
      <c r="B8" s="6"/>
      <c r="C8" s="8"/>
    </row>
    <row r="9" spans="1:3" s="7" customFormat="1" ht="21.75" customHeight="1">
      <c r="B9" s="6"/>
      <c r="C9" s="8"/>
    </row>
    <row r="10" spans="1:3" ht="21.75" customHeight="1">
      <c r="B10" s="6"/>
    </row>
    <row r="11" spans="1:3" ht="21.75" customHeight="1">
      <c r="B11" s="6"/>
    </row>
    <row r="12" spans="1:3" ht="21.75" customHeight="1"/>
  </sheetData>
  <sheetProtection selectLockedCells="1" selectUnlockedCells="1"/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8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7" sqref="B7"/>
    </sheetView>
  </sheetViews>
  <sheetFormatPr baseColWidth="10" defaultRowHeight="15"/>
  <cols>
    <col min="1" max="1" width="42.5703125" customWidth="1"/>
    <col min="2" max="2" width="29" customWidth="1"/>
    <col min="3" max="3" width="30.140625" customWidth="1"/>
    <col min="4" max="4" width="11.28515625" style="13" customWidth="1"/>
    <col min="5" max="5" width="15.140625" style="13" customWidth="1"/>
    <col min="6" max="6" width="11.28515625" style="13" customWidth="1"/>
    <col min="7" max="7" width="12.140625" style="13" customWidth="1"/>
    <col min="8" max="9" width="14.5703125" style="15" customWidth="1"/>
    <col min="10" max="10" width="46.28515625" customWidth="1"/>
    <col min="11" max="28" width="11.85546875" customWidth="1"/>
  </cols>
  <sheetData>
    <row r="1" spans="1:10" s="12" customFormat="1" ht="21">
      <c r="A1" s="37" t="str">
        <f>Raison_sociale&amp;" - "&amp;Titre&amp;" - Entêtes de devis"</f>
        <v>Ma Petite Entreprise - Devis et Factures - Entêtes de devis</v>
      </c>
      <c r="B1" s="37"/>
      <c r="C1" s="37"/>
      <c r="D1" s="38"/>
      <c r="E1" s="38"/>
      <c r="F1" s="38"/>
      <c r="G1" s="38"/>
      <c r="H1" s="39"/>
      <c r="I1" s="39"/>
      <c r="J1" s="37"/>
    </row>
    <row r="2" spans="1:10" s="12" customFormat="1" ht="40.5" customHeight="1">
      <c r="A2" s="37"/>
      <c r="B2" s="37"/>
      <c r="C2" s="37"/>
      <c r="D2" s="38"/>
      <c r="F2" s="38"/>
      <c r="G2" s="40">
        <f>SUBTOTAL(9,G4:G8)</f>
        <v>9</v>
      </c>
      <c r="H2" s="41">
        <f>SUBTOTAL(9,H4:H8)</f>
        <v>16295</v>
      </c>
      <c r="I2" s="41">
        <f>SUBTOTAL(9,I4:I8)</f>
        <v>18054.000026211143</v>
      </c>
      <c r="J2" s="37"/>
    </row>
    <row r="3" spans="1:10" s="11" customFormat="1">
      <c r="A3" s="42"/>
      <c r="B3" s="42"/>
      <c r="C3" s="42"/>
      <c r="D3" s="43"/>
      <c r="E3" s="43"/>
      <c r="F3" s="43"/>
      <c r="G3" s="43"/>
      <c r="H3" s="44"/>
      <c r="I3" s="44"/>
      <c r="J3" s="42"/>
    </row>
    <row r="4" spans="1:10" s="14" customFormat="1" ht="45.75" customHeight="1">
      <c r="A4" s="36" t="s">
        <v>41</v>
      </c>
      <c r="B4" s="16" t="s">
        <v>17</v>
      </c>
      <c r="C4" s="16" t="s">
        <v>76</v>
      </c>
      <c r="D4" s="17" t="s">
        <v>23</v>
      </c>
      <c r="E4" s="17" t="s">
        <v>18</v>
      </c>
      <c r="F4" s="17" t="s">
        <v>56</v>
      </c>
      <c r="G4" s="25" t="s">
        <v>19</v>
      </c>
      <c r="H4" s="26" t="s">
        <v>20</v>
      </c>
      <c r="I4" s="26" t="s">
        <v>21</v>
      </c>
      <c r="J4" s="16" t="s">
        <v>22</v>
      </c>
    </row>
    <row r="5" spans="1:10" s="60" customFormat="1" ht="45.75" customHeight="1">
      <c r="A5" s="114" t="str">
        <f>D5&amp;" - "&amp;B5&amp;" - "&amp;C5</f>
        <v>DE15001 - Garage Ma Jolie Poubelle - Gamme complète de logiciels et prestations informatiques</v>
      </c>
      <c r="B5" s="60" t="s">
        <v>30</v>
      </c>
      <c r="C5" s="60" t="s">
        <v>101</v>
      </c>
      <c r="D5" s="115" t="s">
        <v>38</v>
      </c>
      <c r="E5" s="116">
        <v>42011</v>
      </c>
      <c r="F5" s="115" t="s">
        <v>103</v>
      </c>
      <c r="G5" s="117">
        <f>COUNTIF('Lignes Devis'!A:A,A:A)</f>
        <v>9</v>
      </c>
      <c r="H5" s="118">
        <f>SUMIF('Lignes Devis'!A:A,A:A,'Lignes Devis'!H:H)</f>
        <v>16295</v>
      </c>
      <c r="I5" s="118">
        <f>SUMIF('Lignes Devis'!A:A,A:A,'Lignes Devis'!J:J)</f>
        <v>18054.000026211143</v>
      </c>
      <c r="J5" s="145"/>
    </row>
    <row r="6" spans="1:10" s="60" customFormat="1" ht="45.75" customHeight="1">
      <c r="A6" s="114" t="str">
        <f>D6&amp;" - "&amp;B6&amp;" - "&amp;C6</f>
        <v>DE15003 - Maçonnerie Plume d'Ange - Application Gestion de la Formation</v>
      </c>
      <c r="B6" s="60" t="s">
        <v>37</v>
      </c>
      <c r="C6" s="60" t="s">
        <v>92</v>
      </c>
      <c r="D6" s="115" t="s">
        <v>40</v>
      </c>
      <c r="E6" s="116">
        <v>42346</v>
      </c>
      <c r="F6" s="115" t="s">
        <v>54</v>
      </c>
      <c r="G6" s="117">
        <f>COUNTIF('Lignes Devis'!A:A,A:A)</f>
        <v>0</v>
      </c>
      <c r="H6" s="118">
        <f>SUMIF('Lignes Devis'!A:A,A:A,'Lignes Devis'!H:H)</f>
        <v>0</v>
      </c>
      <c r="I6" s="118">
        <f>SUMIF('Lignes Devis'!A:A,A:A,'Lignes Devis'!J:J)</f>
        <v>0</v>
      </c>
      <c r="J6" s="145"/>
    </row>
    <row r="7" spans="1:10" s="60" customFormat="1" ht="45.75" customHeight="1">
      <c r="A7" s="114" t="str">
        <f>D7&amp;" - "&amp;B7&amp;" - "&amp;C7</f>
        <v>DE15002 - Plomberie Selaf 8 - Application Gestion Comptable</v>
      </c>
      <c r="B7" s="60" t="s">
        <v>77</v>
      </c>
      <c r="C7" s="60" t="s">
        <v>93</v>
      </c>
      <c r="D7" s="115" t="s">
        <v>39</v>
      </c>
      <c r="E7" s="116">
        <v>42011</v>
      </c>
      <c r="F7" s="115" t="s">
        <v>55</v>
      </c>
      <c r="G7" s="117">
        <f>COUNTIF('Lignes Devis'!A:A,A:A)</f>
        <v>0</v>
      </c>
      <c r="H7" s="118">
        <f>SUMIF('Lignes Devis'!A:A,A:A,'Lignes Devis'!H:H)</f>
        <v>0</v>
      </c>
      <c r="I7" s="118">
        <f>SUMIF('Lignes Devis'!A:A,A:A,'Lignes Devis'!J:J)</f>
        <v>0</v>
      </c>
      <c r="J7" s="145"/>
    </row>
    <row r="8" spans="1:10" s="60" customFormat="1" ht="45.75" customHeight="1">
      <c r="A8" s="120"/>
      <c r="B8" s="121"/>
      <c r="C8" s="121"/>
      <c r="D8" s="122"/>
      <c r="E8" s="122"/>
      <c r="F8" s="122"/>
      <c r="G8" s="123"/>
      <c r="H8" s="124"/>
      <c r="I8" s="124"/>
      <c r="J8" s="121"/>
    </row>
  </sheetData>
  <sheetProtection sort="0" autoFilter="0" pivotTables="0"/>
  <sortState ref="A5:J8">
    <sortCondition ref="B6"/>
  </sortState>
  <dataValidations count="1">
    <dataValidation type="list" allowBlank="1" showInputMessage="1" showErrorMessage="1" errorTitle="Choisir dans la liste" error="Choisir dans la liste !" sqref="B4:B8">
      <formula1>Liste_Clients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G2:I2" emptyCellReference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U14"/>
  <sheetViews>
    <sheetView zoomScaleNormal="100"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36.42578125" customWidth="1"/>
    <col min="2" max="2" width="27.85546875" customWidth="1"/>
    <col min="3" max="3" width="10.140625" customWidth="1"/>
    <col min="4" max="4" width="15.140625" customWidth="1"/>
    <col min="5" max="5" width="15" style="15" customWidth="1"/>
    <col min="6" max="6" width="9.42578125" style="56" customWidth="1"/>
    <col min="7" max="7" width="10.85546875" style="55" customWidth="1"/>
    <col min="8" max="10" width="12.7109375" style="15" customWidth="1"/>
    <col min="11" max="11" width="34.42578125" style="15" customWidth="1"/>
    <col min="12" max="12" width="46.28515625" customWidth="1"/>
  </cols>
  <sheetData>
    <row r="1" spans="1:21" s="12" customFormat="1" ht="21">
      <c r="A1" s="19" t="str">
        <f>Raison_sociale&amp;" - "&amp;Titre&amp;" - Lignes de devis"</f>
        <v>Ma Petite Entreprise - Devis et Factures - Lignes de devis</v>
      </c>
      <c r="B1" s="19"/>
      <c r="C1" s="19"/>
      <c r="D1" s="19"/>
      <c r="E1" s="21"/>
      <c r="F1" s="87"/>
      <c r="G1" s="88"/>
      <c r="H1" s="21"/>
      <c r="I1" s="21"/>
      <c r="J1" s="21"/>
      <c r="K1" s="21"/>
      <c r="L1" s="19"/>
    </row>
    <row r="2" spans="1:21" s="12" customFormat="1" ht="40.5" customHeight="1">
      <c r="A2" s="19"/>
      <c r="B2" s="89" t="s">
        <v>91</v>
      </c>
      <c r="C2" s="19"/>
      <c r="D2" s="19"/>
      <c r="E2" s="21"/>
      <c r="F2" s="87"/>
      <c r="G2" s="88"/>
      <c r="H2" s="90">
        <f>SUBTOTAL(9,H4:H14)</f>
        <v>16295</v>
      </c>
      <c r="I2" s="90">
        <f>SUBTOTAL(9,I4:I14)</f>
        <v>1759.0000262111425</v>
      </c>
      <c r="J2" s="90">
        <f>SUBTOTAL(9,J4:J14)</f>
        <v>18054.000026211143</v>
      </c>
      <c r="K2" s="91"/>
      <c r="L2" s="19"/>
    </row>
    <row r="3" spans="1:21" s="11" customFormat="1">
      <c r="A3" s="22"/>
      <c r="B3" s="22"/>
      <c r="C3" s="22"/>
      <c r="D3" s="22"/>
      <c r="E3" s="24"/>
      <c r="F3" s="92"/>
      <c r="G3" s="93"/>
      <c r="H3" s="24"/>
      <c r="I3" s="24"/>
      <c r="J3" s="24"/>
      <c r="K3" s="24"/>
      <c r="L3" s="22"/>
    </row>
    <row r="4" spans="1:21" s="14" customFormat="1" ht="48.75" customHeight="1">
      <c r="A4" s="16" t="s">
        <v>42</v>
      </c>
      <c r="B4" s="31" t="s">
        <v>43</v>
      </c>
      <c r="C4" s="17" t="s">
        <v>44</v>
      </c>
      <c r="D4" s="17" t="s">
        <v>45</v>
      </c>
      <c r="E4" s="47" t="s">
        <v>46</v>
      </c>
      <c r="F4" s="54" t="s">
        <v>52</v>
      </c>
      <c r="G4" s="54" t="s">
        <v>47</v>
      </c>
      <c r="H4" s="26" t="s">
        <v>81</v>
      </c>
      <c r="I4" s="26" t="s">
        <v>82</v>
      </c>
      <c r="J4" s="26" t="s">
        <v>83</v>
      </c>
      <c r="K4" s="16" t="s">
        <v>22</v>
      </c>
    </row>
    <row r="5" spans="1:21" s="60" customFormat="1" ht="48.75" customHeight="1">
      <c r="A5" s="60" t="s">
        <v>102</v>
      </c>
      <c r="B5" s="125" t="s">
        <v>78</v>
      </c>
      <c r="C5" s="115">
        <v>1</v>
      </c>
      <c r="D5" s="115" t="s">
        <v>84</v>
      </c>
      <c r="E5" s="126">
        <v>150</v>
      </c>
      <c r="F5" s="127">
        <v>0.2</v>
      </c>
      <c r="G5" s="127">
        <v>0.20000000298023224</v>
      </c>
      <c r="H5" s="118">
        <f t="shared" ref="H5:H13" si="0">(C5*E5)-(C5*E5*F5)</f>
        <v>120</v>
      </c>
      <c r="I5" s="118">
        <f t="shared" ref="I5:I13" si="1">H5*G5</f>
        <v>24.000000357627869</v>
      </c>
      <c r="J5" s="118">
        <f t="shared" ref="J5:J13" si="2">SUM(H5:I5)</f>
        <v>144.00000035762787</v>
      </c>
      <c r="K5" s="119"/>
      <c r="P5" s="125"/>
      <c r="Q5" s="115"/>
      <c r="R5" s="115"/>
      <c r="S5" s="128"/>
      <c r="T5" s="129"/>
      <c r="U5" s="129"/>
    </row>
    <row r="6" spans="1:21" s="60" customFormat="1" ht="48.75" customHeight="1">
      <c r="A6" s="60" t="s">
        <v>102</v>
      </c>
      <c r="B6" s="125" t="s">
        <v>79</v>
      </c>
      <c r="C6" s="115">
        <v>1</v>
      </c>
      <c r="D6" s="115" t="s">
        <v>85</v>
      </c>
      <c r="E6" s="126">
        <v>2250</v>
      </c>
      <c r="F6" s="127">
        <v>0</v>
      </c>
      <c r="G6" s="127">
        <v>0.20000000298023224</v>
      </c>
      <c r="H6" s="118">
        <f t="shared" si="0"/>
        <v>2250</v>
      </c>
      <c r="I6" s="118">
        <f t="shared" si="1"/>
        <v>450.00000670552254</v>
      </c>
      <c r="J6" s="118">
        <f t="shared" si="2"/>
        <v>2700.0000067055225</v>
      </c>
      <c r="K6" s="119"/>
      <c r="P6" s="125"/>
      <c r="Q6" s="115"/>
      <c r="R6" s="115"/>
      <c r="S6" s="128"/>
      <c r="T6" s="129"/>
      <c r="U6" s="129"/>
    </row>
    <row r="7" spans="1:21" s="60" customFormat="1" ht="48.75" customHeight="1">
      <c r="A7" s="60" t="s">
        <v>102</v>
      </c>
      <c r="B7" s="125" t="s">
        <v>80</v>
      </c>
      <c r="C7" s="115">
        <v>3</v>
      </c>
      <c r="D7" s="115" t="s">
        <v>49</v>
      </c>
      <c r="E7" s="126">
        <v>750</v>
      </c>
      <c r="F7" s="127">
        <v>0</v>
      </c>
      <c r="G7" s="127">
        <v>0</v>
      </c>
      <c r="H7" s="118">
        <f t="shared" si="0"/>
        <v>2250</v>
      </c>
      <c r="I7" s="118">
        <f t="shared" si="1"/>
        <v>0</v>
      </c>
      <c r="J7" s="118">
        <f t="shared" si="2"/>
        <v>2250</v>
      </c>
      <c r="K7" s="119"/>
      <c r="P7" s="125"/>
      <c r="Q7" s="115"/>
      <c r="R7" s="115"/>
      <c r="S7" s="128"/>
      <c r="T7" s="129"/>
      <c r="U7" s="129"/>
    </row>
    <row r="8" spans="1:21" s="60" customFormat="1" ht="48.75" customHeight="1">
      <c r="A8" s="60" t="s">
        <v>102</v>
      </c>
      <c r="B8" s="125" t="s">
        <v>96</v>
      </c>
      <c r="C8" s="115">
        <v>1</v>
      </c>
      <c r="D8" s="115" t="s">
        <v>84</v>
      </c>
      <c r="E8" s="126">
        <v>225</v>
      </c>
      <c r="F8" s="127">
        <v>0</v>
      </c>
      <c r="G8" s="127">
        <v>0.20000000298023224</v>
      </c>
      <c r="H8" s="118">
        <f t="shared" si="0"/>
        <v>225</v>
      </c>
      <c r="I8" s="118">
        <f t="shared" si="1"/>
        <v>45.000000670552254</v>
      </c>
      <c r="J8" s="118">
        <f t="shared" si="2"/>
        <v>270.00000067055225</v>
      </c>
      <c r="K8" s="119"/>
      <c r="P8" s="125"/>
      <c r="Q8" s="115"/>
      <c r="R8" s="115"/>
      <c r="S8" s="128"/>
      <c r="T8" s="129"/>
      <c r="U8" s="129"/>
    </row>
    <row r="9" spans="1:21" s="60" customFormat="1" ht="48.75" customHeight="1">
      <c r="A9" s="60" t="s">
        <v>102</v>
      </c>
      <c r="B9" s="125" t="s">
        <v>95</v>
      </c>
      <c r="C9" s="115">
        <v>5</v>
      </c>
      <c r="D9" s="115" t="s">
        <v>49</v>
      </c>
      <c r="E9" s="126">
        <v>750</v>
      </c>
      <c r="F9" s="127">
        <v>0</v>
      </c>
      <c r="G9" s="127">
        <v>0</v>
      </c>
      <c r="H9" s="118">
        <f t="shared" si="0"/>
        <v>3750</v>
      </c>
      <c r="I9" s="118">
        <f t="shared" si="1"/>
        <v>0</v>
      </c>
      <c r="J9" s="118">
        <f t="shared" si="2"/>
        <v>3750</v>
      </c>
      <c r="K9" s="119"/>
      <c r="P9" s="125"/>
      <c r="Q9" s="115"/>
      <c r="R9" s="115"/>
      <c r="S9" s="128"/>
      <c r="T9" s="129"/>
      <c r="U9" s="129"/>
    </row>
    <row r="10" spans="1:21" s="60" customFormat="1" ht="48.75" customHeight="1">
      <c r="A10" s="60" t="s">
        <v>102</v>
      </c>
      <c r="B10" s="125" t="s">
        <v>94</v>
      </c>
      <c r="C10" s="115">
        <v>1</v>
      </c>
      <c r="D10" s="115" t="s">
        <v>85</v>
      </c>
      <c r="E10" s="126">
        <v>4000</v>
      </c>
      <c r="F10" s="127">
        <v>0</v>
      </c>
      <c r="G10" s="127">
        <v>0.20000000298023224</v>
      </c>
      <c r="H10" s="118">
        <f t="shared" si="0"/>
        <v>4000</v>
      </c>
      <c r="I10" s="118">
        <f t="shared" si="1"/>
        <v>800.00001192092896</v>
      </c>
      <c r="J10" s="118">
        <f t="shared" si="2"/>
        <v>4800.000011920929</v>
      </c>
      <c r="K10" s="119"/>
      <c r="P10" s="125"/>
      <c r="Q10" s="115"/>
      <c r="R10" s="115"/>
      <c r="S10" s="128"/>
      <c r="T10" s="129"/>
      <c r="U10" s="129"/>
    </row>
    <row r="11" spans="1:21" s="60" customFormat="1" ht="48.75" customHeight="1">
      <c r="A11" s="60" t="s">
        <v>102</v>
      </c>
      <c r="B11" s="125" t="s">
        <v>90</v>
      </c>
      <c r="C11" s="115">
        <v>2</v>
      </c>
      <c r="D11" s="115" t="s">
        <v>49</v>
      </c>
      <c r="E11" s="126">
        <v>750</v>
      </c>
      <c r="F11" s="127">
        <v>0</v>
      </c>
      <c r="G11" s="127">
        <v>0</v>
      </c>
      <c r="H11" s="118">
        <f t="shared" si="0"/>
        <v>1500</v>
      </c>
      <c r="I11" s="118">
        <f t="shared" si="1"/>
        <v>0</v>
      </c>
      <c r="J11" s="118">
        <f t="shared" si="2"/>
        <v>1500</v>
      </c>
      <c r="K11" s="119"/>
      <c r="P11" s="125"/>
      <c r="Q11" s="115"/>
      <c r="R11" s="115"/>
      <c r="S11" s="128"/>
      <c r="T11" s="129"/>
      <c r="U11" s="129"/>
    </row>
    <row r="12" spans="1:21" s="60" customFormat="1" ht="48.75" customHeight="1">
      <c r="A12" s="60" t="s">
        <v>102</v>
      </c>
      <c r="B12" s="125" t="s">
        <v>89</v>
      </c>
      <c r="C12" s="115">
        <v>1</v>
      </c>
      <c r="D12" s="115" t="s">
        <v>85</v>
      </c>
      <c r="E12" s="126">
        <v>2000</v>
      </c>
      <c r="F12" s="127">
        <v>0</v>
      </c>
      <c r="G12" s="127">
        <v>0.20000000298023224</v>
      </c>
      <c r="H12" s="118">
        <f t="shared" si="0"/>
        <v>2000</v>
      </c>
      <c r="I12" s="118">
        <f t="shared" si="1"/>
        <v>400.00000596046448</v>
      </c>
      <c r="J12" s="118">
        <f t="shared" si="2"/>
        <v>2400.0000059604645</v>
      </c>
      <c r="K12" s="119"/>
      <c r="P12" s="125"/>
      <c r="Q12" s="115"/>
      <c r="R12" s="115"/>
      <c r="S12" s="128"/>
      <c r="T12" s="129"/>
      <c r="U12" s="129"/>
    </row>
    <row r="13" spans="1:21" s="60" customFormat="1" ht="48.75" customHeight="1">
      <c r="A13" s="60" t="s">
        <v>102</v>
      </c>
      <c r="B13" s="125" t="s">
        <v>88</v>
      </c>
      <c r="C13" s="115">
        <v>1</v>
      </c>
      <c r="D13" s="115" t="s">
        <v>84</v>
      </c>
      <c r="E13" s="126">
        <v>200</v>
      </c>
      <c r="F13" s="127">
        <v>0</v>
      </c>
      <c r="G13" s="127">
        <v>0.20000000298023224</v>
      </c>
      <c r="H13" s="118">
        <f t="shared" si="0"/>
        <v>200</v>
      </c>
      <c r="I13" s="118">
        <f t="shared" si="1"/>
        <v>40.000000596046448</v>
      </c>
      <c r="J13" s="118">
        <f t="shared" si="2"/>
        <v>240.00000059604645</v>
      </c>
      <c r="K13" s="119"/>
      <c r="P13" s="125"/>
      <c r="Q13" s="115"/>
      <c r="R13" s="115"/>
      <c r="S13" s="128"/>
      <c r="T13" s="129"/>
      <c r="U13" s="129"/>
    </row>
    <row r="14" spans="1:21" s="60" customFormat="1" ht="48.75" customHeight="1">
      <c r="A14" s="121"/>
      <c r="B14" s="130"/>
      <c r="C14" s="122"/>
      <c r="D14" s="122"/>
      <c r="E14" s="131"/>
      <c r="F14" s="132"/>
      <c r="G14" s="132"/>
      <c r="H14" s="124"/>
      <c r="I14" s="124"/>
      <c r="J14" s="124"/>
      <c r="K14" s="121"/>
    </row>
  </sheetData>
  <sortState ref="A5:K14">
    <sortCondition ref="A10"/>
  </sortState>
  <dataValidations count="2">
    <dataValidation type="list" allowBlank="1" showInputMessage="1" showErrorMessage="1" errorTitle="Choisir dans la liste" error="Choisir dans la liste !" sqref="A4:A14">
      <formula1>Liste_Devis</formula1>
    </dataValidation>
    <dataValidation type="list" allowBlank="1" showInputMessage="1" showErrorMessage="1" errorTitle="Choisir dans la liste" error="Choisir dans la liste !" sqref="G4:G14">
      <formula1>Taux_TVA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Y46"/>
  <sheetViews>
    <sheetView workbookViewId="0">
      <pane xSplit="1" ySplit="13" topLeftCell="B14" activePane="bottomRight" state="frozen"/>
      <selection pane="topRight" activeCell="B1" sqref="B1"/>
      <selection pane="bottomLeft" activeCell="A14" sqref="A14"/>
      <selection pane="bottomRight" activeCell="B19" sqref="B19"/>
    </sheetView>
  </sheetViews>
  <sheetFormatPr baseColWidth="10" defaultRowHeight="15"/>
  <cols>
    <col min="1" max="1" width="8.5703125" style="94" customWidth="1"/>
    <col min="2" max="2" width="41" style="94" customWidth="1"/>
    <col min="3" max="9" width="11.42578125" style="94"/>
    <col min="10" max="10" width="44.28515625" style="94" customWidth="1"/>
    <col min="11" max="11" width="44" style="135" customWidth="1"/>
    <col min="12" max="14" width="33.28515625" style="94" customWidth="1"/>
    <col min="15" max="16384" width="11.42578125" style="94"/>
  </cols>
  <sheetData>
    <row r="1" spans="1:25" ht="15.75">
      <c r="H1" s="95" t="str">
        <f>Ville&amp;", le "&amp;TEXT(VLOOKUP(Numéro_Devis,Entetes_Devis,4,FALSE),"jj/mm/aaaa")</f>
        <v>Excel-les-Bains, le DE15001</v>
      </c>
      <c r="J1" s="137" t="s">
        <v>42</v>
      </c>
      <c r="K1" s="133"/>
    </row>
    <row r="2" spans="1:25" ht="53.25" customHeight="1">
      <c r="J2" s="138" t="s">
        <v>102</v>
      </c>
      <c r="K2" s="134"/>
    </row>
    <row r="3" spans="1:25" ht="46.5" customHeight="1">
      <c r="B3" s="95"/>
      <c r="C3" s="95"/>
      <c r="D3" s="95"/>
      <c r="E3" s="95"/>
      <c r="F3" s="95"/>
      <c r="G3" s="95"/>
      <c r="H3" s="96" t="str">
        <f>"Devis n° "&amp;VLOOKUP(Numéro_Devis,Entetes_Devis,4,FALSE)</f>
        <v>Devis n° DE15001</v>
      </c>
    </row>
    <row r="4" spans="1:25" ht="23.25">
      <c r="A4" s="22" t="str">
        <f>Raison_sociale</f>
        <v>Ma Petite Entreprise</v>
      </c>
      <c r="H4" s="97" t="str">
        <f>VLOOKUP(Numéro_Devis,Entetes_Devis,3,FALSE)</f>
        <v>Gamme complète de logiciels et prestations informatiques</v>
      </c>
    </row>
    <row r="5" spans="1:25">
      <c r="A5" s="94" t="str">
        <f>Adresse_1</f>
        <v>1 rue des Roses</v>
      </c>
    </row>
    <row r="6" spans="1:25">
      <c r="A6" s="94" t="str">
        <f>Adresse_2</f>
        <v>Bâtiment B - Entrée E</v>
      </c>
    </row>
    <row r="7" spans="1:25" ht="15.75">
      <c r="A7" s="94" t="str">
        <f>Code_postal&amp;" "&amp;Ville</f>
        <v>75555 Excel-les-Bains</v>
      </c>
      <c r="H7" s="98" t="str">
        <f>IF(ISTEXT(VLOOKUP(Numéro_Devis,Entetes_Devis,2,FALSE)),VLOOKUP(Numéro_Devis,Entetes_Devis,2,FALSE),"")</f>
        <v>Garage Ma Jolie Poubelle</v>
      </c>
      <c r="J7" s="80" t="str">
        <f>F44&amp;" : "&amp;TEXT(H44,"# ##0.00 €")</f>
        <v>Total HT  : 16 295.00 €</v>
      </c>
    </row>
    <row r="8" spans="1:25" ht="15.75">
      <c r="A8" s="94" t="str">
        <f>"Téléphone : "&amp;Téléphone</f>
        <v>Téléphone : 01.01.01.01.01</v>
      </c>
      <c r="H8" s="99" t="str">
        <f>IF(ISTEXT(VLOOKUP(Client_Devis,Clients,2,FALSE)),VLOOKUP(Client_Devis,Clients,2,FALSE),"")</f>
        <v>1 rue des Rosiers</v>
      </c>
      <c r="J8" s="80" t="str">
        <f t="shared" ref="J8:J9" si="0">F45&amp;" : "&amp;TEXT(H45,"# ##0.00 €")</f>
        <v>Montant TVA  : 1 759.00 €</v>
      </c>
    </row>
    <row r="9" spans="1:25">
      <c r="A9" s="94" t="str">
        <f>"Télécopie : "&amp;Télécopie</f>
        <v>Télécopie : 01.01.01.01.02</v>
      </c>
      <c r="H9" s="94" t="str">
        <f>IF(ISTEXT(VLOOKUP(Client_Devis,Clients,3,FALSE)),VLOOKUP(Client_Devis,Clients,3,FALSE),"")</f>
        <v/>
      </c>
      <c r="J9" s="80" t="str">
        <f t="shared" si="0"/>
        <v>Montant TTC  : 18 054.00 €</v>
      </c>
    </row>
    <row r="10" spans="1:25" ht="15.75">
      <c r="A10" s="94" t="str">
        <f>"Site web : "&amp;Site_web</f>
        <v>Site web : mpe.fr</v>
      </c>
      <c r="H10" s="99" t="str">
        <f>IF(ISTEXT(VLOOKUP(Client_Devis,Clients,4,FALSE)&amp;" "&amp;VLOOKUP(Client_Devis,Clients,5,FALSE)),VLOOKUP(Client_Devis,Clients,4,FALSE)&amp;" "&amp;VLOOKUP(Client_Devis,Clients,5,FALSE),"")</f>
        <v>92000 Excel-les-Bains</v>
      </c>
    </row>
    <row r="11" spans="1:25">
      <c r="A11" s="94" t="str">
        <f>"Courriel : "&amp;Courriel</f>
        <v>Courriel : contact@mpe.fr</v>
      </c>
    </row>
    <row r="13" spans="1:25" s="102" customFormat="1" ht="32.25" customHeight="1">
      <c r="A13" s="67" t="s">
        <v>65</v>
      </c>
      <c r="B13" s="68" t="s">
        <v>66</v>
      </c>
      <c r="C13" s="67" t="s">
        <v>44</v>
      </c>
      <c r="D13" s="67" t="s">
        <v>45</v>
      </c>
      <c r="E13" s="69" t="s">
        <v>46</v>
      </c>
      <c r="F13" s="70" t="s">
        <v>52</v>
      </c>
      <c r="G13" s="70" t="s">
        <v>47</v>
      </c>
      <c r="H13" s="69" t="s">
        <v>20</v>
      </c>
      <c r="K13" s="134"/>
      <c r="O13" s="103" t="s">
        <v>42</v>
      </c>
      <c r="P13" s="104" t="s">
        <v>43</v>
      </c>
      <c r="Q13" s="105" t="s">
        <v>44</v>
      </c>
      <c r="R13" s="105" t="s">
        <v>45</v>
      </c>
      <c r="S13" s="106" t="s">
        <v>46</v>
      </c>
      <c r="T13" s="107" t="s">
        <v>52</v>
      </c>
      <c r="U13" s="107" t="s">
        <v>47</v>
      </c>
      <c r="V13" s="106" t="s">
        <v>81</v>
      </c>
      <c r="W13" s="106" t="s">
        <v>82</v>
      </c>
      <c r="X13" s="106" t="s">
        <v>83</v>
      </c>
      <c r="Y13" s="103" t="s">
        <v>22</v>
      </c>
    </row>
    <row r="14" spans="1:25" s="102" customFormat="1" ht="18.75" customHeight="1">
      <c r="A14" s="100">
        <v>1</v>
      </c>
      <c r="B14" s="101" t="str">
        <f>IF(LEN(P14),P14,"")</f>
        <v>Maintenance Gestion de Clientèle</v>
      </c>
      <c r="C14" s="100">
        <f>IF(ISNUMBER(Q14),Q14,"")</f>
        <v>1</v>
      </c>
      <c r="D14" s="100" t="str">
        <f>IF(LEN(R14),R14,"")</f>
        <v>année</v>
      </c>
      <c r="E14" s="108">
        <f>IF(ISNUMBER(S14),S14,"")</f>
        <v>150</v>
      </c>
      <c r="F14" s="109">
        <f>IF(ISNUMBER(T14),T14,"")</f>
        <v>0.2</v>
      </c>
      <c r="G14" s="109">
        <f>IF(ISNUMBER(U14),U14,"")</f>
        <v>0.20000000298023224</v>
      </c>
      <c r="H14" s="108">
        <f>IF(ISNUMBER(V14),V14,"")</f>
        <v>120</v>
      </c>
      <c r="K14" s="134"/>
      <c r="O14" s="60" t="s">
        <v>102</v>
      </c>
      <c r="P14" s="125" t="s">
        <v>78</v>
      </c>
      <c r="Q14" s="115">
        <v>1</v>
      </c>
      <c r="R14" s="115" t="s">
        <v>84</v>
      </c>
      <c r="S14" s="126">
        <v>150</v>
      </c>
      <c r="T14" s="127">
        <v>0.2</v>
      </c>
      <c r="U14" s="127">
        <v>0.20000000298023224</v>
      </c>
      <c r="V14" s="118">
        <v>120</v>
      </c>
      <c r="W14" s="118">
        <v>24.000000357627869</v>
      </c>
      <c r="X14" s="118">
        <v>144.00000035762787</v>
      </c>
      <c r="Y14" s="60"/>
    </row>
    <row r="15" spans="1:25" s="102" customFormat="1" ht="18.75" customHeight="1">
      <c r="A15" s="100">
        <v>2</v>
      </c>
      <c r="B15" s="101" t="str">
        <f t="shared" ref="B15:B43" si="1">IF(LEN(P15),P15,"")</f>
        <v>Licence Gestion de Clientèle</v>
      </c>
      <c r="C15" s="100">
        <f t="shared" ref="C15:C43" si="2">IF(ISNUMBER(Q15),Q15,"")</f>
        <v>1</v>
      </c>
      <c r="D15" s="100" t="str">
        <f t="shared" ref="D15:D43" si="3">IF(LEN(R15),R15,"")</f>
        <v>licence</v>
      </c>
      <c r="E15" s="108">
        <f t="shared" ref="E15:E43" si="4">IF(ISNUMBER(S15),S15,"")</f>
        <v>2250</v>
      </c>
      <c r="F15" s="109">
        <f t="shared" ref="F15:F43" si="5">IF(ISNUMBER(T15),T15,"")</f>
        <v>0</v>
      </c>
      <c r="G15" s="109">
        <f t="shared" ref="G15:G43" si="6">IF(ISNUMBER(U15),U15,"")</f>
        <v>0.20000000298023224</v>
      </c>
      <c r="H15" s="108">
        <f t="shared" ref="H15:H43" si="7">IF(ISNUMBER(V15),V15,"")</f>
        <v>2250</v>
      </c>
      <c r="K15" s="134"/>
      <c r="O15" s="60" t="s">
        <v>102</v>
      </c>
      <c r="P15" s="125" t="s">
        <v>79</v>
      </c>
      <c r="Q15" s="115">
        <v>1</v>
      </c>
      <c r="R15" s="115" t="s">
        <v>85</v>
      </c>
      <c r="S15" s="126">
        <v>2250</v>
      </c>
      <c r="T15" s="127">
        <v>0</v>
      </c>
      <c r="U15" s="127">
        <v>0.20000000298023224</v>
      </c>
      <c r="V15" s="118">
        <v>2250</v>
      </c>
      <c r="W15" s="118">
        <v>450.00000670552254</v>
      </c>
      <c r="X15" s="118">
        <v>2700.0000067055225</v>
      </c>
      <c r="Y15" s="60"/>
    </row>
    <row r="16" spans="1:25" s="102" customFormat="1" ht="18.75" customHeight="1">
      <c r="A16" s="100">
        <v>3</v>
      </c>
      <c r="B16" s="101" t="str">
        <f t="shared" si="1"/>
        <v>Formation Gestion de Clientèle</v>
      </c>
      <c r="C16" s="100">
        <f t="shared" si="2"/>
        <v>3</v>
      </c>
      <c r="D16" s="100" t="str">
        <f t="shared" si="3"/>
        <v>jours</v>
      </c>
      <c r="E16" s="108">
        <f t="shared" si="4"/>
        <v>750</v>
      </c>
      <c r="F16" s="109">
        <f t="shared" si="5"/>
        <v>0</v>
      </c>
      <c r="G16" s="109">
        <f t="shared" si="6"/>
        <v>0</v>
      </c>
      <c r="H16" s="108">
        <f t="shared" si="7"/>
        <v>2250</v>
      </c>
      <c r="K16" s="134"/>
      <c r="O16" s="60" t="s">
        <v>102</v>
      </c>
      <c r="P16" s="125" t="s">
        <v>80</v>
      </c>
      <c r="Q16" s="115">
        <v>3</v>
      </c>
      <c r="R16" s="115" t="s">
        <v>49</v>
      </c>
      <c r="S16" s="126">
        <v>750</v>
      </c>
      <c r="T16" s="127">
        <v>0</v>
      </c>
      <c r="U16" s="127">
        <v>0</v>
      </c>
      <c r="V16" s="118">
        <v>2250</v>
      </c>
      <c r="W16" s="118">
        <v>0</v>
      </c>
      <c r="X16" s="118">
        <v>2250</v>
      </c>
      <c r="Y16" s="60"/>
    </row>
    <row r="17" spans="1:25" s="102" customFormat="1" ht="18.75" customHeight="1">
      <c r="A17" s="100">
        <v>4</v>
      </c>
      <c r="B17" s="101" t="str">
        <f t="shared" si="1"/>
        <v>Maintenance Gestion Comptable</v>
      </c>
      <c r="C17" s="100">
        <f t="shared" si="2"/>
        <v>1</v>
      </c>
      <c r="D17" s="100" t="str">
        <f t="shared" si="3"/>
        <v>année</v>
      </c>
      <c r="E17" s="108">
        <f t="shared" si="4"/>
        <v>225</v>
      </c>
      <c r="F17" s="109">
        <f t="shared" si="5"/>
        <v>0</v>
      </c>
      <c r="G17" s="109">
        <f t="shared" si="6"/>
        <v>0.20000000298023224</v>
      </c>
      <c r="H17" s="108">
        <f t="shared" si="7"/>
        <v>225</v>
      </c>
      <c r="K17" s="134"/>
      <c r="O17" s="60" t="s">
        <v>102</v>
      </c>
      <c r="P17" s="125" t="s">
        <v>96</v>
      </c>
      <c r="Q17" s="115">
        <v>1</v>
      </c>
      <c r="R17" s="115" t="s">
        <v>84</v>
      </c>
      <c r="S17" s="126">
        <v>225</v>
      </c>
      <c r="T17" s="127">
        <v>0</v>
      </c>
      <c r="U17" s="127">
        <v>0.20000000298023224</v>
      </c>
      <c r="V17" s="118">
        <v>225</v>
      </c>
      <c r="W17" s="118">
        <v>45.000000670552254</v>
      </c>
      <c r="X17" s="118">
        <v>270.00000067055225</v>
      </c>
      <c r="Y17" s="60"/>
    </row>
    <row r="18" spans="1:25" s="102" customFormat="1" ht="18.75" customHeight="1">
      <c r="A18" s="100">
        <v>5</v>
      </c>
      <c r="B18" s="101" t="str">
        <f t="shared" si="1"/>
        <v>Formation Gestion Comptable</v>
      </c>
      <c r="C18" s="100">
        <f t="shared" si="2"/>
        <v>5</v>
      </c>
      <c r="D18" s="100" t="str">
        <f t="shared" si="3"/>
        <v>jours</v>
      </c>
      <c r="E18" s="108">
        <f t="shared" si="4"/>
        <v>750</v>
      </c>
      <c r="F18" s="109">
        <f t="shared" si="5"/>
        <v>0</v>
      </c>
      <c r="G18" s="109">
        <f t="shared" si="6"/>
        <v>0</v>
      </c>
      <c r="H18" s="108">
        <f t="shared" si="7"/>
        <v>3750</v>
      </c>
      <c r="K18" s="134"/>
      <c r="O18" s="60" t="s">
        <v>102</v>
      </c>
      <c r="P18" s="125" t="s">
        <v>95</v>
      </c>
      <c r="Q18" s="115">
        <v>5</v>
      </c>
      <c r="R18" s="115" t="s">
        <v>49</v>
      </c>
      <c r="S18" s="126">
        <v>750</v>
      </c>
      <c r="T18" s="127">
        <v>0</v>
      </c>
      <c r="U18" s="127">
        <v>0</v>
      </c>
      <c r="V18" s="118">
        <v>3750</v>
      </c>
      <c r="W18" s="118">
        <v>0</v>
      </c>
      <c r="X18" s="118">
        <v>3750</v>
      </c>
      <c r="Y18" s="60"/>
    </row>
    <row r="19" spans="1:25" s="102" customFormat="1" ht="18.75" customHeight="1">
      <c r="A19" s="100">
        <v>6</v>
      </c>
      <c r="B19" s="101" t="str">
        <f t="shared" si="1"/>
        <v>Licence application Gestion Comptable</v>
      </c>
      <c r="C19" s="100">
        <f t="shared" si="2"/>
        <v>1</v>
      </c>
      <c r="D19" s="100" t="str">
        <f t="shared" si="3"/>
        <v>licence</v>
      </c>
      <c r="E19" s="108">
        <f t="shared" si="4"/>
        <v>4000</v>
      </c>
      <c r="F19" s="109">
        <f t="shared" si="5"/>
        <v>0</v>
      </c>
      <c r="G19" s="109">
        <f t="shared" si="6"/>
        <v>0.20000000298023224</v>
      </c>
      <c r="H19" s="108">
        <f t="shared" si="7"/>
        <v>4000</v>
      </c>
      <c r="K19" s="134"/>
      <c r="O19" s="60" t="s">
        <v>102</v>
      </c>
      <c r="P19" s="125" t="s">
        <v>94</v>
      </c>
      <c r="Q19" s="115">
        <v>1</v>
      </c>
      <c r="R19" s="115" t="s">
        <v>85</v>
      </c>
      <c r="S19" s="126">
        <v>4000</v>
      </c>
      <c r="T19" s="127">
        <v>0</v>
      </c>
      <c r="U19" s="127">
        <v>0.20000000298023224</v>
      </c>
      <c r="V19" s="118">
        <v>4000</v>
      </c>
      <c r="W19" s="118">
        <v>800.00001192092896</v>
      </c>
      <c r="X19" s="118">
        <v>4800.000011920929</v>
      </c>
      <c r="Y19" s="60"/>
    </row>
    <row r="20" spans="1:25" s="102" customFormat="1" ht="18.75" customHeight="1">
      <c r="A20" s="100">
        <v>7</v>
      </c>
      <c r="B20" s="101" t="str">
        <f t="shared" si="1"/>
        <v>Formation Gestion de la Formation</v>
      </c>
      <c r="C20" s="100">
        <f t="shared" si="2"/>
        <v>2</v>
      </c>
      <c r="D20" s="100" t="str">
        <f t="shared" si="3"/>
        <v>jours</v>
      </c>
      <c r="E20" s="108">
        <f t="shared" si="4"/>
        <v>750</v>
      </c>
      <c r="F20" s="109">
        <f t="shared" si="5"/>
        <v>0</v>
      </c>
      <c r="G20" s="109">
        <f t="shared" si="6"/>
        <v>0</v>
      </c>
      <c r="H20" s="108">
        <f t="shared" si="7"/>
        <v>1500</v>
      </c>
      <c r="K20" s="134"/>
      <c r="O20" s="60" t="s">
        <v>102</v>
      </c>
      <c r="P20" s="125" t="s">
        <v>90</v>
      </c>
      <c r="Q20" s="115">
        <v>2</v>
      </c>
      <c r="R20" s="115" t="s">
        <v>49</v>
      </c>
      <c r="S20" s="126">
        <v>750</v>
      </c>
      <c r="T20" s="127">
        <v>0</v>
      </c>
      <c r="U20" s="127">
        <v>0</v>
      </c>
      <c r="V20" s="118">
        <v>1500</v>
      </c>
      <c r="W20" s="118">
        <v>0</v>
      </c>
      <c r="X20" s="118">
        <v>1500</v>
      </c>
      <c r="Y20" s="60"/>
    </row>
    <row r="21" spans="1:25" s="102" customFormat="1" ht="18.75" customHeight="1">
      <c r="A21" s="100">
        <v>8</v>
      </c>
      <c r="B21" s="101" t="str">
        <f t="shared" si="1"/>
        <v>Licence Gestion de Formation</v>
      </c>
      <c r="C21" s="100">
        <f t="shared" si="2"/>
        <v>1</v>
      </c>
      <c r="D21" s="100" t="str">
        <f t="shared" si="3"/>
        <v>licence</v>
      </c>
      <c r="E21" s="108">
        <f t="shared" si="4"/>
        <v>2000</v>
      </c>
      <c r="F21" s="109">
        <f t="shared" si="5"/>
        <v>0</v>
      </c>
      <c r="G21" s="109">
        <f t="shared" si="6"/>
        <v>0.20000000298023224</v>
      </c>
      <c r="H21" s="108">
        <f t="shared" si="7"/>
        <v>2000</v>
      </c>
      <c r="K21" s="134"/>
      <c r="O21" s="60" t="s">
        <v>102</v>
      </c>
      <c r="P21" s="125" t="s">
        <v>89</v>
      </c>
      <c r="Q21" s="115">
        <v>1</v>
      </c>
      <c r="R21" s="115" t="s">
        <v>85</v>
      </c>
      <c r="S21" s="126">
        <v>2000</v>
      </c>
      <c r="T21" s="127">
        <v>0</v>
      </c>
      <c r="U21" s="127">
        <v>0.20000000298023224</v>
      </c>
      <c r="V21" s="118">
        <v>2000</v>
      </c>
      <c r="W21" s="118">
        <v>400.00000596046448</v>
      </c>
      <c r="X21" s="118">
        <v>2400.0000059604645</v>
      </c>
      <c r="Y21" s="60"/>
    </row>
    <row r="22" spans="1:25" s="102" customFormat="1" ht="18.75" customHeight="1">
      <c r="A22" s="100">
        <v>9</v>
      </c>
      <c r="B22" s="101" t="str">
        <f t="shared" si="1"/>
        <v>Maintenance Gestion de Formation</v>
      </c>
      <c r="C22" s="100">
        <f t="shared" si="2"/>
        <v>1</v>
      </c>
      <c r="D22" s="100" t="str">
        <f t="shared" si="3"/>
        <v>année</v>
      </c>
      <c r="E22" s="108">
        <f t="shared" si="4"/>
        <v>200</v>
      </c>
      <c r="F22" s="109">
        <f t="shared" si="5"/>
        <v>0</v>
      </c>
      <c r="G22" s="109">
        <f t="shared" si="6"/>
        <v>0.20000000298023224</v>
      </c>
      <c r="H22" s="108">
        <f t="shared" si="7"/>
        <v>200</v>
      </c>
      <c r="K22" s="134"/>
      <c r="O22" s="60" t="s">
        <v>102</v>
      </c>
      <c r="P22" s="125" t="s">
        <v>88</v>
      </c>
      <c r="Q22" s="115">
        <v>1</v>
      </c>
      <c r="R22" s="115" t="s">
        <v>84</v>
      </c>
      <c r="S22" s="126">
        <v>200</v>
      </c>
      <c r="T22" s="127">
        <v>0</v>
      </c>
      <c r="U22" s="127">
        <v>0.20000000298023224</v>
      </c>
      <c r="V22" s="118">
        <v>200</v>
      </c>
      <c r="W22" s="118">
        <v>40.000000596046448</v>
      </c>
      <c r="X22" s="118">
        <v>240.00000059604645</v>
      </c>
      <c r="Y22" s="60"/>
    </row>
    <row r="23" spans="1:25" s="102" customFormat="1" ht="18.75" customHeight="1">
      <c r="A23" s="100">
        <v>10</v>
      </c>
      <c r="B23" s="101" t="str">
        <f t="shared" si="1"/>
        <v/>
      </c>
      <c r="C23" s="100" t="str">
        <f t="shared" si="2"/>
        <v/>
      </c>
      <c r="D23" s="100" t="str">
        <f t="shared" si="3"/>
        <v/>
      </c>
      <c r="E23" s="108" t="str">
        <f t="shared" si="4"/>
        <v/>
      </c>
      <c r="F23" s="109" t="str">
        <f t="shared" si="5"/>
        <v/>
      </c>
      <c r="G23" s="109" t="str">
        <f t="shared" si="6"/>
        <v/>
      </c>
      <c r="H23" s="108" t="str">
        <f t="shared" si="7"/>
        <v/>
      </c>
      <c r="K23" s="134"/>
    </row>
    <row r="24" spans="1:25" s="102" customFormat="1" ht="18.75" customHeight="1">
      <c r="A24" s="100">
        <v>11</v>
      </c>
      <c r="B24" s="101" t="str">
        <f t="shared" si="1"/>
        <v/>
      </c>
      <c r="C24" s="100" t="str">
        <f t="shared" si="2"/>
        <v/>
      </c>
      <c r="D24" s="100" t="str">
        <f t="shared" si="3"/>
        <v/>
      </c>
      <c r="E24" s="108" t="str">
        <f t="shared" si="4"/>
        <v/>
      </c>
      <c r="F24" s="109" t="str">
        <f t="shared" si="5"/>
        <v/>
      </c>
      <c r="G24" s="109" t="str">
        <f t="shared" si="6"/>
        <v/>
      </c>
      <c r="H24" s="108" t="str">
        <f t="shared" si="7"/>
        <v/>
      </c>
      <c r="K24" s="134"/>
    </row>
    <row r="25" spans="1:25" s="102" customFormat="1" ht="18.75" customHeight="1">
      <c r="A25" s="100">
        <v>12</v>
      </c>
      <c r="B25" s="101" t="str">
        <f t="shared" si="1"/>
        <v/>
      </c>
      <c r="C25" s="100" t="str">
        <f t="shared" si="2"/>
        <v/>
      </c>
      <c r="D25" s="100" t="str">
        <f t="shared" si="3"/>
        <v/>
      </c>
      <c r="E25" s="108" t="str">
        <f t="shared" si="4"/>
        <v/>
      </c>
      <c r="F25" s="109" t="str">
        <f t="shared" si="5"/>
        <v/>
      </c>
      <c r="G25" s="109" t="str">
        <f t="shared" si="6"/>
        <v/>
      </c>
      <c r="H25" s="108" t="str">
        <f t="shared" si="7"/>
        <v/>
      </c>
      <c r="K25" s="134"/>
    </row>
    <row r="26" spans="1:25" s="102" customFormat="1" ht="18.75" customHeight="1">
      <c r="A26" s="100">
        <v>13</v>
      </c>
      <c r="B26" s="101" t="str">
        <f t="shared" si="1"/>
        <v/>
      </c>
      <c r="C26" s="100" t="str">
        <f t="shared" si="2"/>
        <v/>
      </c>
      <c r="D26" s="100" t="str">
        <f t="shared" si="3"/>
        <v/>
      </c>
      <c r="E26" s="108" t="str">
        <f t="shared" si="4"/>
        <v/>
      </c>
      <c r="F26" s="109" t="str">
        <f t="shared" si="5"/>
        <v/>
      </c>
      <c r="G26" s="109" t="str">
        <f t="shared" si="6"/>
        <v/>
      </c>
      <c r="H26" s="108" t="str">
        <f t="shared" si="7"/>
        <v/>
      </c>
      <c r="K26" s="134"/>
    </row>
    <row r="27" spans="1:25" s="102" customFormat="1" ht="18.75" customHeight="1">
      <c r="A27" s="100">
        <v>14</v>
      </c>
      <c r="B27" s="101" t="str">
        <f t="shared" si="1"/>
        <v/>
      </c>
      <c r="C27" s="100" t="str">
        <f t="shared" si="2"/>
        <v/>
      </c>
      <c r="D27" s="100" t="str">
        <f t="shared" si="3"/>
        <v/>
      </c>
      <c r="E27" s="108" t="str">
        <f t="shared" si="4"/>
        <v/>
      </c>
      <c r="F27" s="109" t="str">
        <f t="shared" si="5"/>
        <v/>
      </c>
      <c r="G27" s="109" t="str">
        <f t="shared" si="6"/>
        <v/>
      </c>
      <c r="H27" s="108" t="str">
        <f t="shared" si="7"/>
        <v/>
      </c>
      <c r="K27" s="134"/>
    </row>
    <row r="28" spans="1:25" s="102" customFormat="1" ht="18.75" customHeight="1">
      <c r="A28" s="100">
        <v>15</v>
      </c>
      <c r="B28" s="101" t="str">
        <f t="shared" si="1"/>
        <v/>
      </c>
      <c r="C28" s="100" t="str">
        <f t="shared" si="2"/>
        <v/>
      </c>
      <c r="D28" s="100" t="str">
        <f t="shared" si="3"/>
        <v/>
      </c>
      <c r="E28" s="108" t="str">
        <f t="shared" si="4"/>
        <v/>
      </c>
      <c r="F28" s="109" t="str">
        <f t="shared" si="5"/>
        <v/>
      </c>
      <c r="G28" s="109" t="str">
        <f t="shared" si="6"/>
        <v/>
      </c>
      <c r="H28" s="108" t="str">
        <f t="shared" si="7"/>
        <v/>
      </c>
      <c r="K28" s="134"/>
    </row>
    <row r="29" spans="1:25" s="102" customFormat="1" ht="18.75" customHeight="1">
      <c r="A29" s="100">
        <v>16</v>
      </c>
      <c r="B29" s="101" t="str">
        <f t="shared" si="1"/>
        <v/>
      </c>
      <c r="C29" s="100" t="str">
        <f t="shared" si="2"/>
        <v/>
      </c>
      <c r="D29" s="100" t="str">
        <f t="shared" si="3"/>
        <v/>
      </c>
      <c r="E29" s="108" t="str">
        <f t="shared" si="4"/>
        <v/>
      </c>
      <c r="F29" s="109" t="str">
        <f t="shared" si="5"/>
        <v/>
      </c>
      <c r="G29" s="109" t="str">
        <f t="shared" si="6"/>
        <v/>
      </c>
      <c r="H29" s="108" t="str">
        <f t="shared" si="7"/>
        <v/>
      </c>
      <c r="K29" s="134"/>
    </row>
    <row r="30" spans="1:25" s="102" customFormat="1" ht="18.75" customHeight="1">
      <c r="A30" s="100">
        <v>17</v>
      </c>
      <c r="B30" s="101" t="str">
        <f t="shared" si="1"/>
        <v/>
      </c>
      <c r="C30" s="100" t="str">
        <f t="shared" si="2"/>
        <v/>
      </c>
      <c r="D30" s="100" t="str">
        <f t="shared" si="3"/>
        <v/>
      </c>
      <c r="E30" s="108" t="str">
        <f t="shared" si="4"/>
        <v/>
      </c>
      <c r="F30" s="109" t="str">
        <f t="shared" si="5"/>
        <v/>
      </c>
      <c r="G30" s="109" t="str">
        <f t="shared" si="6"/>
        <v/>
      </c>
      <c r="H30" s="108" t="str">
        <f t="shared" si="7"/>
        <v/>
      </c>
      <c r="K30" s="134"/>
    </row>
    <row r="31" spans="1:25" s="102" customFormat="1" ht="18.75" customHeight="1">
      <c r="A31" s="100">
        <v>18</v>
      </c>
      <c r="B31" s="101" t="str">
        <f t="shared" si="1"/>
        <v/>
      </c>
      <c r="C31" s="100" t="str">
        <f t="shared" si="2"/>
        <v/>
      </c>
      <c r="D31" s="100" t="str">
        <f t="shared" si="3"/>
        <v/>
      </c>
      <c r="E31" s="108" t="str">
        <f t="shared" si="4"/>
        <v/>
      </c>
      <c r="F31" s="109" t="str">
        <f t="shared" si="5"/>
        <v/>
      </c>
      <c r="G31" s="109" t="str">
        <f t="shared" si="6"/>
        <v/>
      </c>
      <c r="H31" s="108" t="str">
        <f t="shared" si="7"/>
        <v/>
      </c>
      <c r="K31" s="134"/>
    </row>
    <row r="32" spans="1:25" s="102" customFormat="1" ht="18.75" customHeight="1">
      <c r="A32" s="100">
        <v>19</v>
      </c>
      <c r="B32" s="101" t="str">
        <f t="shared" si="1"/>
        <v/>
      </c>
      <c r="C32" s="100" t="str">
        <f t="shared" si="2"/>
        <v/>
      </c>
      <c r="D32" s="100" t="str">
        <f t="shared" si="3"/>
        <v/>
      </c>
      <c r="E32" s="108" t="str">
        <f t="shared" si="4"/>
        <v/>
      </c>
      <c r="F32" s="109" t="str">
        <f t="shared" si="5"/>
        <v/>
      </c>
      <c r="G32" s="109" t="str">
        <f t="shared" si="6"/>
        <v/>
      </c>
      <c r="H32" s="108" t="str">
        <f t="shared" si="7"/>
        <v/>
      </c>
      <c r="K32" s="134"/>
    </row>
    <row r="33" spans="1:11" s="102" customFormat="1" ht="18.75" customHeight="1">
      <c r="A33" s="100">
        <v>20</v>
      </c>
      <c r="B33" s="101" t="str">
        <f t="shared" si="1"/>
        <v/>
      </c>
      <c r="C33" s="100" t="str">
        <f t="shared" si="2"/>
        <v/>
      </c>
      <c r="D33" s="100" t="str">
        <f t="shared" si="3"/>
        <v/>
      </c>
      <c r="E33" s="108" t="str">
        <f t="shared" si="4"/>
        <v/>
      </c>
      <c r="F33" s="109" t="str">
        <f t="shared" si="5"/>
        <v/>
      </c>
      <c r="G33" s="109" t="str">
        <f t="shared" si="6"/>
        <v/>
      </c>
      <c r="H33" s="108" t="str">
        <f t="shared" si="7"/>
        <v/>
      </c>
      <c r="K33" s="134"/>
    </row>
    <row r="34" spans="1:11" s="102" customFormat="1" ht="18.75" customHeight="1">
      <c r="A34" s="100">
        <v>21</v>
      </c>
      <c r="B34" s="101" t="str">
        <f t="shared" si="1"/>
        <v/>
      </c>
      <c r="C34" s="100" t="str">
        <f t="shared" si="2"/>
        <v/>
      </c>
      <c r="D34" s="100" t="str">
        <f t="shared" si="3"/>
        <v/>
      </c>
      <c r="E34" s="108" t="str">
        <f t="shared" si="4"/>
        <v/>
      </c>
      <c r="F34" s="109" t="str">
        <f t="shared" si="5"/>
        <v/>
      </c>
      <c r="G34" s="109" t="str">
        <f t="shared" si="6"/>
        <v/>
      </c>
      <c r="H34" s="108" t="str">
        <f t="shared" si="7"/>
        <v/>
      </c>
      <c r="K34" s="134"/>
    </row>
    <row r="35" spans="1:11" s="102" customFormat="1" ht="18.75" customHeight="1">
      <c r="A35" s="100">
        <v>22</v>
      </c>
      <c r="B35" s="101" t="str">
        <f t="shared" si="1"/>
        <v/>
      </c>
      <c r="C35" s="100" t="str">
        <f t="shared" si="2"/>
        <v/>
      </c>
      <c r="D35" s="100" t="str">
        <f t="shared" si="3"/>
        <v/>
      </c>
      <c r="E35" s="108" t="str">
        <f t="shared" si="4"/>
        <v/>
      </c>
      <c r="F35" s="109" t="str">
        <f t="shared" si="5"/>
        <v/>
      </c>
      <c r="G35" s="109" t="str">
        <f t="shared" si="6"/>
        <v/>
      </c>
      <c r="H35" s="108" t="str">
        <f t="shared" si="7"/>
        <v/>
      </c>
      <c r="K35" s="134"/>
    </row>
    <row r="36" spans="1:11" s="102" customFormat="1" ht="18.75" customHeight="1">
      <c r="A36" s="100">
        <v>23</v>
      </c>
      <c r="B36" s="101" t="str">
        <f t="shared" si="1"/>
        <v/>
      </c>
      <c r="C36" s="100" t="str">
        <f t="shared" si="2"/>
        <v/>
      </c>
      <c r="D36" s="100" t="str">
        <f t="shared" si="3"/>
        <v/>
      </c>
      <c r="E36" s="108" t="str">
        <f t="shared" si="4"/>
        <v/>
      </c>
      <c r="F36" s="109" t="str">
        <f t="shared" si="5"/>
        <v/>
      </c>
      <c r="G36" s="109" t="str">
        <f t="shared" si="6"/>
        <v/>
      </c>
      <c r="H36" s="108" t="str">
        <f t="shared" si="7"/>
        <v/>
      </c>
      <c r="K36" s="134"/>
    </row>
    <row r="37" spans="1:11" s="102" customFormat="1" ht="18.75" customHeight="1">
      <c r="A37" s="100">
        <v>24</v>
      </c>
      <c r="B37" s="101" t="str">
        <f t="shared" si="1"/>
        <v/>
      </c>
      <c r="C37" s="100" t="str">
        <f t="shared" si="2"/>
        <v/>
      </c>
      <c r="D37" s="100" t="str">
        <f t="shared" si="3"/>
        <v/>
      </c>
      <c r="E37" s="108" t="str">
        <f t="shared" si="4"/>
        <v/>
      </c>
      <c r="F37" s="109" t="str">
        <f t="shared" si="5"/>
        <v/>
      </c>
      <c r="G37" s="109" t="str">
        <f t="shared" si="6"/>
        <v/>
      </c>
      <c r="H37" s="108" t="str">
        <f t="shared" si="7"/>
        <v/>
      </c>
      <c r="K37" s="134"/>
    </row>
    <row r="38" spans="1:11" s="102" customFormat="1" ht="18.75" customHeight="1">
      <c r="A38" s="100">
        <v>25</v>
      </c>
      <c r="B38" s="101" t="str">
        <f t="shared" si="1"/>
        <v/>
      </c>
      <c r="C38" s="100" t="str">
        <f t="shared" si="2"/>
        <v/>
      </c>
      <c r="D38" s="100" t="str">
        <f t="shared" si="3"/>
        <v/>
      </c>
      <c r="E38" s="108" t="str">
        <f t="shared" si="4"/>
        <v/>
      </c>
      <c r="F38" s="109" t="str">
        <f t="shared" si="5"/>
        <v/>
      </c>
      <c r="G38" s="109" t="str">
        <f t="shared" si="6"/>
        <v/>
      </c>
      <c r="H38" s="108" t="str">
        <f t="shared" si="7"/>
        <v/>
      </c>
      <c r="K38" s="134"/>
    </row>
    <row r="39" spans="1:11" s="102" customFormat="1" ht="18.75" customHeight="1">
      <c r="A39" s="100">
        <v>26</v>
      </c>
      <c r="B39" s="101" t="str">
        <f t="shared" si="1"/>
        <v/>
      </c>
      <c r="C39" s="100" t="str">
        <f t="shared" si="2"/>
        <v/>
      </c>
      <c r="D39" s="100" t="str">
        <f t="shared" si="3"/>
        <v/>
      </c>
      <c r="E39" s="108" t="str">
        <f t="shared" si="4"/>
        <v/>
      </c>
      <c r="F39" s="109" t="str">
        <f t="shared" si="5"/>
        <v/>
      </c>
      <c r="G39" s="109" t="str">
        <f t="shared" si="6"/>
        <v/>
      </c>
      <c r="H39" s="108" t="str">
        <f t="shared" si="7"/>
        <v/>
      </c>
      <c r="K39" s="134"/>
    </row>
    <row r="40" spans="1:11" s="102" customFormat="1" ht="18.75" customHeight="1">
      <c r="A40" s="100">
        <v>27</v>
      </c>
      <c r="B40" s="101" t="str">
        <f t="shared" si="1"/>
        <v/>
      </c>
      <c r="C40" s="100" t="str">
        <f t="shared" si="2"/>
        <v/>
      </c>
      <c r="D40" s="100" t="str">
        <f t="shared" si="3"/>
        <v/>
      </c>
      <c r="E40" s="108" t="str">
        <f t="shared" si="4"/>
        <v/>
      </c>
      <c r="F40" s="109" t="str">
        <f t="shared" si="5"/>
        <v/>
      </c>
      <c r="G40" s="109" t="str">
        <f t="shared" si="6"/>
        <v/>
      </c>
      <c r="H40" s="108" t="str">
        <f t="shared" si="7"/>
        <v/>
      </c>
      <c r="K40" s="134"/>
    </row>
    <row r="41" spans="1:11" s="102" customFormat="1" ht="18.75" customHeight="1">
      <c r="A41" s="100">
        <v>28</v>
      </c>
      <c r="B41" s="101" t="str">
        <f t="shared" si="1"/>
        <v/>
      </c>
      <c r="C41" s="100" t="str">
        <f t="shared" si="2"/>
        <v/>
      </c>
      <c r="D41" s="100" t="str">
        <f t="shared" si="3"/>
        <v/>
      </c>
      <c r="E41" s="108" t="str">
        <f t="shared" si="4"/>
        <v/>
      </c>
      <c r="F41" s="109" t="str">
        <f t="shared" si="5"/>
        <v/>
      </c>
      <c r="G41" s="109" t="str">
        <f t="shared" si="6"/>
        <v/>
      </c>
      <c r="H41" s="108" t="str">
        <f t="shared" si="7"/>
        <v/>
      </c>
      <c r="K41" s="134"/>
    </row>
    <row r="42" spans="1:11" s="102" customFormat="1" ht="18.75" customHeight="1">
      <c r="A42" s="100">
        <v>29</v>
      </c>
      <c r="B42" s="101" t="str">
        <f t="shared" si="1"/>
        <v/>
      </c>
      <c r="C42" s="100" t="str">
        <f t="shared" si="2"/>
        <v/>
      </c>
      <c r="D42" s="100" t="str">
        <f t="shared" si="3"/>
        <v/>
      </c>
      <c r="E42" s="108" t="str">
        <f t="shared" si="4"/>
        <v/>
      </c>
      <c r="F42" s="109" t="str">
        <f t="shared" si="5"/>
        <v/>
      </c>
      <c r="G42" s="109" t="str">
        <f t="shared" si="6"/>
        <v/>
      </c>
      <c r="H42" s="108" t="str">
        <f t="shared" si="7"/>
        <v/>
      </c>
      <c r="K42" s="134"/>
    </row>
    <row r="43" spans="1:11" s="102" customFormat="1" ht="18.75" customHeight="1">
      <c r="A43" s="100">
        <v>30</v>
      </c>
      <c r="B43" s="101" t="str">
        <f t="shared" si="1"/>
        <v/>
      </c>
      <c r="C43" s="100" t="str">
        <f t="shared" si="2"/>
        <v/>
      </c>
      <c r="D43" s="100" t="str">
        <f t="shared" si="3"/>
        <v/>
      </c>
      <c r="E43" s="108" t="str">
        <f t="shared" si="4"/>
        <v/>
      </c>
      <c r="F43" s="109" t="str">
        <f t="shared" si="5"/>
        <v/>
      </c>
      <c r="G43" s="109" t="str">
        <f t="shared" si="6"/>
        <v/>
      </c>
      <c r="H43" s="108" t="str">
        <f t="shared" si="7"/>
        <v/>
      </c>
      <c r="K43" s="134"/>
    </row>
    <row r="44" spans="1:11" s="110" customFormat="1" ht="24.75" customHeight="1">
      <c r="A44" s="77"/>
      <c r="B44" s="77"/>
      <c r="C44" s="77"/>
      <c r="D44" s="77"/>
      <c r="E44" s="77"/>
      <c r="F44" s="146" t="s">
        <v>67</v>
      </c>
      <c r="G44" s="147"/>
      <c r="H44" s="75">
        <f>SUM(H14:H43)</f>
        <v>16295</v>
      </c>
      <c r="K44" s="136"/>
    </row>
    <row r="45" spans="1:11" s="110" customFormat="1" ht="24.75" customHeight="1">
      <c r="B45" s="111"/>
      <c r="C45" s="111"/>
      <c r="D45" s="111"/>
      <c r="E45" s="111"/>
      <c r="F45" s="148" t="s">
        <v>68</v>
      </c>
      <c r="G45" s="148"/>
      <c r="H45" s="75">
        <f>SUM(W:W)</f>
        <v>1759.0000262111425</v>
      </c>
      <c r="K45" s="136"/>
    </row>
    <row r="46" spans="1:11" s="110" customFormat="1" ht="24.75" customHeight="1">
      <c r="F46" s="148" t="s">
        <v>69</v>
      </c>
      <c r="G46" s="148"/>
      <c r="H46" s="75">
        <f>SUM(X:X)</f>
        <v>18054.000026211143</v>
      </c>
      <c r="K46" s="136"/>
    </row>
  </sheetData>
  <mergeCells count="3">
    <mergeCell ref="F44:G44"/>
    <mergeCell ref="F45:G45"/>
    <mergeCell ref="F46:G46"/>
  </mergeCells>
  <dataValidations count="1">
    <dataValidation type="list" allowBlank="1" showInputMessage="1" showErrorMessage="1" errorTitle="Choisir dans la liste" error="Choisir dans la liste !" sqref="J2">
      <formula1>Liste_Devis</formula1>
    </dataValidation>
  </dataValidations>
  <printOptions horizontalCentered="1"/>
  <pageMargins left="0.38" right="0.47" top="0.37" bottom="0.28000000000000003" header="0.15748031496062992" footer="0.11811023622047245"/>
  <pageSetup paperSize="9" scale="79" orientation="portrait" horizontalDpi="4294967293" verticalDpi="4294967293" r:id="rId1"/>
  <ignoredErrors>
    <ignoredError sqref="B23 E23:H23 B24:B43 H45:H46 E24:H43 H4:H10 H1:H3" emptyCellReference="1"/>
    <ignoredError sqref="C14:C22 D14:D22" formula="1"/>
    <ignoredError sqref="C24:C43 C23 D24:D43 D23" formula="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J6"/>
  <sheetViews>
    <sheetView zoomScaleNormal="100" workbookViewId="0">
      <pane ySplit="4" topLeftCell="A5" activePane="bottomLeft" state="frozen"/>
      <selection pane="bottomLeft" activeCell="B5" sqref="B5"/>
    </sheetView>
  </sheetViews>
  <sheetFormatPr baseColWidth="10" defaultRowHeight="15"/>
  <cols>
    <col min="1" max="1" width="35.42578125" customWidth="1"/>
    <col min="2" max="3" width="36.140625" customWidth="1"/>
    <col min="4" max="4" width="15" style="13" customWidth="1"/>
    <col min="5" max="5" width="15.140625" style="13" customWidth="1"/>
    <col min="6" max="6" width="32.140625" style="2" customWidth="1"/>
    <col min="7" max="7" width="14.5703125" style="13" customWidth="1"/>
    <col min="8" max="9" width="14.5703125" style="15" customWidth="1"/>
    <col min="10" max="10" width="46.28515625" customWidth="1"/>
  </cols>
  <sheetData>
    <row r="1" spans="1:10" s="12" customFormat="1" ht="21">
      <c r="A1" s="37" t="str">
        <f>Raison_sociale&amp;" - "&amp;Titre&amp;" - Entêtes de factures"</f>
        <v>Ma Petite Entreprise - Devis et Factures - Entêtes de factures</v>
      </c>
      <c r="B1" s="37"/>
      <c r="C1" s="37"/>
      <c r="D1" s="38"/>
      <c r="E1" s="38"/>
      <c r="F1" s="112"/>
      <c r="G1" s="38"/>
      <c r="H1" s="39"/>
      <c r="I1" s="39"/>
      <c r="J1" s="37"/>
    </row>
    <row r="2" spans="1:10" s="12" customFormat="1" ht="40.5" customHeight="1">
      <c r="A2" s="37"/>
      <c r="B2" s="37"/>
      <c r="C2" s="37"/>
      <c r="D2" s="38"/>
      <c r="E2" s="38"/>
      <c r="F2" s="112"/>
      <c r="G2" s="40">
        <f>SUBTOTAL(9,G4:G6)</f>
        <v>3</v>
      </c>
      <c r="H2" s="41">
        <f>SUBTOTAL(9,H4:H6)</f>
        <v>2287.4</v>
      </c>
      <c r="I2" s="41">
        <f>SUBTOTAL(9,I4:I6)</f>
        <v>2584.4800044268368</v>
      </c>
      <c r="J2" s="37"/>
    </row>
    <row r="3" spans="1:10" s="11" customFormat="1">
      <c r="A3" s="42"/>
      <c r="B3" s="42"/>
      <c r="C3" s="42"/>
      <c r="D3" s="43"/>
      <c r="E3" s="43"/>
      <c r="F3" s="113"/>
      <c r="G3" s="43"/>
      <c r="H3" s="44"/>
      <c r="I3" s="44"/>
      <c r="J3" s="42"/>
    </row>
    <row r="4" spans="1:10" s="14" customFormat="1" ht="52.5" customHeight="1">
      <c r="A4" s="141" t="s">
        <v>41</v>
      </c>
      <c r="B4" s="16" t="s">
        <v>17</v>
      </c>
      <c r="C4" s="16" t="s">
        <v>76</v>
      </c>
      <c r="D4" s="17" t="s">
        <v>97</v>
      </c>
      <c r="E4" s="17" t="s">
        <v>99</v>
      </c>
      <c r="F4" s="31" t="s">
        <v>98</v>
      </c>
      <c r="G4" s="25" t="s">
        <v>19</v>
      </c>
      <c r="H4" s="26" t="s">
        <v>20</v>
      </c>
      <c r="I4" s="26" t="s">
        <v>21</v>
      </c>
      <c r="J4" s="16" t="s">
        <v>22</v>
      </c>
    </row>
    <row r="5" spans="1:10" s="60" customFormat="1" ht="52.5" customHeight="1">
      <c r="A5" s="142" t="str">
        <f>D5&amp;" - "&amp;B5&amp;" - "&amp;C5</f>
        <v>FA15004 - Garage Ma Jolie Poubelle - Gamme complète de logiciels et prestations informatiques</v>
      </c>
      <c r="B5" s="60" t="s">
        <v>30</v>
      </c>
      <c r="C5" s="60" t="s">
        <v>101</v>
      </c>
      <c r="D5" s="115" t="s">
        <v>103</v>
      </c>
      <c r="E5" s="116">
        <v>42348</v>
      </c>
      <c r="F5" s="139" t="s">
        <v>102</v>
      </c>
      <c r="G5" s="117">
        <f>COUNTIF('Lignes Factures'!A:A,A:A)</f>
        <v>3</v>
      </c>
      <c r="H5" s="118">
        <f>SUMIF('Lignes Factures'!A:A,A:A,'Lignes Factures'!H:H)</f>
        <v>2287.4</v>
      </c>
      <c r="I5" s="118">
        <f>SUMIF('Lignes Factures'!A:A,A:A,'Lignes Factures'!J:J)</f>
        <v>2584.4800044268368</v>
      </c>
      <c r="J5" s="119"/>
    </row>
    <row r="6" spans="1:10" ht="52.5" customHeight="1">
      <c r="A6" s="143"/>
      <c r="B6" s="1"/>
      <c r="C6" s="1"/>
      <c r="D6" s="18"/>
      <c r="E6" s="18"/>
      <c r="F6" s="34"/>
      <c r="G6" s="27"/>
      <c r="H6" s="28"/>
      <c r="I6" s="28"/>
      <c r="J6" s="1"/>
    </row>
  </sheetData>
  <autoFilter ref="A4:J5"/>
  <dataValidations count="2">
    <dataValidation type="list" allowBlank="1" showInputMessage="1" showErrorMessage="1" errorTitle="Choisir dans la liste" error="Choisir dans la liste !" sqref="B4:B6">
      <formula1>Liste_Clients</formula1>
    </dataValidation>
    <dataValidation type="list" allowBlank="1" showInputMessage="1" showErrorMessage="1" errorTitle="Choisir dans la liste" error="Choisir dans la liste !" sqref="F4:F6">
      <formula1>Liste_Devis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L8"/>
  <sheetViews>
    <sheetView zoomScaleNormal="100" workbookViewId="0">
      <pane ySplit="4" topLeftCell="A5" activePane="bottomLeft" state="frozen"/>
      <selection pane="bottomLeft" activeCell="D7" sqref="D7"/>
    </sheetView>
  </sheetViews>
  <sheetFormatPr baseColWidth="10" defaultRowHeight="15"/>
  <cols>
    <col min="1" max="1" width="36.42578125" customWidth="1"/>
    <col min="2" max="2" width="38.7109375" customWidth="1"/>
    <col min="3" max="3" width="10.140625" customWidth="1"/>
    <col min="4" max="4" width="18.140625" customWidth="1"/>
    <col min="5" max="5" width="15" style="49" customWidth="1"/>
    <col min="6" max="6" width="11.140625" style="56" customWidth="1"/>
    <col min="7" max="7" width="11.140625" style="55" customWidth="1"/>
    <col min="8" max="8" width="15.140625" style="15" customWidth="1"/>
    <col min="9" max="10" width="14.5703125" style="15" customWidth="1"/>
    <col min="11" max="11" width="34.42578125" style="15" customWidth="1"/>
    <col min="12" max="12" width="46.28515625" customWidth="1"/>
  </cols>
  <sheetData>
    <row r="1" spans="1:12" s="12" customFormat="1" ht="21">
      <c r="A1" s="37" t="str">
        <f>Raison_sociale&amp;" - "&amp;Titre&amp;" - Lignes de factures"</f>
        <v>Ma Petite Entreprise - Devis et Factures - Lignes de factures</v>
      </c>
      <c r="B1" s="37"/>
      <c r="C1" s="37"/>
      <c r="D1" s="37"/>
      <c r="E1" s="45"/>
      <c r="F1" s="50"/>
      <c r="G1" s="51"/>
      <c r="H1" s="39"/>
      <c r="I1" s="39"/>
      <c r="J1" s="39"/>
      <c r="K1" s="39"/>
      <c r="L1" s="37"/>
    </row>
    <row r="2" spans="1:12" s="12" customFormat="1" ht="40.5" customHeight="1">
      <c r="A2" s="37"/>
      <c r="B2" s="37"/>
      <c r="C2" s="37"/>
      <c r="D2" s="37"/>
      <c r="E2" s="45"/>
      <c r="F2" s="50"/>
      <c r="G2" s="51"/>
      <c r="H2" s="41">
        <f t="shared" ref="H2:I2" si="0">SUBTOTAL(9,H4:H8)</f>
        <v>2287.4</v>
      </c>
      <c r="I2" s="41">
        <f t="shared" si="0"/>
        <v>297.08000442683698</v>
      </c>
      <c r="J2" s="41">
        <f>SUBTOTAL(9,J4:J8)</f>
        <v>2584.4800044268368</v>
      </c>
      <c r="K2" s="41"/>
      <c r="L2" s="37"/>
    </row>
    <row r="3" spans="1:12" s="11" customFormat="1">
      <c r="A3" s="42"/>
      <c r="B3" s="42"/>
      <c r="C3" s="42"/>
      <c r="D3" s="42"/>
      <c r="E3" s="46"/>
      <c r="F3" s="52"/>
      <c r="G3" s="53"/>
      <c r="H3" s="44"/>
      <c r="I3" s="44"/>
      <c r="J3" s="44"/>
      <c r="K3" s="44"/>
      <c r="L3" s="42"/>
    </row>
    <row r="4" spans="1:12" s="14" customFormat="1" ht="48" customHeight="1">
      <c r="A4" s="16" t="s">
        <v>51</v>
      </c>
      <c r="B4" s="31" t="s">
        <v>43</v>
      </c>
      <c r="C4" s="17" t="s">
        <v>44</v>
      </c>
      <c r="D4" s="17" t="s">
        <v>45</v>
      </c>
      <c r="E4" s="47" t="s">
        <v>46</v>
      </c>
      <c r="F4" s="54" t="s">
        <v>52</v>
      </c>
      <c r="G4" s="54" t="s">
        <v>47</v>
      </c>
      <c r="H4" s="26" t="s">
        <v>20</v>
      </c>
      <c r="I4" s="26" t="s">
        <v>48</v>
      </c>
      <c r="J4" s="26" t="s">
        <v>21</v>
      </c>
      <c r="K4" s="16" t="s">
        <v>22</v>
      </c>
    </row>
    <row r="5" spans="1:12" s="60" customFormat="1" ht="48" customHeight="1">
      <c r="A5" s="60" t="s">
        <v>104</v>
      </c>
      <c r="B5" s="125" t="s">
        <v>100</v>
      </c>
      <c r="C5" s="115">
        <v>1</v>
      </c>
      <c r="D5" s="115" t="s">
        <v>50</v>
      </c>
      <c r="E5" s="126">
        <v>400</v>
      </c>
      <c r="F5" s="129">
        <v>0</v>
      </c>
      <c r="G5" s="129">
        <v>0.20000000298023224</v>
      </c>
      <c r="H5" s="118">
        <f>(C5*E5)-(C5*E5*F5)</f>
        <v>400</v>
      </c>
      <c r="I5" s="118">
        <f>H5*G5</f>
        <v>80.000001192092896</v>
      </c>
      <c r="J5" s="118">
        <f>SUM(H5:I5)</f>
        <v>480.0000011920929</v>
      </c>
      <c r="K5" s="119"/>
    </row>
    <row r="6" spans="1:12" s="60" customFormat="1" ht="48" customHeight="1">
      <c r="A6" s="60" t="s">
        <v>104</v>
      </c>
      <c r="B6" s="125" t="s">
        <v>105</v>
      </c>
      <c r="C6" s="115">
        <v>2</v>
      </c>
      <c r="D6" s="115" t="s">
        <v>50</v>
      </c>
      <c r="E6" s="126">
        <v>401</v>
      </c>
      <c r="F6" s="129">
        <v>0</v>
      </c>
      <c r="G6" s="129">
        <v>0</v>
      </c>
      <c r="H6" s="118">
        <f>(C6*E6)-(C6*E6*F6)</f>
        <v>802</v>
      </c>
      <c r="I6" s="118">
        <f>H6*G6</f>
        <v>0</v>
      </c>
      <c r="J6" s="118">
        <f>SUM(H6:I6)</f>
        <v>802</v>
      </c>
      <c r="K6" s="119"/>
    </row>
    <row r="7" spans="1:12" s="60" customFormat="1" ht="48" customHeight="1">
      <c r="A7" s="60" t="s">
        <v>104</v>
      </c>
      <c r="B7" s="125" t="s">
        <v>106</v>
      </c>
      <c r="C7" s="115">
        <v>3</v>
      </c>
      <c r="D7" s="115" t="s">
        <v>50</v>
      </c>
      <c r="E7" s="126">
        <v>402</v>
      </c>
      <c r="F7" s="129">
        <v>0.1</v>
      </c>
      <c r="G7" s="129">
        <v>0.20000000298023224</v>
      </c>
      <c r="H7" s="118">
        <f>(C7*E7)-(C7*E7*F7)</f>
        <v>1085.4000000000001</v>
      </c>
      <c r="I7" s="118">
        <f>H7*G7</f>
        <v>217.08000323474408</v>
      </c>
      <c r="J7" s="118">
        <f>SUM(H7:I7)</f>
        <v>1302.4800032347441</v>
      </c>
      <c r="K7" s="119"/>
    </row>
    <row r="8" spans="1:12" s="60" customFormat="1" ht="48" customHeight="1">
      <c r="A8" s="121"/>
      <c r="B8" s="130"/>
      <c r="C8" s="122"/>
      <c r="D8" s="122"/>
      <c r="E8" s="131"/>
      <c r="F8" s="132"/>
      <c r="G8" s="132"/>
      <c r="H8" s="124"/>
      <c r="I8" s="124"/>
      <c r="J8" s="124"/>
      <c r="K8" s="121"/>
    </row>
  </sheetData>
  <dataValidations count="1">
    <dataValidation type="list" allowBlank="1" showInputMessage="1" showErrorMessage="1" errorTitle="Choisir dans la liste" error="Choisir dans la liste !" sqref="A4:A8">
      <formula1>Liste_Factures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Y46"/>
  <sheetViews>
    <sheetView workbookViewId="0">
      <pane xSplit="1" ySplit="13" topLeftCell="B35" activePane="bottomRight" state="frozen"/>
      <selection pane="topRight" activeCell="B1" sqref="B1"/>
      <selection pane="bottomLeft" activeCell="A14" sqref="A14"/>
      <selection pane="bottomRight" activeCell="J2" sqref="J2"/>
    </sheetView>
  </sheetViews>
  <sheetFormatPr baseColWidth="10" defaultRowHeight="15"/>
  <cols>
    <col min="1" max="1" width="8.5703125" customWidth="1"/>
    <col min="2" max="2" width="40" customWidth="1"/>
    <col min="10" max="10" width="44.28515625" customWidth="1"/>
    <col min="11" max="14" width="58.7109375" customWidth="1"/>
  </cols>
  <sheetData>
    <row r="1" spans="1:25" ht="15.75">
      <c r="H1" s="57" t="str">
        <f>Ville&amp;", le "&amp;TEXT(VLOOKUP(Numéro_Facture,Entetes_Factures,5,FALSE),"jj/mm/aaaa")</f>
        <v>Excel-les-Bains, le 10/12/2015</v>
      </c>
      <c r="J1" s="140" t="s">
        <v>51</v>
      </c>
    </row>
    <row r="2" spans="1:25" ht="49.5" customHeight="1">
      <c r="J2" s="144" t="s">
        <v>104</v>
      </c>
    </row>
    <row r="3" spans="1:25" ht="60" customHeight="1">
      <c r="B3" s="57"/>
      <c r="C3" s="57"/>
      <c r="D3" s="57"/>
      <c r="E3" s="57"/>
      <c r="F3" s="57"/>
      <c r="G3" s="57"/>
      <c r="H3" s="61" t="str">
        <f>"Facture n° "&amp;VLOOKUP(Numéro_Facture,Entetes_Factures,4,FALSE)</f>
        <v>Facture n° FA15004</v>
      </c>
    </row>
    <row r="4" spans="1:25" ht="23.25">
      <c r="A4" s="11" t="str">
        <f>Raison_sociale</f>
        <v>Ma Petite Entreprise</v>
      </c>
      <c r="H4" s="97" t="str">
        <f>VLOOKUP(Numéro_Facture,Entetes_Factures,3,FALSE)</f>
        <v>Gamme complète de logiciels et prestations informatiques</v>
      </c>
    </row>
    <row r="5" spans="1:25">
      <c r="A5" t="str">
        <f>Adresse_1</f>
        <v>1 rue des Roses</v>
      </c>
    </row>
    <row r="6" spans="1:25">
      <c r="A6" t="str">
        <f>Adresse_2</f>
        <v>Bâtiment B - Entrée E</v>
      </c>
    </row>
    <row r="7" spans="1:25" ht="15.75">
      <c r="A7" t="str">
        <f>Code_postal&amp;" "&amp;Ville</f>
        <v>75555 Excel-les-Bains</v>
      </c>
      <c r="H7" s="58" t="str">
        <f>IF(ISTEXT(VLOOKUP(Numéro_Facture,Entetes_Factures,2,FALSE)),VLOOKUP(Numéro_Facture,Entetes_Factures,2,FALSE),"")</f>
        <v>Garage Ma Jolie Poubelle</v>
      </c>
      <c r="J7" s="80" t="str">
        <f>F44&amp;" : "&amp;TEXT(H44,"# ##0.00 €")</f>
        <v>Total HT  : 2 287.40 €</v>
      </c>
    </row>
    <row r="8" spans="1:25" ht="15.75">
      <c r="A8" t="str">
        <f>"Téléphone : "&amp;Téléphone</f>
        <v>Téléphone : 01.01.01.01.01</v>
      </c>
      <c r="H8" s="59" t="str">
        <f>IF(ISTEXT(VLOOKUP(Client_Facture,Clients,2,FALSE)),VLOOKUP(Client_Facture,Clients,2,FALSE),"")</f>
        <v>1 rue des Rosiers</v>
      </c>
      <c r="J8" s="80" t="str">
        <f t="shared" ref="J8:J9" si="0">F45&amp;" : "&amp;TEXT(H45,"# ##0.00 €")</f>
        <v>Montant TVA  : 297.08 €</v>
      </c>
    </row>
    <row r="9" spans="1:25">
      <c r="A9" t="str">
        <f>"Télécopie : "&amp;Télécopie</f>
        <v>Télécopie : 01.01.01.01.02</v>
      </c>
      <c r="H9" t="str">
        <f>IF(ISTEXT(VLOOKUP(Client_Facture,Clients,3,FALSE)),VLOOKUP(Client_Facture,Clients,3,FALSE),"")</f>
        <v/>
      </c>
      <c r="J9" s="80" t="str">
        <f t="shared" si="0"/>
        <v>Montant TTC  : 2 584.48 €</v>
      </c>
    </row>
    <row r="10" spans="1:25" ht="15.75">
      <c r="A10" t="str">
        <f>"Site web : "&amp;Site_web</f>
        <v>Site web : mpe.fr</v>
      </c>
      <c r="H10" s="59" t="str">
        <f>IF(ISTEXT(VLOOKUP(Client_Facture,Clients,4,FALSE)&amp;" "&amp;VLOOKUP(Client_Facture,Clients,5,FALSE)),VLOOKUP(Client_Facture,Clients,4,FALSE)&amp;" "&amp;VLOOKUP(Client_Facture,Clients,5,FALSE),"")</f>
        <v>92000 Excel-les-Bains</v>
      </c>
    </row>
    <row r="11" spans="1:25">
      <c r="A11" t="str">
        <f>"Courriel : "&amp;Courriel</f>
        <v>Courriel : contact@mpe.fr</v>
      </c>
    </row>
    <row r="13" spans="1:25" s="60" customFormat="1" ht="32.25" customHeight="1">
      <c r="A13" s="67" t="s">
        <v>65</v>
      </c>
      <c r="B13" s="68" t="s">
        <v>66</v>
      </c>
      <c r="C13" s="67" t="s">
        <v>44</v>
      </c>
      <c r="D13" s="67" t="s">
        <v>45</v>
      </c>
      <c r="E13" s="69" t="s">
        <v>46</v>
      </c>
      <c r="F13" s="70" t="s">
        <v>52</v>
      </c>
      <c r="G13" s="70" t="s">
        <v>47</v>
      </c>
      <c r="H13" s="69" t="s">
        <v>20</v>
      </c>
      <c r="O13" s="62" t="s">
        <v>51</v>
      </c>
      <c r="P13" s="63" t="s">
        <v>43</v>
      </c>
      <c r="Q13" s="64" t="s">
        <v>44</v>
      </c>
      <c r="R13" s="64" t="s">
        <v>45</v>
      </c>
      <c r="S13" s="65" t="s">
        <v>46</v>
      </c>
      <c r="T13" s="66" t="s">
        <v>52</v>
      </c>
      <c r="U13" s="66" t="s">
        <v>47</v>
      </c>
      <c r="V13" s="65" t="s">
        <v>20</v>
      </c>
      <c r="W13" s="65" t="s">
        <v>48</v>
      </c>
      <c r="X13" s="65" t="s">
        <v>21</v>
      </c>
      <c r="Y13" s="62" t="s">
        <v>22</v>
      </c>
    </row>
    <row r="14" spans="1:25" s="60" customFormat="1" ht="18.75" customHeight="1">
      <c r="A14" s="71">
        <v>1</v>
      </c>
      <c r="B14" s="72" t="str">
        <f>IF(LEN(P14),P14,"")</f>
        <v>Licence Gestion Factures</v>
      </c>
      <c r="C14" s="71">
        <f>IF(ISNUMBER(Q14),Q14,"")</f>
        <v>1</v>
      </c>
      <c r="D14" s="71" t="str">
        <f>IF(LEN(R14),R14,"")</f>
        <v>forfait</v>
      </c>
      <c r="E14" s="73">
        <f>IF(ISNUMBER(S14),S14,"")</f>
        <v>400</v>
      </c>
      <c r="F14" s="74">
        <f>IF(ISNUMBER(T14),T14,"")</f>
        <v>0</v>
      </c>
      <c r="G14" s="74">
        <f>IF(ISNUMBER(U14),U14,"")</f>
        <v>0.20000000298023224</v>
      </c>
      <c r="H14" s="73">
        <f>IF(ISNUMBER(V14),V14,"")</f>
        <v>400</v>
      </c>
      <c r="O14" s="60" t="s">
        <v>104</v>
      </c>
      <c r="P14" s="125" t="s">
        <v>100</v>
      </c>
      <c r="Q14" s="115">
        <v>1</v>
      </c>
      <c r="R14" s="115" t="s">
        <v>50</v>
      </c>
      <c r="S14" s="126">
        <v>400</v>
      </c>
      <c r="T14" s="129">
        <v>0</v>
      </c>
      <c r="U14" s="129">
        <v>0.20000000298023224</v>
      </c>
      <c r="V14" s="118">
        <v>400</v>
      </c>
      <c r="W14" s="118">
        <v>80.000001192092896</v>
      </c>
      <c r="X14" s="118">
        <v>480.0000011920929</v>
      </c>
    </row>
    <row r="15" spans="1:25" s="60" customFormat="1" ht="18.75" customHeight="1">
      <c r="A15" s="71">
        <v>2</v>
      </c>
      <c r="B15" s="72" t="str">
        <f t="shared" ref="B15:B43" si="1">IF(LEN(P15),P15,"")</f>
        <v>Licence Gestion Clientèle</v>
      </c>
      <c r="C15" s="71">
        <f t="shared" ref="C15:C43" si="2">IF(ISNUMBER(Q15),Q15,"")</f>
        <v>2</v>
      </c>
      <c r="D15" s="71" t="str">
        <f t="shared" ref="D15:D43" si="3">IF(LEN(R15),R15,"")</f>
        <v>forfait</v>
      </c>
      <c r="E15" s="73">
        <f t="shared" ref="E15:E43" si="4">IF(ISNUMBER(S15),S15,"")</f>
        <v>401</v>
      </c>
      <c r="F15" s="74">
        <f t="shared" ref="F15:F43" si="5">IF(ISNUMBER(T15),T15,"")</f>
        <v>0</v>
      </c>
      <c r="G15" s="74">
        <f t="shared" ref="G15:G43" si="6">IF(ISNUMBER(U15),U15,"")</f>
        <v>0</v>
      </c>
      <c r="H15" s="73">
        <f t="shared" ref="H15:H43" si="7">IF(ISNUMBER(V15),V15,"")</f>
        <v>802</v>
      </c>
      <c r="O15" s="60" t="s">
        <v>104</v>
      </c>
      <c r="P15" s="125" t="s">
        <v>105</v>
      </c>
      <c r="Q15" s="115">
        <v>2</v>
      </c>
      <c r="R15" s="115" t="s">
        <v>50</v>
      </c>
      <c r="S15" s="126">
        <v>401</v>
      </c>
      <c r="T15" s="129">
        <v>0</v>
      </c>
      <c r="U15" s="129">
        <v>0</v>
      </c>
      <c r="V15" s="118">
        <v>802</v>
      </c>
      <c r="W15" s="118">
        <v>0</v>
      </c>
      <c r="X15" s="118">
        <v>802</v>
      </c>
    </row>
    <row r="16" spans="1:25" s="60" customFormat="1" ht="18.75" customHeight="1">
      <c r="A16" s="71">
        <v>3</v>
      </c>
      <c r="B16" s="72" t="str">
        <f t="shared" si="1"/>
        <v>Licence Gestion Comptable</v>
      </c>
      <c r="C16" s="71">
        <f t="shared" si="2"/>
        <v>3</v>
      </c>
      <c r="D16" s="71" t="str">
        <f t="shared" si="3"/>
        <v>forfait</v>
      </c>
      <c r="E16" s="73">
        <f t="shared" si="4"/>
        <v>402</v>
      </c>
      <c r="F16" s="74">
        <f t="shared" si="5"/>
        <v>0.1</v>
      </c>
      <c r="G16" s="74">
        <f t="shared" si="6"/>
        <v>0.20000000298023224</v>
      </c>
      <c r="H16" s="73">
        <f t="shared" si="7"/>
        <v>1085.4000000000001</v>
      </c>
      <c r="O16" s="60" t="s">
        <v>104</v>
      </c>
      <c r="P16" s="125" t="s">
        <v>106</v>
      </c>
      <c r="Q16" s="115">
        <v>3</v>
      </c>
      <c r="R16" s="115" t="s">
        <v>50</v>
      </c>
      <c r="S16" s="126">
        <v>402</v>
      </c>
      <c r="T16" s="129">
        <v>0.1</v>
      </c>
      <c r="U16" s="129">
        <v>0.20000000298023224</v>
      </c>
      <c r="V16" s="118">
        <v>1085.4000000000001</v>
      </c>
      <c r="W16" s="118">
        <v>217.08000323474408</v>
      </c>
      <c r="X16" s="118">
        <v>1302.4800032347441</v>
      </c>
    </row>
    <row r="17" spans="1:8" s="60" customFormat="1" ht="18.75" customHeight="1">
      <c r="A17" s="71">
        <v>4</v>
      </c>
      <c r="B17" s="72" t="str">
        <f t="shared" si="1"/>
        <v/>
      </c>
      <c r="C17" s="71" t="str">
        <f t="shared" si="2"/>
        <v/>
      </c>
      <c r="D17" s="71" t="str">
        <f t="shared" si="3"/>
        <v/>
      </c>
      <c r="E17" s="73" t="str">
        <f t="shared" si="4"/>
        <v/>
      </c>
      <c r="F17" s="74" t="str">
        <f t="shared" si="5"/>
        <v/>
      </c>
      <c r="G17" s="74" t="str">
        <f t="shared" si="6"/>
        <v/>
      </c>
      <c r="H17" s="73" t="str">
        <f t="shared" si="7"/>
        <v/>
      </c>
    </row>
    <row r="18" spans="1:8" s="60" customFormat="1" ht="18.75" customHeight="1">
      <c r="A18" s="71">
        <v>5</v>
      </c>
      <c r="B18" s="72" t="str">
        <f t="shared" si="1"/>
        <v/>
      </c>
      <c r="C18" s="71" t="str">
        <f t="shared" si="2"/>
        <v/>
      </c>
      <c r="D18" s="71" t="str">
        <f t="shared" si="3"/>
        <v/>
      </c>
      <c r="E18" s="73" t="str">
        <f t="shared" si="4"/>
        <v/>
      </c>
      <c r="F18" s="74" t="str">
        <f t="shared" si="5"/>
        <v/>
      </c>
      <c r="G18" s="74" t="str">
        <f t="shared" si="6"/>
        <v/>
      </c>
      <c r="H18" s="73" t="str">
        <f t="shared" si="7"/>
        <v/>
      </c>
    </row>
    <row r="19" spans="1:8" s="60" customFormat="1" ht="18.75" customHeight="1">
      <c r="A19" s="71">
        <v>6</v>
      </c>
      <c r="B19" s="72" t="str">
        <f t="shared" si="1"/>
        <v/>
      </c>
      <c r="C19" s="71" t="str">
        <f t="shared" si="2"/>
        <v/>
      </c>
      <c r="D19" s="71" t="str">
        <f t="shared" si="3"/>
        <v/>
      </c>
      <c r="E19" s="73" t="str">
        <f t="shared" si="4"/>
        <v/>
      </c>
      <c r="F19" s="74" t="str">
        <f t="shared" si="5"/>
        <v/>
      </c>
      <c r="G19" s="74" t="str">
        <f t="shared" si="6"/>
        <v/>
      </c>
      <c r="H19" s="73" t="str">
        <f t="shared" si="7"/>
        <v/>
      </c>
    </row>
    <row r="20" spans="1:8" s="60" customFormat="1" ht="18.75" customHeight="1">
      <c r="A20" s="71">
        <v>7</v>
      </c>
      <c r="B20" s="72" t="str">
        <f t="shared" si="1"/>
        <v/>
      </c>
      <c r="C20" s="71" t="str">
        <f t="shared" si="2"/>
        <v/>
      </c>
      <c r="D20" s="71" t="str">
        <f t="shared" si="3"/>
        <v/>
      </c>
      <c r="E20" s="73" t="str">
        <f t="shared" si="4"/>
        <v/>
      </c>
      <c r="F20" s="74" t="str">
        <f t="shared" si="5"/>
        <v/>
      </c>
      <c r="G20" s="74" t="str">
        <f t="shared" si="6"/>
        <v/>
      </c>
      <c r="H20" s="73" t="str">
        <f t="shared" si="7"/>
        <v/>
      </c>
    </row>
    <row r="21" spans="1:8" s="60" customFormat="1" ht="18.75" customHeight="1">
      <c r="A21" s="71">
        <v>8</v>
      </c>
      <c r="B21" s="72" t="str">
        <f t="shared" si="1"/>
        <v/>
      </c>
      <c r="C21" s="71" t="str">
        <f t="shared" si="2"/>
        <v/>
      </c>
      <c r="D21" s="71" t="str">
        <f t="shared" si="3"/>
        <v/>
      </c>
      <c r="E21" s="73" t="str">
        <f t="shared" si="4"/>
        <v/>
      </c>
      <c r="F21" s="74" t="str">
        <f t="shared" si="5"/>
        <v/>
      </c>
      <c r="G21" s="74" t="str">
        <f t="shared" si="6"/>
        <v/>
      </c>
      <c r="H21" s="73" t="str">
        <f t="shared" si="7"/>
        <v/>
      </c>
    </row>
    <row r="22" spans="1:8" s="60" customFormat="1" ht="18.75" customHeight="1">
      <c r="A22" s="71">
        <v>9</v>
      </c>
      <c r="B22" s="72" t="str">
        <f t="shared" si="1"/>
        <v/>
      </c>
      <c r="C22" s="71" t="str">
        <f t="shared" si="2"/>
        <v/>
      </c>
      <c r="D22" s="71" t="str">
        <f t="shared" si="3"/>
        <v/>
      </c>
      <c r="E22" s="73" t="str">
        <f t="shared" si="4"/>
        <v/>
      </c>
      <c r="F22" s="74" t="str">
        <f t="shared" si="5"/>
        <v/>
      </c>
      <c r="G22" s="74" t="str">
        <f t="shared" si="6"/>
        <v/>
      </c>
      <c r="H22" s="73" t="str">
        <f t="shared" si="7"/>
        <v/>
      </c>
    </row>
    <row r="23" spans="1:8" s="60" customFormat="1" ht="18.75" customHeight="1">
      <c r="A23" s="71">
        <v>10</v>
      </c>
      <c r="B23" s="72" t="str">
        <f t="shared" si="1"/>
        <v/>
      </c>
      <c r="C23" s="71" t="str">
        <f t="shared" si="2"/>
        <v/>
      </c>
      <c r="D23" s="71" t="str">
        <f t="shared" si="3"/>
        <v/>
      </c>
      <c r="E23" s="73" t="str">
        <f t="shared" si="4"/>
        <v/>
      </c>
      <c r="F23" s="74" t="str">
        <f t="shared" si="5"/>
        <v/>
      </c>
      <c r="G23" s="74" t="str">
        <f t="shared" si="6"/>
        <v/>
      </c>
      <c r="H23" s="73" t="str">
        <f t="shared" si="7"/>
        <v/>
      </c>
    </row>
    <row r="24" spans="1:8" s="60" customFormat="1" ht="18.75" customHeight="1">
      <c r="A24" s="71">
        <v>11</v>
      </c>
      <c r="B24" s="72" t="str">
        <f t="shared" si="1"/>
        <v/>
      </c>
      <c r="C24" s="71" t="str">
        <f t="shared" si="2"/>
        <v/>
      </c>
      <c r="D24" s="71" t="str">
        <f t="shared" si="3"/>
        <v/>
      </c>
      <c r="E24" s="73" t="str">
        <f t="shared" si="4"/>
        <v/>
      </c>
      <c r="F24" s="74" t="str">
        <f t="shared" si="5"/>
        <v/>
      </c>
      <c r="G24" s="74" t="str">
        <f t="shared" si="6"/>
        <v/>
      </c>
      <c r="H24" s="73" t="str">
        <f t="shared" si="7"/>
        <v/>
      </c>
    </row>
    <row r="25" spans="1:8" s="60" customFormat="1" ht="18.75" customHeight="1">
      <c r="A25" s="71">
        <v>12</v>
      </c>
      <c r="B25" s="72" t="str">
        <f t="shared" si="1"/>
        <v/>
      </c>
      <c r="C25" s="71" t="str">
        <f t="shared" si="2"/>
        <v/>
      </c>
      <c r="D25" s="71" t="str">
        <f t="shared" si="3"/>
        <v/>
      </c>
      <c r="E25" s="73" t="str">
        <f t="shared" si="4"/>
        <v/>
      </c>
      <c r="F25" s="74" t="str">
        <f t="shared" si="5"/>
        <v/>
      </c>
      <c r="G25" s="74" t="str">
        <f t="shared" si="6"/>
        <v/>
      </c>
      <c r="H25" s="73" t="str">
        <f t="shared" si="7"/>
        <v/>
      </c>
    </row>
    <row r="26" spans="1:8" s="60" customFormat="1" ht="18.75" customHeight="1">
      <c r="A26" s="71">
        <v>13</v>
      </c>
      <c r="B26" s="72" t="str">
        <f t="shared" si="1"/>
        <v/>
      </c>
      <c r="C26" s="71" t="str">
        <f t="shared" si="2"/>
        <v/>
      </c>
      <c r="D26" s="71" t="str">
        <f t="shared" si="3"/>
        <v/>
      </c>
      <c r="E26" s="73" t="str">
        <f t="shared" si="4"/>
        <v/>
      </c>
      <c r="F26" s="74" t="str">
        <f t="shared" si="5"/>
        <v/>
      </c>
      <c r="G26" s="74" t="str">
        <f t="shared" si="6"/>
        <v/>
      </c>
      <c r="H26" s="73" t="str">
        <f t="shared" si="7"/>
        <v/>
      </c>
    </row>
    <row r="27" spans="1:8" s="60" customFormat="1" ht="18.75" customHeight="1">
      <c r="A27" s="71">
        <v>14</v>
      </c>
      <c r="B27" s="72" t="str">
        <f t="shared" si="1"/>
        <v/>
      </c>
      <c r="C27" s="71" t="str">
        <f t="shared" si="2"/>
        <v/>
      </c>
      <c r="D27" s="71" t="str">
        <f t="shared" si="3"/>
        <v/>
      </c>
      <c r="E27" s="73" t="str">
        <f t="shared" si="4"/>
        <v/>
      </c>
      <c r="F27" s="74" t="str">
        <f t="shared" si="5"/>
        <v/>
      </c>
      <c r="G27" s="74" t="str">
        <f t="shared" si="6"/>
        <v/>
      </c>
      <c r="H27" s="73" t="str">
        <f t="shared" si="7"/>
        <v/>
      </c>
    </row>
    <row r="28" spans="1:8" s="60" customFormat="1" ht="18.75" customHeight="1">
      <c r="A28" s="71">
        <v>15</v>
      </c>
      <c r="B28" s="72" t="str">
        <f t="shared" si="1"/>
        <v/>
      </c>
      <c r="C28" s="71" t="str">
        <f t="shared" si="2"/>
        <v/>
      </c>
      <c r="D28" s="71" t="str">
        <f t="shared" si="3"/>
        <v/>
      </c>
      <c r="E28" s="73" t="str">
        <f t="shared" si="4"/>
        <v/>
      </c>
      <c r="F28" s="74" t="str">
        <f t="shared" si="5"/>
        <v/>
      </c>
      <c r="G28" s="74" t="str">
        <f t="shared" si="6"/>
        <v/>
      </c>
      <c r="H28" s="73" t="str">
        <f t="shared" si="7"/>
        <v/>
      </c>
    </row>
    <row r="29" spans="1:8" s="60" customFormat="1" ht="18.75" customHeight="1">
      <c r="A29" s="71">
        <v>16</v>
      </c>
      <c r="B29" s="72" t="str">
        <f t="shared" si="1"/>
        <v/>
      </c>
      <c r="C29" s="71" t="str">
        <f t="shared" si="2"/>
        <v/>
      </c>
      <c r="D29" s="71" t="str">
        <f t="shared" si="3"/>
        <v/>
      </c>
      <c r="E29" s="73" t="str">
        <f t="shared" si="4"/>
        <v/>
      </c>
      <c r="F29" s="74" t="str">
        <f t="shared" si="5"/>
        <v/>
      </c>
      <c r="G29" s="74" t="str">
        <f t="shared" si="6"/>
        <v/>
      </c>
      <c r="H29" s="73" t="str">
        <f t="shared" si="7"/>
        <v/>
      </c>
    </row>
    <row r="30" spans="1:8" s="60" customFormat="1" ht="18.75" customHeight="1">
      <c r="A30" s="71">
        <v>17</v>
      </c>
      <c r="B30" s="72" t="str">
        <f t="shared" si="1"/>
        <v/>
      </c>
      <c r="C30" s="71" t="str">
        <f t="shared" si="2"/>
        <v/>
      </c>
      <c r="D30" s="71" t="str">
        <f t="shared" si="3"/>
        <v/>
      </c>
      <c r="E30" s="73" t="str">
        <f t="shared" si="4"/>
        <v/>
      </c>
      <c r="F30" s="74" t="str">
        <f t="shared" si="5"/>
        <v/>
      </c>
      <c r="G30" s="74" t="str">
        <f t="shared" si="6"/>
        <v/>
      </c>
      <c r="H30" s="73" t="str">
        <f t="shared" si="7"/>
        <v/>
      </c>
    </row>
    <row r="31" spans="1:8" s="60" customFormat="1" ht="18.75" customHeight="1">
      <c r="A31" s="71">
        <v>18</v>
      </c>
      <c r="B31" s="72" t="str">
        <f t="shared" si="1"/>
        <v/>
      </c>
      <c r="C31" s="71" t="str">
        <f t="shared" si="2"/>
        <v/>
      </c>
      <c r="D31" s="71" t="str">
        <f t="shared" si="3"/>
        <v/>
      </c>
      <c r="E31" s="73" t="str">
        <f t="shared" si="4"/>
        <v/>
      </c>
      <c r="F31" s="74" t="str">
        <f t="shared" si="5"/>
        <v/>
      </c>
      <c r="G31" s="74" t="str">
        <f t="shared" si="6"/>
        <v/>
      </c>
      <c r="H31" s="73" t="str">
        <f t="shared" si="7"/>
        <v/>
      </c>
    </row>
    <row r="32" spans="1:8" s="60" customFormat="1" ht="18.75" customHeight="1">
      <c r="A32" s="71">
        <v>19</v>
      </c>
      <c r="B32" s="72" t="str">
        <f t="shared" si="1"/>
        <v/>
      </c>
      <c r="C32" s="71" t="str">
        <f t="shared" si="2"/>
        <v/>
      </c>
      <c r="D32" s="71" t="str">
        <f t="shared" si="3"/>
        <v/>
      </c>
      <c r="E32" s="73" t="str">
        <f t="shared" si="4"/>
        <v/>
      </c>
      <c r="F32" s="74" t="str">
        <f t="shared" si="5"/>
        <v/>
      </c>
      <c r="G32" s="74" t="str">
        <f t="shared" si="6"/>
        <v/>
      </c>
      <c r="H32" s="73" t="str">
        <f t="shared" si="7"/>
        <v/>
      </c>
    </row>
    <row r="33" spans="1:8" s="60" customFormat="1" ht="18.75" customHeight="1">
      <c r="A33" s="71">
        <v>20</v>
      </c>
      <c r="B33" s="72" t="str">
        <f t="shared" si="1"/>
        <v/>
      </c>
      <c r="C33" s="71" t="str">
        <f t="shared" si="2"/>
        <v/>
      </c>
      <c r="D33" s="71" t="str">
        <f t="shared" si="3"/>
        <v/>
      </c>
      <c r="E33" s="73" t="str">
        <f t="shared" si="4"/>
        <v/>
      </c>
      <c r="F33" s="74" t="str">
        <f t="shared" si="5"/>
        <v/>
      </c>
      <c r="G33" s="74" t="str">
        <f t="shared" si="6"/>
        <v/>
      </c>
      <c r="H33" s="73" t="str">
        <f t="shared" si="7"/>
        <v/>
      </c>
    </row>
    <row r="34" spans="1:8" s="60" customFormat="1" ht="18.75" customHeight="1">
      <c r="A34" s="71">
        <v>21</v>
      </c>
      <c r="B34" s="72" t="str">
        <f t="shared" si="1"/>
        <v/>
      </c>
      <c r="C34" s="71" t="str">
        <f t="shared" si="2"/>
        <v/>
      </c>
      <c r="D34" s="71" t="str">
        <f t="shared" si="3"/>
        <v/>
      </c>
      <c r="E34" s="73" t="str">
        <f t="shared" si="4"/>
        <v/>
      </c>
      <c r="F34" s="74" t="str">
        <f t="shared" si="5"/>
        <v/>
      </c>
      <c r="G34" s="74" t="str">
        <f t="shared" si="6"/>
        <v/>
      </c>
      <c r="H34" s="73" t="str">
        <f t="shared" si="7"/>
        <v/>
      </c>
    </row>
    <row r="35" spans="1:8" s="60" customFormat="1" ht="18.75" customHeight="1">
      <c r="A35" s="71">
        <v>22</v>
      </c>
      <c r="B35" s="72" t="str">
        <f t="shared" si="1"/>
        <v/>
      </c>
      <c r="C35" s="71" t="str">
        <f t="shared" si="2"/>
        <v/>
      </c>
      <c r="D35" s="71" t="str">
        <f t="shared" si="3"/>
        <v/>
      </c>
      <c r="E35" s="73" t="str">
        <f t="shared" si="4"/>
        <v/>
      </c>
      <c r="F35" s="74" t="str">
        <f t="shared" si="5"/>
        <v/>
      </c>
      <c r="G35" s="74" t="str">
        <f t="shared" si="6"/>
        <v/>
      </c>
      <c r="H35" s="73" t="str">
        <f t="shared" si="7"/>
        <v/>
      </c>
    </row>
    <row r="36" spans="1:8" s="60" customFormat="1" ht="18.75" customHeight="1">
      <c r="A36" s="71">
        <v>23</v>
      </c>
      <c r="B36" s="72" t="str">
        <f t="shared" si="1"/>
        <v/>
      </c>
      <c r="C36" s="71" t="str">
        <f t="shared" si="2"/>
        <v/>
      </c>
      <c r="D36" s="71" t="str">
        <f t="shared" si="3"/>
        <v/>
      </c>
      <c r="E36" s="73" t="str">
        <f t="shared" si="4"/>
        <v/>
      </c>
      <c r="F36" s="74" t="str">
        <f t="shared" si="5"/>
        <v/>
      </c>
      <c r="G36" s="74" t="str">
        <f t="shared" si="6"/>
        <v/>
      </c>
      <c r="H36" s="73" t="str">
        <f t="shared" si="7"/>
        <v/>
      </c>
    </row>
    <row r="37" spans="1:8" s="60" customFormat="1" ht="18.75" customHeight="1">
      <c r="A37" s="71">
        <v>24</v>
      </c>
      <c r="B37" s="72" t="str">
        <f t="shared" si="1"/>
        <v/>
      </c>
      <c r="C37" s="71" t="str">
        <f t="shared" si="2"/>
        <v/>
      </c>
      <c r="D37" s="71" t="str">
        <f t="shared" si="3"/>
        <v/>
      </c>
      <c r="E37" s="73" t="str">
        <f t="shared" si="4"/>
        <v/>
      </c>
      <c r="F37" s="74" t="str">
        <f t="shared" si="5"/>
        <v/>
      </c>
      <c r="G37" s="74" t="str">
        <f t="shared" si="6"/>
        <v/>
      </c>
      <c r="H37" s="73" t="str">
        <f t="shared" si="7"/>
        <v/>
      </c>
    </row>
    <row r="38" spans="1:8" s="60" customFormat="1" ht="18.75" customHeight="1">
      <c r="A38" s="71">
        <v>25</v>
      </c>
      <c r="B38" s="72" t="str">
        <f t="shared" si="1"/>
        <v/>
      </c>
      <c r="C38" s="71" t="str">
        <f t="shared" si="2"/>
        <v/>
      </c>
      <c r="D38" s="71" t="str">
        <f t="shared" si="3"/>
        <v/>
      </c>
      <c r="E38" s="73" t="str">
        <f t="shared" si="4"/>
        <v/>
      </c>
      <c r="F38" s="74" t="str">
        <f t="shared" si="5"/>
        <v/>
      </c>
      <c r="G38" s="74" t="str">
        <f t="shared" si="6"/>
        <v/>
      </c>
      <c r="H38" s="73" t="str">
        <f t="shared" si="7"/>
        <v/>
      </c>
    </row>
    <row r="39" spans="1:8" s="60" customFormat="1" ht="18.75" customHeight="1">
      <c r="A39" s="71">
        <v>26</v>
      </c>
      <c r="B39" s="72" t="str">
        <f t="shared" si="1"/>
        <v/>
      </c>
      <c r="C39" s="71" t="str">
        <f t="shared" si="2"/>
        <v/>
      </c>
      <c r="D39" s="71" t="str">
        <f t="shared" si="3"/>
        <v/>
      </c>
      <c r="E39" s="73" t="str">
        <f t="shared" si="4"/>
        <v/>
      </c>
      <c r="F39" s="74" t="str">
        <f t="shared" si="5"/>
        <v/>
      </c>
      <c r="G39" s="74" t="str">
        <f t="shared" si="6"/>
        <v/>
      </c>
      <c r="H39" s="73" t="str">
        <f t="shared" si="7"/>
        <v/>
      </c>
    </row>
    <row r="40" spans="1:8" s="60" customFormat="1" ht="18.75" customHeight="1">
      <c r="A40" s="71">
        <v>27</v>
      </c>
      <c r="B40" s="72" t="str">
        <f t="shared" si="1"/>
        <v/>
      </c>
      <c r="C40" s="71" t="str">
        <f t="shared" si="2"/>
        <v/>
      </c>
      <c r="D40" s="71" t="str">
        <f t="shared" si="3"/>
        <v/>
      </c>
      <c r="E40" s="73" t="str">
        <f t="shared" si="4"/>
        <v/>
      </c>
      <c r="F40" s="74" t="str">
        <f t="shared" si="5"/>
        <v/>
      </c>
      <c r="G40" s="74" t="str">
        <f t="shared" si="6"/>
        <v/>
      </c>
      <c r="H40" s="73" t="str">
        <f t="shared" si="7"/>
        <v/>
      </c>
    </row>
    <row r="41" spans="1:8" s="60" customFormat="1" ht="18.75" customHeight="1">
      <c r="A41" s="71">
        <v>28</v>
      </c>
      <c r="B41" s="72" t="str">
        <f t="shared" si="1"/>
        <v/>
      </c>
      <c r="C41" s="71" t="str">
        <f t="shared" si="2"/>
        <v/>
      </c>
      <c r="D41" s="71" t="str">
        <f t="shared" si="3"/>
        <v/>
      </c>
      <c r="E41" s="73" t="str">
        <f t="shared" si="4"/>
        <v/>
      </c>
      <c r="F41" s="74" t="str">
        <f t="shared" si="5"/>
        <v/>
      </c>
      <c r="G41" s="74" t="str">
        <f t="shared" si="6"/>
        <v/>
      </c>
      <c r="H41" s="73" t="str">
        <f t="shared" si="7"/>
        <v/>
      </c>
    </row>
    <row r="42" spans="1:8" s="60" customFormat="1" ht="18.75" customHeight="1">
      <c r="A42" s="71">
        <v>29</v>
      </c>
      <c r="B42" s="72" t="str">
        <f t="shared" si="1"/>
        <v/>
      </c>
      <c r="C42" s="71" t="str">
        <f t="shared" si="2"/>
        <v/>
      </c>
      <c r="D42" s="71" t="str">
        <f t="shared" si="3"/>
        <v/>
      </c>
      <c r="E42" s="73" t="str">
        <f t="shared" si="4"/>
        <v/>
      </c>
      <c r="F42" s="74" t="str">
        <f t="shared" si="5"/>
        <v/>
      </c>
      <c r="G42" s="74" t="str">
        <f t="shared" si="6"/>
        <v/>
      </c>
      <c r="H42" s="73" t="str">
        <f t="shared" si="7"/>
        <v/>
      </c>
    </row>
    <row r="43" spans="1:8" s="60" customFormat="1" ht="18.75" customHeight="1">
      <c r="A43" s="71">
        <v>30</v>
      </c>
      <c r="B43" s="72" t="str">
        <f t="shared" si="1"/>
        <v/>
      </c>
      <c r="C43" s="71" t="str">
        <f t="shared" si="2"/>
        <v/>
      </c>
      <c r="D43" s="71" t="str">
        <f t="shared" si="3"/>
        <v/>
      </c>
      <c r="E43" s="73" t="str">
        <f t="shared" si="4"/>
        <v/>
      </c>
      <c r="F43" s="74" t="str">
        <f t="shared" si="5"/>
        <v/>
      </c>
      <c r="G43" s="74" t="str">
        <f t="shared" si="6"/>
        <v/>
      </c>
      <c r="H43" s="73" t="str">
        <f t="shared" si="7"/>
        <v/>
      </c>
    </row>
    <row r="44" spans="1:8" s="76" customFormat="1" ht="24.75" customHeight="1">
      <c r="A44" s="77"/>
      <c r="B44" s="77"/>
      <c r="C44" s="77"/>
      <c r="D44" s="77"/>
      <c r="E44" s="77"/>
      <c r="F44" s="146" t="s">
        <v>67</v>
      </c>
      <c r="G44" s="147"/>
      <c r="H44" s="75">
        <f>SUM(H14:H43)</f>
        <v>2287.4</v>
      </c>
    </row>
    <row r="45" spans="1:8" s="76" customFormat="1" ht="24.75" customHeight="1">
      <c r="B45" s="78"/>
      <c r="C45" s="78"/>
      <c r="D45" s="78"/>
      <c r="E45" s="78"/>
      <c r="F45" s="148" t="s">
        <v>68</v>
      </c>
      <c r="G45" s="148"/>
      <c r="H45" s="75">
        <f>SUM(W:W)</f>
        <v>297.08000442683698</v>
      </c>
    </row>
    <row r="46" spans="1:8" s="76" customFormat="1" ht="24.75" customHeight="1">
      <c r="F46" s="148" t="s">
        <v>69</v>
      </c>
      <c r="G46" s="148"/>
      <c r="H46" s="75">
        <f>SUM(X:X)</f>
        <v>2584.4800044268368</v>
      </c>
    </row>
  </sheetData>
  <mergeCells count="3">
    <mergeCell ref="F44:G44"/>
    <mergeCell ref="F45:G45"/>
    <mergeCell ref="F46:G46"/>
  </mergeCells>
  <dataValidations count="1">
    <dataValidation type="list" allowBlank="1" showInputMessage="1" showErrorMessage="1" errorTitle="Choisir dans la liste" error="Choisir dans la liste !" sqref="J2">
      <formula1>Liste_Factures</formula1>
    </dataValidation>
  </dataValidations>
  <printOptions horizontalCentered="1"/>
  <pageMargins left="0.38" right="0.47" top="0.37" bottom="0.28000000000000003" header="0.15748031496062992" footer="0.11811023622047245"/>
  <pageSetup paperSize="9" scale="80" orientation="portrait" horizontalDpi="4294967293" verticalDpi="4294967293" r:id="rId1"/>
  <ignoredErrors>
    <ignoredError sqref="B17:B43 H45:H46 E17:H43 H7:H10 H3:H4 H1" emptyCellReference="1"/>
    <ignoredError sqref="C17:C43 D17:D43" formula="1" emptyCellReference="1"/>
    <ignoredError sqref="C14:C16 D14:D16" formula="1"/>
  </ignoredErrors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G8"/>
  <sheetViews>
    <sheetView zoomScaleNormal="100" workbookViewId="0">
      <pane ySplit="4" topLeftCell="A5" activePane="bottomLeft" state="frozen"/>
      <selection pane="bottomLeft" activeCell="A4" sqref="A4"/>
    </sheetView>
  </sheetViews>
  <sheetFormatPr baseColWidth="10" defaultRowHeight="15"/>
  <cols>
    <col min="1" max="1" width="36.140625" customWidth="1"/>
    <col min="2" max="2" width="32.5703125" customWidth="1"/>
    <col min="3" max="3" width="19.7109375" style="13" customWidth="1"/>
    <col min="4" max="4" width="15" style="13" customWidth="1"/>
    <col min="5" max="5" width="14.5703125" style="15" customWidth="1"/>
    <col min="6" max="6" width="27.140625" style="15" customWidth="1"/>
    <col min="7" max="7" width="46.28515625" customWidth="1"/>
  </cols>
  <sheetData>
    <row r="1" spans="1:7" s="12" customFormat="1" ht="21">
      <c r="A1" s="37" t="str">
        <f>Raison_sociale&amp;" - "&amp;Titre&amp;" - Réglements"</f>
        <v>Ma Petite Entreprise - Devis et Factures - Réglements</v>
      </c>
      <c r="B1" s="37"/>
      <c r="C1" s="38"/>
      <c r="D1" s="38"/>
      <c r="E1" s="39"/>
      <c r="F1" s="39"/>
      <c r="G1" s="37"/>
    </row>
    <row r="2" spans="1:7" s="12" customFormat="1" ht="40.5" customHeight="1">
      <c r="A2" s="37"/>
      <c r="B2" s="37"/>
      <c r="C2" s="38"/>
      <c r="D2" s="38"/>
      <c r="E2" s="41">
        <f>SUBTOTAL(9,E4:E8)</f>
        <v>2800</v>
      </c>
      <c r="F2" s="41"/>
      <c r="G2" s="37"/>
    </row>
    <row r="3" spans="1:7" s="11" customFormat="1">
      <c r="A3" s="42"/>
      <c r="B3" s="42"/>
      <c r="C3" s="43"/>
      <c r="D3" s="43"/>
      <c r="E3" s="44"/>
      <c r="F3" s="44"/>
      <c r="G3" s="42"/>
    </row>
    <row r="4" spans="1:7" s="14" customFormat="1" ht="34.5" customHeight="1">
      <c r="A4" s="16" t="s">
        <v>17</v>
      </c>
      <c r="B4" s="31" t="s">
        <v>51</v>
      </c>
      <c r="C4" s="31" t="s">
        <v>57</v>
      </c>
      <c r="D4" s="17" t="s">
        <v>18</v>
      </c>
      <c r="E4" s="47" t="s">
        <v>63</v>
      </c>
      <c r="F4" s="16" t="s">
        <v>22</v>
      </c>
    </row>
    <row r="5" spans="1:7">
      <c r="A5" t="s">
        <v>30</v>
      </c>
      <c r="B5" s="2" t="s">
        <v>53</v>
      </c>
      <c r="C5" s="2" t="s">
        <v>58</v>
      </c>
      <c r="D5" s="35">
        <v>42040</v>
      </c>
      <c r="E5" s="15">
        <v>2800</v>
      </c>
      <c r="F5" s="30"/>
    </row>
    <row r="6" spans="1:7">
      <c r="A6" t="s">
        <v>32</v>
      </c>
      <c r="B6" s="2" t="s">
        <v>54</v>
      </c>
      <c r="C6" s="2" t="s">
        <v>58</v>
      </c>
      <c r="D6" s="35">
        <v>42042</v>
      </c>
      <c r="E6" s="15">
        <f>SUMIF('Lignes Factures'!A:A,A:A,'Lignes Devis'!J:J)</f>
        <v>0</v>
      </c>
      <c r="F6" s="30"/>
    </row>
    <row r="7" spans="1:7">
      <c r="A7" t="s">
        <v>37</v>
      </c>
      <c r="B7" s="2" t="s">
        <v>55</v>
      </c>
      <c r="C7" s="2" t="s">
        <v>58</v>
      </c>
      <c r="D7" s="35">
        <v>42046</v>
      </c>
      <c r="E7" s="15">
        <f>SUMIF('Lignes Factures'!A:A,A:A,'Lignes Devis'!J:J)</f>
        <v>0</v>
      </c>
      <c r="F7" s="30"/>
    </row>
    <row r="8" spans="1:7">
      <c r="A8" s="1"/>
      <c r="B8" s="34"/>
      <c r="C8" s="34"/>
      <c r="D8" s="18"/>
      <c r="E8" s="48"/>
      <c r="F8" s="1"/>
    </row>
  </sheetData>
  <autoFilter ref="A4:G7">
    <filterColumn colId="3"/>
  </autoFilter>
  <dataValidations count="2">
    <dataValidation type="list" allowBlank="1" showInputMessage="1" showErrorMessage="1" errorTitle="Choisir dans la liste" error="Choisir dans la liste !" sqref="A4:A8">
      <formula1>Liste_Clients</formula1>
    </dataValidation>
    <dataValidation type="list" allowBlank="1" showInputMessage="1" showErrorMessage="1" errorTitle="Choisir dans la liste" error="Choisir dans la liste !" sqref="C4:C8">
      <formula1>Modes_Paiement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7"/>
  <dimension ref="A1:K8"/>
  <sheetViews>
    <sheetView workbookViewId="0">
      <selection activeCell="B5" sqref="B5"/>
    </sheetView>
  </sheetViews>
  <sheetFormatPr baseColWidth="10" defaultRowHeight="15"/>
  <cols>
    <col min="1" max="1" width="36.140625" customWidth="1"/>
    <col min="2" max="3" width="26.28515625" style="2" customWidth="1"/>
    <col min="4" max="4" width="13.140625" style="13" customWidth="1"/>
    <col min="5" max="5" width="22.28515625" style="2" customWidth="1"/>
    <col min="6" max="6" width="33.5703125" style="2" customWidth="1"/>
    <col min="7" max="10" width="14.28515625" style="15" customWidth="1"/>
    <col min="11" max="11" width="41.28515625" customWidth="1"/>
  </cols>
  <sheetData>
    <row r="1" spans="1:11" s="12" customFormat="1" ht="21">
      <c r="A1" s="19" t="str">
        <f>Raison_sociale&amp;" - "&amp;Titre&amp;" - Fichier clients"</f>
        <v>Ma Petite Entreprise - Devis et Factures - Fichier clients</v>
      </c>
      <c r="B1" s="32"/>
      <c r="C1" s="32"/>
      <c r="D1" s="20"/>
      <c r="E1" s="32"/>
      <c r="F1" s="32"/>
      <c r="G1" s="21"/>
      <c r="H1" s="21"/>
      <c r="I1" s="21"/>
      <c r="J1" s="21"/>
      <c r="K1" s="19"/>
    </row>
    <row r="2" spans="1:11" s="12" customFormat="1" ht="40.5" customHeight="1">
      <c r="A2" s="19"/>
      <c r="B2" s="32"/>
      <c r="C2" s="32"/>
      <c r="D2" s="20"/>
      <c r="E2" s="32"/>
      <c r="F2" s="32"/>
      <c r="G2" s="21"/>
      <c r="H2" s="21"/>
      <c r="I2" s="21"/>
      <c r="J2" s="21"/>
      <c r="K2" s="19"/>
    </row>
    <row r="3" spans="1:11" s="11" customFormat="1">
      <c r="A3" s="22"/>
      <c r="B3" s="33"/>
      <c r="C3" s="33"/>
      <c r="D3" s="23"/>
      <c r="E3" s="33"/>
      <c r="F3" s="33"/>
      <c r="G3" s="24"/>
      <c r="H3" s="24"/>
      <c r="I3" s="24"/>
      <c r="J3" s="24"/>
      <c r="K3" s="22"/>
    </row>
    <row r="4" spans="1:11" s="14" customFormat="1" ht="42.75" customHeight="1">
      <c r="A4" s="16" t="s">
        <v>17</v>
      </c>
      <c r="B4" s="31" t="s">
        <v>72</v>
      </c>
      <c r="C4" s="31" t="s">
        <v>73</v>
      </c>
      <c r="D4" s="17" t="s">
        <v>24</v>
      </c>
      <c r="E4" s="31" t="s">
        <v>4</v>
      </c>
      <c r="F4" s="31" t="s">
        <v>25</v>
      </c>
      <c r="G4" s="26" t="s">
        <v>64</v>
      </c>
      <c r="H4" s="26" t="s">
        <v>26</v>
      </c>
      <c r="I4" s="26" t="s">
        <v>27</v>
      </c>
      <c r="J4" s="26" t="s">
        <v>28</v>
      </c>
      <c r="K4" s="16" t="s">
        <v>22</v>
      </c>
    </row>
    <row r="5" spans="1:11">
      <c r="A5" t="s">
        <v>30</v>
      </c>
      <c r="B5" s="2" t="s">
        <v>29</v>
      </c>
      <c r="D5" s="13">
        <v>92000</v>
      </c>
      <c r="E5" s="2" t="s">
        <v>12</v>
      </c>
      <c r="F5" s="3" t="s">
        <v>31</v>
      </c>
      <c r="G5" s="29">
        <f>SUMIF('Entetes Devis'!B:B,A:A,'Entetes Devis'!I:I)</f>
        <v>18054.000026211143</v>
      </c>
      <c r="H5" s="29">
        <f>SUMIF('Entetes Factures'!B:B,A:A,'Entetes Factures'!I:I)</f>
        <v>2584.4800044268368</v>
      </c>
      <c r="I5" s="29">
        <f>SUMIF(Réglements!A:A,A:A,Réglements!E:E)</f>
        <v>2800</v>
      </c>
      <c r="J5" s="29">
        <f>H5-I5</f>
        <v>-215.51999557316321</v>
      </c>
      <c r="K5" s="30"/>
    </row>
    <row r="6" spans="1:11">
      <c r="A6" t="s">
        <v>32</v>
      </c>
      <c r="B6" s="2" t="s">
        <v>33</v>
      </c>
      <c r="D6" s="13">
        <v>92000</v>
      </c>
      <c r="E6" s="2" t="s">
        <v>12</v>
      </c>
      <c r="F6" s="3" t="s">
        <v>34</v>
      </c>
      <c r="G6" s="29">
        <f>SUMIF('Entetes Devis'!B:B,A:A,'Entetes Devis'!I:I)</f>
        <v>0</v>
      </c>
      <c r="H6" s="29">
        <f>SUMIF('Entetes Factures'!B:B,A:A,'Entetes Factures'!I:I)</f>
        <v>0</v>
      </c>
      <c r="I6" s="29">
        <f>SUMIF(Réglements!A:A,A:A,Réglements!E:E)</f>
        <v>0</v>
      </c>
      <c r="J6" s="29">
        <f t="shared" ref="J6:J7" si="0">H6-I6</f>
        <v>0</v>
      </c>
      <c r="K6" s="30"/>
    </row>
    <row r="7" spans="1:11">
      <c r="A7" t="s">
        <v>37</v>
      </c>
      <c r="B7" s="2" t="s">
        <v>35</v>
      </c>
      <c r="D7" s="13">
        <v>92000</v>
      </c>
      <c r="E7" s="2" t="s">
        <v>12</v>
      </c>
      <c r="F7" s="3" t="s">
        <v>36</v>
      </c>
      <c r="G7" s="29">
        <f>SUMIF('Entetes Devis'!B:B,A:A,'Entetes Devis'!I:I)</f>
        <v>0</v>
      </c>
      <c r="H7" s="29">
        <f>SUMIF('Entetes Factures'!B:B,A:A,'Entetes Factures'!I:I)</f>
        <v>0</v>
      </c>
      <c r="I7" s="29">
        <f>SUMIF(Réglements!A:A,A:A,Réglements!E:E)</f>
        <v>0</v>
      </c>
      <c r="J7" s="29">
        <f t="shared" si="0"/>
        <v>0</v>
      </c>
      <c r="K7" s="30"/>
    </row>
    <row r="8" spans="1:11">
      <c r="A8" s="1"/>
      <c r="B8" s="34"/>
      <c r="C8" s="34"/>
      <c r="D8" s="18"/>
      <c r="E8" s="34"/>
      <c r="F8" s="34"/>
      <c r="G8" s="28"/>
      <c r="H8" s="28"/>
      <c r="I8" s="28"/>
      <c r="J8" s="28"/>
      <c r="K8" s="1"/>
    </row>
  </sheetData>
  <autoFilter ref="A4:K7">
    <filterColumn colId="2"/>
  </autoFilter>
  <hyperlinks>
    <hyperlink ref="F5" r:id="rId1"/>
    <hyperlink ref="F6" r:id="rId2"/>
    <hyperlink ref="F7" r:id="rId3"/>
  </hyperlinks>
  <pageMargins left="0.7" right="0.7" top="0.75" bottom="0.75" header="0.3" footer="0.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B30"/>
  <sheetViews>
    <sheetView workbookViewId="0">
      <selection activeCell="B21" sqref="B21:B22"/>
    </sheetView>
  </sheetViews>
  <sheetFormatPr baseColWidth="10" defaultRowHeight="15"/>
  <cols>
    <col min="1" max="1" width="24" customWidth="1"/>
    <col min="2" max="2" width="40.7109375" style="2" customWidth="1"/>
  </cols>
  <sheetData>
    <row r="1" spans="1:2">
      <c r="A1" s="1" t="s">
        <v>0</v>
      </c>
      <c r="B1" s="83" t="s">
        <v>9</v>
      </c>
    </row>
    <row r="2" spans="1:2">
      <c r="A2" s="1" t="s">
        <v>1</v>
      </c>
      <c r="B2" s="83" t="s">
        <v>10</v>
      </c>
    </row>
    <row r="3" spans="1:2">
      <c r="A3" s="1" t="s">
        <v>2</v>
      </c>
      <c r="B3" s="83" t="s">
        <v>11</v>
      </c>
    </row>
    <row r="4" spans="1:2">
      <c r="A4" s="1" t="s">
        <v>3</v>
      </c>
      <c r="B4" s="83">
        <v>75555</v>
      </c>
    </row>
    <row r="5" spans="1:2">
      <c r="A5" s="1" t="s">
        <v>4</v>
      </c>
      <c r="B5" s="83" t="s">
        <v>12</v>
      </c>
    </row>
    <row r="6" spans="1:2">
      <c r="A6" s="1" t="s">
        <v>5</v>
      </c>
      <c r="B6" s="83" t="s">
        <v>13</v>
      </c>
    </row>
    <row r="7" spans="1:2">
      <c r="A7" s="1" t="s">
        <v>6</v>
      </c>
      <c r="B7" s="83" t="s">
        <v>14</v>
      </c>
    </row>
    <row r="8" spans="1:2">
      <c r="A8" s="1" t="s">
        <v>7</v>
      </c>
      <c r="B8" s="83" t="s">
        <v>71</v>
      </c>
    </row>
    <row r="9" spans="1:2">
      <c r="A9" s="1" t="s">
        <v>8</v>
      </c>
      <c r="B9" s="84" t="s">
        <v>70</v>
      </c>
    </row>
    <row r="10" spans="1:2">
      <c r="A10" s="1" t="s">
        <v>15</v>
      </c>
      <c r="B10" s="83" t="s">
        <v>16</v>
      </c>
    </row>
    <row r="12" spans="1:2">
      <c r="A12" s="1" t="s">
        <v>75</v>
      </c>
    </row>
    <row r="13" spans="1:2">
      <c r="A13" s="83" t="s">
        <v>58</v>
      </c>
    </row>
    <row r="14" spans="1:2">
      <c r="A14" s="83" t="s">
        <v>74</v>
      </c>
    </row>
    <row r="15" spans="1:2">
      <c r="A15" s="83" t="s">
        <v>59</v>
      </c>
    </row>
    <row r="16" spans="1:2">
      <c r="A16" s="83" t="s">
        <v>60</v>
      </c>
    </row>
    <row r="17" spans="1:2">
      <c r="A17" s="83" t="s">
        <v>61</v>
      </c>
    </row>
    <row r="18" spans="1:2">
      <c r="A18" s="83" t="s">
        <v>62</v>
      </c>
    </row>
    <row r="19" spans="1:2">
      <c r="A19" s="1"/>
    </row>
    <row r="21" spans="1:2">
      <c r="A21" s="81" t="s">
        <v>47</v>
      </c>
    </row>
    <row r="22" spans="1:2">
      <c r="A22" s="86">
        <v>0</v>
      </c>
    </row>
    <row r="23" spans="1:2">
      <c r="A23" s="86">
        <v>5.5</v>
      </c>
    </row>
    <row r="24" spans="1:2">
      <c r="A24" s="86">
        <v>20</v>
      </c>
    </row>
    <row r="25" spans="1:2">
      <c r="A25" s="82"/>
    </row>
    <row r="27" spans="1:2">
      <c r="A27" s="1" t="s">
        <v>86</v>
      </c>
      <c r="B27" s="1"/>
    </row>
    <row r="28" spans="1:2">
      <c r="A28" s="83" t="s">
        <v>87</v>
      </c>
      <c r="B28" s="83" t="s">
        <v>58</v>
      </c>
    </row>
    <row r="29" spans="1:2">
      <c r="A29" s="83" t="s">
        <v>47</v>
      </c>
      <c r="B29" s="85">
        <v>0.2</v>
      </c>
    </row>
    <row r="30" spans="1:2">
      <c r="A30" s="1"/>
      <c r="B30" s="1"/>
    </row>
  </sheetData>
  <dataValidations count="2">
    <dataValidation type="list" allowBlank="1" showInputMessage="1" showErrorMessage="1" errorTitle="Choisir dans la lisite" error="Choisir dans la lisite !" sqref="B29">
      <formula1>Taux_TVA</formula1>
    </dataValidation>
    <dataValidation type="list" allowBlank="1" showInputMessage="1" showErrorMessage="1" errorTitle="Choisir dans la liste" error="Choisir dans la liste !" sqref="B28">
      <formula1>Modes_Paiement</formula1>
    </dataValidation>
  </dataValidations>
  <hyperlinks>
    <hyperlink ref="B9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37</vt:i4>
      </vt:variant>
    </vt:vector>
  </HeadingPairs>
  <TitlesOfParts>
    <vt:vector size="47" baseType="lpstr">
      <vt:lpstr>Accueil</vt:lpstr>
      <vt:lpstr>Entetes Devis</vt:lpstr>
      <vt:lpstr>Lignes Devis</vt:lpstr>
      <vt:lpstr>Devis</vt:lpstr>
      <vt:lpstr>Entetes Factures</vt:lpstr>
      <vt:lpstr>Lignes Factures</vt:lpstr>
      <vt:lpstr>Facture</vt:lpstr>
      <vt:lpstr>Réglements</vt:lpstr>
      <vt:lpstr>Clients</vt:lpstr>
      <vt:lpstr>Paramètres</vt:lpstr>
      <vt:lpstr>Adresse_1</vt:lpstr>
      <vt:lpstr>Adresse_2</vt:lpstr>
      <vt:lpstr>Client_Devis</vt:lpstr>
      <vt:lpstr>Client_Facture</vt:lpstr>
      <vt:lpstr>Clients</vt:lpstr>
      <vt:lpstr>Code_postal</vt:lpstr>
      <vt:lpstr>Courriel</vt:lpstr>
      <vt:lpstr>Critère_Devis</vt:lpstr>
      <vt:lpstr>Critère_Facture</vt:lpstr>
      <vt:lpstr>Devis!Criteres</vt:lpstr>
      <vt:lpstr>Facture!Criteres</vt:lpstr>
      <vt:lpstr>Entetes_Devis</vt:lpstr>
      <vt:lpstr>Entetes_Factures</vt:lpstr>
      <vt:lpstr>Extraction_Devis</vt:lpstr>
      <vt:lpstr>Extraction_Facture</vt:lpstr>
      <vt:lpstr>Devis!Extraire</vt:lpstr>
      <vt:lpstr>Facture!Extraire</vt:lpstr>
      <vt:lpstr>Lignes_Devis</vt:lpstr>
      <vt:lpstr>Lignes_Factures</vt:lpstr>
      <vt:lpstr>Liste_Clients</vt:lpstr>
      <vt:lpstr>Liste_Devis</vt:lpstr>
      <vt:lpstr>Liste_Factures</vt:lpstr>
      <vt:lpstr>Liste_Numeros_Devis</vt:lpstr>
      <vt:lpstr>Modes_Paiement</vt:lpstr>
      <vt:lpstr>Numéro_Devis</vt:lpstr>
      <vt:lpstr>Numéro_Facture</vt:lpstr>
      <vt:lpstr>Raison_sociale</vt:lpstr>
      <vt:lpstr>Site_web</vt:lpstr>
      <vt:lpstr>Taux_TVA</vt:lpstr>
      <vt:lpstr>Télécopie</vt:lpstr>
      <vt:lpstr>Téléphone</vt:lpstr>
      <vt:lpstr>Titre</vt:lpstr>
      <vt:lpstr>VD_Mode_Paiement</vt:lpstr>
      <vt:lpstr>VD_Taux_TVA</vt:lpstr>
      <vt:lpstr>Ville</vt:lpstr>
      <vt:lpstr>Devis!Zone_d_impression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dd</cp:lastModifiedBy>
  <cp:lastPrinted>2015-12-10T14:18:55Z</cp:lastPrinted>
  <dcterms:created xsi:type="dcterms:W3CDTF">2015-11-28T17:26:41Z</dcterms:created>
  <dcterms:modified xsi:type="dcterms:W3CDTF">2016-01-02T13:29:29Z</dcterms:modified>
</cp:coreProperties>
</file>