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drawings/drawing2.xml" ContentType="application/vnd.openxmlformats-officedocument.drawing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910" codeName="{8C4F1C90-05EB-6A55-5F09-09C24B55AC0B}"/>
  <workbookPr codeName="ThisWorkbook" hidePivotFieldList="1" autoCompressPictures="0"/>
  <bookViews>
    <workbookView xWindow="0" yWindow="0" windowWidth="23860" windowHeight="14040" tabRatio="750"/>
  </bookViews>
  <sheets>
    <sheet name="CA Jour" sheetId="1" r:id="rId1"/>
    <sheet name="HEC Jour" sheetId="5" r:id="rId2"/>
    <sheet name="N" sheetId="6" r:id="rId3"/>
    <sheet name="N1" sheetId="7" r:id="rId4"/>
    <sheet name="N2" sheetId="8" r:id="rId5"/>
    <sheet name="BUDGET" sheetId="9" state="hidden" r:id="rId6"/>
    <sheet name="Fériés" sheetId="2" r:id="rId7"/>
  </sheets>
  <definedNames>
    <definedName name="An_Ref">'CA Jour'!$C$3</definedName>
    <definedName name="Fériés">Fériés!$B$1:$B$12</definedName>
    <definedName name="Mois_Ref">'CA Jour'!$C$4</definedName>
    <definedName name="_xlnm.Print_Area" localSheetId="0">'CA Jour'!$B$1:$U$133</definedName>
    <definedName name="_xlnm.Print_Area" localSheetId="1">'HEC Jour'!$B$2:$U$133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11" i="5" l="1"/>
  <c r="B11" i="5"/>
  <c r="B1" i="2"/>
  <c r="B2" i="2"/>
  <c r="B3" i="2"/>
  <c r="B4" i="2"/>
  <c r="B5" i="2"/>
  <c r="B6" i="2"/>
  <c r="B7" i="2"/>
  <c r="B8" i="2"/>
  <c r="B10" i="2"/>
  <c r="B11" i="2"/>
  <c r="B12" i="2"/>
  <c r="C12" i="5"/>
  <c r="B12" i="5"/>
  <c r="C4" i="5"/>
  <c r="C13" i="5"/>
  <c r="C3" i="5"/>
  <c r="C11" i="1"/>
  <c r="R12" i="5"/>
  <c r="R13" i="5"/>
  <c r="R14" i="5"/>
  <c r="R15" i="5"/>
  <c r="R16" i="5"/>
  <c r="R17" i="5"/>
  <c r="R18" i="5"/>
  <c r="R19" i="5"/>
  <c r="R20" i="5"/>
  <c r="R21" i="5"/>
  <c r="R22" i="5"/>
  <c r="R23" i="5"/>
  <c r="R24" i="5"/>
  <c r="R25" i="5"/>
  <c r="R26" i="5"/>
  <c r="R27" i="5"/>
  <c r="R28" i="5"/>
  <c r="R29" i="5"/>
  <c r="R30" i="5"/>
  <c r="R31" i="5"/>
  <c r="R32" i="5"/>
  <c r="R33" i="5"/>
  <c r="R34" i="5"/>
  <c r="R35" i="5"/>
  <c r="R36" i="5"/>
  <c r="R37" i="5"/>
  <c r="R38" i="5"/>
  <c r="R39" i="5"/>
  <c r="R40" i="5"/>
  <c r="R41" i="5"/>
  <c r="R11" i="5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11" i="1"/>
  <c r="R91" i="9"/>
  <c r="U94" i="9"/>
  <c r="Q91" i="9"/>
  <c r="U93" i="9"/>
  <c r="P91" i="9"/>
  <c r="U92" i="9"/>
  <c r="O91" i="9"/>
  <c r="U91" i="9"/>
  <c r="N91" i="9"/>
  <c r="U90" i="9"/>
  <c r="M91" i="9"/>
  <c r="U89" i="9"/>
  <c r="L91" i="9"/>
  <c r="U88" i="9"/>
  <c r="K91" i="9"/>
  <c r="U87" i="9"/>
  <c r="J91" i="9"/>
  <c r="U86" i="9"/>
  <c r="I91" i="9"/>
  <c r="U85" i="9"/>
  <c r="H91" i="9"/>
  <c r="U84" i="9"/>
  <c r="G91" i="9"/>
  <c r="U83" i="9"/>
  <c r="V83" i="9"/>
  <c r="V84" i="9"/>
  <c r="V85" i="9"/>
  <c r="V86" i="9"/>
  <c r="V87" i="9"/>
  <c r="V88" i="9"/>
  <c r="V89" i="9"/>
  <c r="V90" i="9"/>
  <c r="V91" i="9"/>
  <c r="V92" i="9"/>
  <c r="V93" i="9"/>
  <c r="V94" i="9"/>
  <c r="V95" i="9"/>
  <c r="P155" i="9"/>
  <c r="P156" i="9"/>
  <c r="P157" i="9"/>
  <c r="P158" i="9"/>
  <c r="S157" i="9"/>
  <c r="R157" i="9"/>
  <c r="Q157" i="9"/>
  <c r="O157" i="9"/>
  <c r="N157" i="9"/>
  <c r="M157" i="9"/>
  <c r="L157" i="9"/>
  <c r="K157" i="9"/>
  <c r="J157" i="9"/>
  <c r="I157" i="9"/>
  <c r="H157" i="9"/>
  <c r="G157" i="9"/>
  <c r="R155" i="9"/>
  <c r="R156" i="9"/>
  <c r="R158" i="9"/>
  <c r="N155" i="9"/>
  <c r="N156" i="9"/>
  <c r="N158" i="9"/>
  <c r="J155" i="9"/>
  <c r="J156" i="9"/>
  <c r="J158" i="9"/>
  <c r="S155" i="9"/>
  <c r="S156" i="9"/>
  <c r="S158" i="9"/>
  <c r="Q155" i="9"/>
  <c r="Q156" i="9"/>
  <c r="Q158" i="9"/>
  <c r="O155" i="9"/>
  <c r="O156" i="9"/>
  <c r="O158" i="9"/>
  <c r="M155" i="9"/>
  <c r="M156" i="9"/>
  <c r="M158" i="9"/>
  <c r="L155" i="9"/>
  <c r="L156" i="9"/>
  <c r="L158" i="9"/>
  <c r="K155" i="9"/>
  <c r="K156" i="9"/>
  <c r="K158" i="9"/>
  <c r="I155" i="9"/>
  <c r="I156" i="9"/>
  <c r="I158" i="9"/>
  <c r="H155" i="9"/>
  <c r="H156" i="9"/>
  <c r="H158" i="9"/>
  <c r="G155" i="9"/>
  <c r="G156" i="9"/>
  <c r="G158" i="9"/>
  <c r="S152" i="9"/>
  <c r="R152" i="9"/>
  <c r="Q152" i="9"/>
  <c r="P152" i="9"/>
  <c r="O152" i="9"/>
  <c r="N152" i="9"/>
  <c r="M152" i="9"/>
  <c r="L152" i="9"/>
  <c r="K152" i="9"/>
  <c r="J152" i="9"/>
  <c r="I152" i="9"/>
  <c r="H152" i="9"/>
  <c r="G152" i="9"/>
  <c r="Q148" i="9"/>
  <c r="Q150" i="9"/>
  <c r="Q151" i="9"/>
  <c r="M148" i="9"/>
  <c r="M150" i="9"/>
  <c r="M151" i="9"/>
  <c r="I148" i="9"/>
  <c r="I150" i="9"/>
  <c r="I151" i="9"/>
  <c r="S150" i="9"/>
  <c r="R150" i="9"/>
  <c r="R148" i="9"/>
  <c r="R151" i="9"/>
  <c r="P150" i="9"/>
  <c r="O150" i="9"/>
  <c r="N150" i="9"/>
  <c r="N148" i="9"/>
  <c r="N151" i="9"/>
  <c r="L150" i="9"/>
  <c r="K150" i="9"/>
  <c r="J150" i="9"/>
  <c r="J148" i="9"/>
  <c r="J151" i="9"/>
  <c r="H150" i="9"/>
  <c r="G150" i="9"/>
  <c r="S148" i="9"/>
  <c r="S151" i="9"/>
  <c r="P148" i="9"/>
  <c r="P151" i="9"/>
  <c r="O148" i="9"/>
  <c r="O151" i="9"/>
  <c r="L148" i="9"/>
  <c r="L151" i="9"/>
  <c r="K148" i="9"/>
  <c r="K151" i="9"/>
  <c r="H148" i="9"/>
  <c r="H151" i="9"/>
  <c r="G148" i="9"/>
  <c r="G151" i="9"/>
  <c r="S143" i="9"/>
  <c r="R143" i="9"/>
  <c r="Q143" i="9"/>
  <c r="P143" i="9"/>
  <c r="O143" i="9"/>
  <c r="N143" i="9"/>
  <c r="M143" i="9"/>
  <c r="L143" i="9"/>
  <c r="K143" i="9"/>
  <c r="J143" i="9"/>
  <c r="I143" i="9"/>
  <c r="H143" i="9"/>
  <c r="G143" i="9"/>
  <c r="S139" i="9"/>
  <c r="R139" i="9"/>
  <c r="Q139" i="9"/>
  <c r="P139" i="9"/>
  <c r="O139" i="9"/>
  <c r="N139" i="9"/>
  <c r="M139" i="9"/>
  <c r="L139" i="9"/>
  <c r="K139" i="9"/>
  <c r="J139" i="9"/>
  <c r="I139" i="9"/>
  <c r="H139" i="9"/>
  <c r="G139" i="9"/>
  <c r="S135" i="9"/>
  <c r="R135" i="9"/>
  <c r="Q135" i="9"/>
  <c r="P135" i="9"/>
  <c r="O135" i="9"/>
  <c r="N135" i="9"/>
  <c r="M135" i="9"/>
  <c r="L135" i="9"/>
  <c r="K135" i="9"/>
  <c r="J135" i="9"/>
  <c r="I135" i="9"/>
  <c r="H135" i="9"/>
  <c r="G135" i="9"/>
  <c r="S134" i="9"/>
  <c r="R134" i="9"/>
  <c r="Q134" i="9"/>
  <c r="P134" i="9"/>
  <c r="O134" i="9"/>
  <c r="N134" i="9"/>
  <c r="M134" i="9"/>
  <c r="L134" i="9"/>
  <c r="K134" i="9"/>
  <c r="J134" i="9"/>
  <c r="I134" i="9"/>
  <c r="H134" i="9"/>
  <c r="G134" i="9"/>
  <c r="S133" i="9"/>
  <c r="R133" i="9"/>
  <c r="Q133" i="9"/>
  <c r="P133" i="9"/>
  <c r="O133" i="9"/>
  <c r="N133" i="9"/>
  <c r="M133" i="9"/>
  <c r="L133" i="9"/>
  <c r="K133" i="9"/>
  <c r="J133" i="9"/>
  <c r="I133" i="9"/>
  <c r="H133" i="9"/>
  <c r="G133" i="9"/>
  <c r="S132" i="9"/>
  <c r="R132" i="9"/>
  <c r="Q132" i="9"/>
  <c r="P132" i="9"/>
  <c r="O132" i="9"/>
  <c r="N132" i="9"/>
  <c r="M132" i="9"/>
  <c r="L132" i="9"/>
  <c r="K132" i="9"/>
  <c r="J132" i="9"/>
  <c r="I132" i="9"/>
  <c r="H132" i="9"/>
  <c r="G132" i="9"/>
  <c r="S131" i="9"/>
  <c r="R131" i="9"/>
  <c r="Q131" i="9"/>
  <c r="P131" i="9"/>
  <c r="O131" i="9"/>
  <c r="N131" i="9"/>
  <c r="M131" i="9"/>
  <c r="L131" i="9"/>
  <c r="K131" i="9"/>
  <c r="J131" i="9"/>
  <c r="I131" i="9"/>
  <c r="H131" i="9"/>
  <c r="G131" i="9"/>
  <c r="S130" i="9"/>
  <c r="R130" i="9"/>
  <c r="Q130" i="9"/>
  <c r="P130" i="9"/>
  <c r="O130" i="9"/>
  <c r="N130" i="9"/>
  <c r="M130" i="9"/>
  <c r="L130" i="9"/>
  <c r="K130" i="9"/>
  <c r="J130" i="9"/>
  <c r="I130" i="9"/>
  <c r="H130" i="9"/>
  <c r="G130" i="9"/>
  <c r="S129" i="9"/>
  <c r="R129" i="9"/>
  <c r="Q129" i="9"/>
  <c r="P129" i="9"/>
  <c r="O129" i="9"/>
  <c r="N129" i="9"/>
  <c r="M129" i="9"/>
  <c r="L129" i="9"/>
  <c r="K129" i="9"/>
  <c r="J129" i="9"/>
  <c r="I129" i="9"/>
  <c r="H129" i="9"/>
  <c r="G129" i="9"/>
  <c r="S128" i="9"/>
  <c r="R128" i="9"/>
  <c r="Q128" i="9"/>
  <c r="P128" i="9"/>
  <c r="O128" i="9"/>
  <c r="N128" i="9"/>
  <c r="M128" i="9"/>
  <c r="L128" i="9"/>
  <c r="K128" i="9"/>
  <c r="J128" i="9"/>
  <c r="I128" i="9"/>
  <c r="H128" i="9"/>
  <c r="G128" i="9"/>
  <c r="R119" i="9"/>
  <c r="R122" i="9"/>
  <c r="R125" i="9"/>
  <c r="R126" i="9"/>
  <c r="R127" i="9"/>
  <c r="N119" i="9"/>
  <c r="N122" i="9"/>
  <c r="N125" i="9"/>
  <c r="N126" i="9"/>
  <c r="N127" i="9"/>
  <c r="J119" i="9"/>
  <c r="J122" i="9"/>
  <c r="J125" i="9"/>
  <c r="J126" i="9"/>
  <c r="J127" i="9"/>
  <c r="S126" i="9"/>
  <c r="Q126" i="9"/>
  <c r="P126" i="9"/>
  <c r="O126" i="9"/>
  <c r="M126" i="9"/>
  <c r="L126" i="9"/>
  <c r="K126" i="9"/>
  <c r="I126" i="9"/>
  <c r="H126" i="9"/>
  <c r="G126" i="9"/>
  <c r="S125" i="9"/>
  <c r="Q125" i="9"/>
  <c r="P125" i="9"/>
  <c r="O125" i="9"/>
  <c r="M125" i="9"/>
  <c r="L125" i="9"/>
  <c r="K125" i="9"/>
  <c r="I125" i="9"/>
  <c r="H125" i="9"/>
  <c r="G125" i="9"/>
  <c r="S124" i="9"/>
  <c r="R124" i="9"/>
  <c r="Q124" i="9"/>
  <c r="P124" i="9"/>
  <c r="O124" i="9"/>
  <c r="N124" i="9"/>
  <c r="M124" i="9"/>
  <c r="L124" i="9"/>
  <c r="K124" i="9"/>
  <c r="J124" i="9"/>
  <c r="I124" i="9"/>
  <c r="H124" i="9"/>
  <c r="G124" i="9"/>
  <c r="S123" i="9"/>
  <c r="R123" i="9"/>
  <c r="Q123" i="9"/>
  <c r="P123" i="9"/>
  <c r="O123" i="9"/>
  <c r="N123" i="9"/>
  <c r="M123" i="9"/>
  <c r="L123" i="9"/>
  <c r="K123" i="9"/>
  <c r="J123" i="9"/>
  <c r="I123" i="9"/>
  <c r="H123" i="9"/>
  <c r="G123" i="9"/>
  <c r="S122" i="9"/>
  <c r="S119" i="9"/>
  <c r="S127" i="9"/>
  <c r="Q122" i="9"/>
  <c r="P122" i="9"/>
  <c r="O122" i="9"/>
  <c r="O119" i="9"/>
  <c r="O127" i="9"/>
  <c r="M122" i="9"/>
  <c r="L122" i="9"/>
  <c r="K122" i="9"/>
  <c r="K119" i="9"/>
  <c r="K127" i="9"/>
  <c r="I122" i="9"/>
  <c r="H122" i="9"/>
  <c r="G122" i="9"/>
  <c r="G119" i="9"/>
  <c r="G127" i="9"/>
  <c r="Q119" i="9"/>
  <c r="Q127" i="9"/>
  <c r="P119" i="9"/>
  <c r="P127" i="9"/>
  <c r="M119" i="9"/>
  <c r="M127" i="9"/>
  <c r="L119" i="9"/>
  <c r="L127" i="9"/>
  <c r="I119" i="9"/>
  <c r="I127" i="9"/>
  <c r="H119" i="9"/>
  <c r="H127" i="9"/>
  <c r="R116" i="9"/>
  <c r="R117" i="9"/>
  <c r="Q116" i="9"/>
  <c r="Q117" i="9"/>
  <c r="N116" i="9"/>
  <c r="N117" i="9"/>
  <c r="M116" i="9"/>
  <c r="M117" i="9"/>
  <c r="J116" i="9"/>
  <c r="J117" i="9"/>
  <c r="G116" i="9"/>
  <c r="G117" i="9"/>
  <c r="C117" i="9"/>
  <c r="I116" i="9"/>
  <c r="I117" i="9"/>
  <c r="S116" i="9"/>
  <c r="S117" i="9"/>
  <c r="P116" i="9"/>
  <c r="P117" i="9"/>
  <c r="O116" i="9"/>
  <c r="O117" i="9"/>
  <c r="L116" i="9"/>
  <c r="L117" i="9"/>
  <c r="K116" i="9"/>
  <c r="K117" i="9"/>
  <c r="H116" i="9"/>
  <c r="H117" i="9"/>
  <c r="E117" i="9"/>
  <c r="S111" i="9"/>
  <c r="R111" i="9"/>
  <c r="Q111" i="9"/>
  <c r="P111" i="9"/>
  <c r="O111" i="9"/>
  <c r="N111" i="9"/>
  <c r="M111" i="9"/>
  <c r="L111" i="9"/>
  <c r="K111" i="9"/>
  <c r="J111" i="9"/>
  <c r="I111" i="9"/>
  <c r="H111" i="9"/>
  <c r="G111" i="9"/>
  <c r="S110" i="9"/>
  <c r="R110" i="9"/>
  <c r="Q110" i="9"/>
  <c r="P110" i="9"/>
  <c r="O110" i="9"/>
  <c r="N110" i="9"/>
  <c r="M110" i="9"/>
  <c r="L110" i="9"/>
  <c r="K110" i="9"/>
  <c r="J110" i="9"/>
  <c r="I110" i="9"/>
  <c r="H110" i="9"/>
  <c r="G110" i="9"/>
  <c r="S109" i="9"/>
  <c r="R109" i="9"/>
  <c r="Q109" i="9"/>
  <c r="P109" i="9"/>
  <c r="O109" i="9"/>
  <c r="N109" i="9"/>
  <c r="M109" i="9"/>
  <c r="L109" i="9"/>
  <c r="K109" i="9"/>
  <c r="J109" i="9"/>
  <c r="I109" i="9"/>
  <c r="H109" i="9"/>
  <c r="G109" i="9"/>
  <c r="S108" i="9"/>
  <c r="R108" i="9"/>
  <c r="Q108" i="9"/>
  <c r="P108" i="9"/>
  <c r="O108" i="9"/>
  <c r="N108" i="9"/>
  <c r="M108" i="9"/>
  <c r="L108" i="9"/>
  <c r="K108" i="9"/>
  <c r="J108" i="9"/>
  <c r="I108" i="9"/>
  <c r="H108" i="9"/>
  <c r="G108" i="9"/>
  <c r="S105" i="9"/>
  <c r="R105" i="9"/>
  <c r="Q105" i="9"/>
  <c r="P105" i="9"/>
  <c r="O105" i="9"/>
  <c r="N105" i="9"/>
  <c r="M105" i="9"/>
  <c r="L105" i="9"/>
  <c r="K105" i="9"/>
  <c r="J105" i="9"/>
  <c r="I105" i="9"/>
  <c r="H105" i="9"/>
  <c r="G105" i="9"/>
  <c r="N92" i="9"/>
  <c r="N93" i="9"/>
  <c r="N94" i="9"/>
  <c r="N95" i="9"/>
  <c r="N104" i="9"/>
  <c r="J92" i="9"/>
  <c r="J93" i="9"/>
  <c r="J94" i="9"/>
  <c r="J95" i="9"/>
  <c r="J104" i="9"/>
  <c r="S103" i="9"/>
  <c r="R103" i="9"/>
  <c r="Q103" i="9"/>
  <c r="P103" i="9"/>
  <c r="O103" i="9"/>
  <c r="N103" i="9"/>
  <c r="M103" i="9"/>
  <c r="L103" i="9"/>
  <c r="K103" i="9"/>
  <c r="J103" i="9"/>
  <c r="I103" i="9"/>
  <c r="H103" i="9"/>
  <c r="G103" i="9"/>
  <c r="S102" i="9"/>
  <c r="R102" i="9"/>
  <c r="Q102" i="9"/>
  <c r="P102" i="9"/>
  <c r="O102" i="9"/>
  <c r="N102" i="9"/>
  <c r="M102" i="9"/>
  <c r="L102" i="9"/>
  <c r="K102" i="9"/>
  <c r="J102" i="9"/>
  <c r="I102" i="9"/>
  <c r="H102" i="9"/>
  <c r="G102" i="9"/>
  <c r="S101" i="9"/>
  <c r="R101" i="9"/>
  <c r="Q101" i="9"/>
  <c r="P101" i="9"/>
  <c r="O101" i="9"/>
  <c r="N101" i="9"/>
  <c r="M101" i="9"/>
  <c r="L101" i="9"/>
  <c r="K101" i="9"/>
  <c r="J101" i="9"/>
  <c r="I101" i="9"/>
  <c r="H101" i="9"/>
  <c r="G101" i="9"/>
  <c r="S100" i="9"/>
  <c r="R100" i="9"/>
  <c r="Q100" i="9"/>
  <c r="P100" i="9"/>
  <c r="O100" i="9"/>
  <c r="N100" i="9"/>
  <c r="M100" i="9"/>
  <c r="L100" i="9"/>
  <c r="K100" i="9"/>
  <c r="J100" i="9"/>
  <c r="I100" i="9"/>
  <c r="H100" i="9"/>
  <c r="G100" i="9"/>
  <c r="S99" i="9"/>
  <c r="R99" i="9"/>
  <c r="Q99" i="9"/>
  <c r="P99" i="9"/>
  <c r="O99" i="9"/>
  <c r="N99" i="9"/>
  <c r="M99" i="9"/>
  <c r="L99" i="9"/>
  <c r="K99" i="9"/>
  <c r="J99" i="9"/>
  <c r="I99" i="9"/>
  <c r="H99" i="9"/>
  <c r="G99" i="9"/>
  <c r="S98" i="9"/>
  <c r="R98" i="9"/>
  <c r="Q98" i="9"/>
  <c r="P98" i="9"/>
  <c r="O98" i="9"/>
  <c r="N98" i="9"/>
  <c r="M98" i="9"/>
  <c r="L98" i="9"/>
  <c r="K98" i="9"/>
  <c r="J98" i="9"/>
  <c r="I98" i="9"/>
  <c r="H98" i="9"/>
  <c r="G98" i="9"/>
  <c r="S97" i="9"/>
  <c r="R97" i="9"/>
  <c r="Q97" i="9"/>
  <c r="P97" i="9"/>
  <c r="O97" i="9"/>
  <c r="N97" i="9"/>
  <c r="M97" i="9"/>
  <c r="L97" i="9"/>
  <c r="K97" i="9"/>
  <c r="J97" i="9"/>
  <c r="I97" i="9"/>
  <c r="H97" i="9"/>
  <c r="G97" i="9"/>
  <c r="S96" i="9"/>
  <c r="R96" i="9"/>
  <c r="Q96" i="9"/>
  <c r="P96" i="9"/>
  <c r="O96" i="9"/>
  <c r="N96" i="9"/>
  <c r="M96" i="9"/>
  <c r="L96" i="9"/>
  <c r="K96" i="9"/>
  <c r="J96" i="9"/>
  <c r="I96" i="9"/>
  <c r="H96" i="9"/>
  <c r="G96" i="9"/>
  <c r="S95" i="9"/>
  <c r="R95" i="9"/>
  <c r="Q95" i="9"/>
  <c r="P95" i="9"/>
  <c r="O95" i="9"/>
  <c r="M95" i="9"/>
  <c r="L95" i="9"/>
  <c r="K95" i="9"/>
  <c r="I95" i="9"/>
  <c r="H95" i="9"/>
  <c r="G95" i="9"/>
  <c r="S94" i="9"/>
  <c r="R94" i="9"/>
  <c r="Q94" i="9"/>
  <c r="P94" i="9"/>
  <c r="O94" i="9"/>
  <c r="M94" i="9"/>
  <c r="L94" i="9"/>
  <c r="K94" i="9"/>
  <c r="I94" i="9"/>
  <c r="H94" i="9"/>
  <c r="G94" i="9"/>
  <c r="S93" i="9"/>
  <c r="R93" i="9"/>
  <c r="Q93" i="9"/>
  <c r="P93" i="9"/>
  <c r="O93" i="9"/>
  <c r="M93" i="9"/>
  <c r="L93" i="9"/>
  <c r="K93" i="9"/>
  <c r="I93" i="9"/>
  <c r="H93" i="9"/>
  <c r="G93" i="9"/>
  <c r="S92" i="9"/>
  <c r="R92" i="9"/>
  <c r="R104" i="9"/>
  <c r="Q92" i="9"/>
  <c r="P92" i="9"/>
  <c r="P104" i="9"/>
  <c r="O92" i="9"/>
  <c r="M92" i="9"/>
  <c r="M104" i="9"/>
  <c r="L92" i="9"/>
  <c r="K92" i="9"/>
  <c r="K104" i="9"/>
  <c r="I92" i="9"/>
  <c r="H92" i="9"/>
  <c r="H104" i="9"/>
  <c r="G92" i="9"/>
  <c r="S91" i="9"/>
  <c r="S104" i="9"/>
  <c r="Q104" i="9"/>
  <c r="O104" i="9"/>
  <c r="L104" i="9"/>
  <c r="I104" i="9"/>
  <c r="G104" i="9"/>
  <c r="S89" i="9"/>
  <c r="R89" i="9"/>
  <c r="Q89" i="9"/>
  <c r="P89" i="9"/>
  <c r="O89" i="9"/>
  <c r="N89" i="9"/>
  <c r="M89" i="9"/>
  <c r="L89" i="9"/>
  <c r="K89" i="9"/>
  <c r="J89" i="9"/>
  <c r="I89" i="9"/>
  <c r="H89" i="9"/>
  <c r="G89" i="9"/>
  <c r="S88" i="9"/>
  <c r="R88" i="9"/>
  <c r="Q88" i="9"/>
  <c r="P88" i="9"/>
  <c r="O88" i="9"/>
  <c r="N88" i="9"/>
  <c r="M88" i="9"/>
  <c r="L88" i="9"/>
  <c r="K88" i="9"/>
  <c r="J88" i="9"/>
  <c r="I88" i="9"/>
  <c r="H88" i="9"/>
  <c r="G88" i="9"/>
  <c r="S78" i="9"/>
  <c r="R78" i="9"/>
  <c r="Q78" i="9"/>
  <c r="P78" i="9"/>
  <c r="O78" i="9"/>
  <c r="N78" i="9"/>
  <c r="M78" i="9"/>
  <c r="L78" i="9"/>
  <c r="K78" i="9"/>
  <c r="J78" i="9"/>
  <c r="I78" i="9"/>
  <c r="H78" i="9"/>
  <c r="G78" i="9"/>
  <c r="S77" i="9"/>
  <c r="R77" i="9"/>
  <c r="Q77" i="9"/>
  <c r="P77" i="9"/>
  <c r="O77" i="9"/>
  <c r="N77" i="9"/>
  <c r="M77" i="9"/>
  <c r="L77" i="9"/>
  <c r="K77" i="9"/>
  <c r="J77" i="9"/>
  <c r="I77" i="9"/>
  <c r="H77" i="9"/>
  <c r="G77" i="9"/>
  <c r="O54" i="9"/>
  <c r="O59" i="9"/>
  <c r="O60" i="9"/>
  <c r="O61" i="9"/>
  <c r="O62" i="9"/>
  <c r="O63" i="9"/>
  <c r="O64" i="9"/>
  <c r="O75" i="9"/>
  <c r="O76" i="9"/>
  <c r="R63" i="9"/>
  <c r="R74" i="9"/>
  <c r="Q63" i="9"/>
  <c r="Q74" i="9"/>
  <c r="N63" i="9"/>
  <c r="N74" i="9"/>
  <c r="M63" i="9"/>
  <c r="M74" i="9"/>
  <c r="J63" i="9"/>
  <c r="J74" i="9"/>
  <c r="I63" i="9"/>
  <c r="I74" i="9"/>
  <c r="S73" i="9"/>
  <c r="R73" i="9"/>
  <c r="Q73" i="9"/>
  <c r="P73" i="9"/>
  <c r="O73" i="9"/>
  <c r="N73" i="9"/>
  <c r="M73" i="9"/>
  <c r="L73" i="9"/>
  <c r="K73" i="9"/>
  <c r="J73" i="9"/>
  <c r="I73" i="9"/>
  <c r="H73" i="9"/>
  <c r="G73" i="9"/>
  <c r="S72" i="9"/>
  <c r="R72" i="9"/>
  <c r="Q72" i="9"/>
  <c r="P72" i="9"/>
  <c r="O72" i="9"/>
  <c r="N72" i="9"/>
  <c r="M72" i="9"/>
  <c r="L72" i="9"/>
  <c r="K72" i="9"/>
  <c r="J72" i="9"/>
  <c r="I72" i="9"/>
  <c r="H72" i="9"/>
  <c r="G72" i="9"/>
  <c r="S71" i="9"/>
  <c r="R71" i="9"/>
  <c r="Q71" i="9"/>
  <c r="P71" i="9"/>
  <c r="O71" i="9"/>
  <c r="N71" i="9"/>
  <c r="M71" i="9"/>
  <c r="L71" i="9"/>
  <c r="K71" i="9"/>
  <c r="J71" i="9"/>
  <c r="I71" i="9"/>
  <c r="H71" i="9"/>
  <c r="G71" i="9"/>
  <c r="S70" i="9"/>
  <c r="R70" i="9"/>
  <c r="Q70" i="9"/>
  <c r="P70" i="9"/>
  <c r="O70" i="9"/>
  <c r="N70" i="9"/>
  <c r="M70" i="9"/>
  <c r="L70" i="9"/>
  <c r="K70" i="9"/>
  <c r="J70" i="9"/>
  <c r="I70" i="9"/>
  <c r="H70" i="9"/>
  <c r="G70" i="9"/>
  <c r="S69" i="9"/>
  <c r="R69" i="9"/>
  <c r="Q69" i="9"/>
  <c r="P69" i="9"/>
  <c r="O69" i="9"/>
  <c r="N69" i="9"/>
  <c r="M69" i="9"/>
  <c r="L69" i="9"/>
  <c r="K69" i="9"/>
  <c r="J69" i="9"/>
  <c r="I69" i="9"/>
  <c r="H69" i="9"/>
  <c r="G69" i="9"/>
  <c r="S68" i="9"/>
  <c r="R68" i="9"/>
  <c r="Q68" i="9"/>
  <c r="P68" i="9"/>
  <c r="O68" i="9"/>
  <c r="N68" i="9"/>
  <c r="M68" i="9"/>
  <c r="L68" i="9"/>
  <c r="K68" i="9"/>
  <c r="J68" i="9"/>
  <c r="I68" i="9"/>
  <c r="H68" i="9"/>
  <c r="G68" i="9"/>
  <c r="S67" i="9"/>
  <c r="R67" i="9"/>
  <c r="Q67" i="9"/>
  <c r="P67" i="9"/>
  <c r="O67" i="9"/>
  <c r="N67" i="9"/>
  <c r="M67" i="9"/>
  <c r="L67" i="9"/>
  <c r="K67" i="9"/>
  <c r="J67" i="9"/>
  <c r="I67" i="9"/>
  <c r="H67" i="9"/>
  <c r="G67" i="9"/>
  <c r="S66" i="9"/>
  <c r="R66" i="9"/>
  <c r="Q66" i="9"/>
  <c r="P66" i="9"/>
  <c r="O66" i="9"/>
  <c r="N66" i="9"/>
  <c r="M66" i="9"/>
  <c r="L66" i="9"/>
  <c r="K66" i="9"/>
  <c r="J66" i="9"/>
  <c r="I66" i="9"/>
  <c r="H66" i="9"/>
  <c r="G66" i="9"/>
  <c r="S65" i="9"/>
  <c r="R65" i="9"/>
  <c r="Q65" i="9"/>
  <c r="P65" i="9"/>
  <c r="O65" i="9"/>
  <c r="N65" i="9"/>
  <c r="M65" i="9"/>
  <c r="L65" i="9"/>
  <c r="K65" i="9"/>
  <c r="J65" i="9"/>
  <c r="I65" i="9"/>
  <c r="H65" i="9"/>
  <c r="G65" i="9"/>
  <c r="S61" i="9"/>
  <c r="S62" i="9"/>
  <c r="S63" i="9"/>
  <c r="S64" i="9"/>
  <c r="K61" i="9"/>
  <c r="K62" i="9"/>
  <c r="K63" i="9"/>
  <c r="K64" i="9"/>
  <c r="G61" i="9"/>
  <c r="G62" i="9"/>
  <c r="G63" i="9"/>
  <c r="G64" i="9"/>
  <c r="G54" i="9"/>
  <c r="G59" i="9"/>
  <c r="G60" i="9"/>
  <c r="G75" i="9"/>
  <c r="G76" i="9"/>
  <c r="S74" i="9"/>
  <c r="P63" i="9"/>
  <c r="O74" i="9"/>
  <c r="L63" i="9"/>
  <c r="K74" i="9"/>
  <c r="H63" i="9"/>
  <c r="G74" i="9"/>
  <c r="R62" i="9"/>
  <c r="Q62" i="9"/>
  <c r="P62" i="9"/>
  <c r="N62" i="9"/>
  <c r="M62" i="9"/>
  <c r="L62" i="9"/>
  <c r="J62" i="9"/>
  <c r="I62" i="9"/>
  <c r="H62" i="9"/>
  <c r="R61" i="9"/>
  <c r="R64" i="9"/>
  <c r="Q61" i="9"/>
  <c r="P61" i="9"/>
  <c r="N61" i="9"/>
  <c r="N64" i="9"/>
  <c r="N54" i="9"/>
  <c r="N59" i="9"/>
  <c r="N60" i="9"/>
  <c r="N75" i="9"/>
  <c r="N76" i="9"/>
  <c r="M61" i="9"/>
  <c r="L61" i="9"/>
  <c r="J61" i="9"/>
  <c r="J64" i="9"/>
  <c r="I61" i="9"/>
  <c r="H61" i="9"/>
  <c r="S54" i="9"/>
  <c r="S59" i="9"/>
  <c r="S60" i="9"/>
  <c r="S75" i="9"/>
  <c r="S76" i="9"/>
  <c r="K54" i="9"/>
  <c r="K59" i="9"/>
  <c r="K60" i="9"/>
  <c r="J54" i="9"/>
  <c r="J59" i="9"/>
  <c r="J60" i="9"/>
  <c r="J46" i="9"/>
  <c r="G46" i="9"/>
  <c r="C46" i="9"/>
  <c r="R59" i="9"/>
  <c r="R54" i="9"/>
  <c r="R60" i="9"/>
  <c r="R75" i="9"/>
  <c r="R76" i="9"/>
  <c r="Q59" i="9"/>
  <c r="P59" i="9"/>
  <c r="P54" i="9"/>
  <c r="P60" i="9"/>
  <c r="P64" i="9"/>
  <c r="P75" i="9"/>
  <c r="P76" i="9"/>
  <c r="M59" i="9"/>
  <c r="L59" i="9"/>
  <c r="L54" i="9"/>
  <c r="L60" i="9"/>
  <c r="I59" i="9"/>
  <c r="H59" i="9"/>
  <c r="H54" i="9"/>
  <c r="H60" i="9"/>
  <c r="S58" i="9"/>
  <c r="R58" i="9"/>
  <c r="Q58" i="9"/>
  <c r="P58" i="9"/>
  <c r="O58" i="9"/>
  <c r="N58" i="9"/>
  <c r="M58" i="9"/>
  <c r="L58" i="9"/>
  <c r="K58" i="9"/>
  <c r="J58" i="9"/>
  <c r="I58" i="9"/>
  <c r="H58" i="9"/>
  <c r="G58" i="9"/>
  <c r="S57" i="9"/>
  <c r="R57" i="9"/>
  <c r="Q57" i="9"/>
  <c r="P57" i="9"/>
  <c r="O57" i="9"/>
  <c r="N57" i="9"/>
  <c r="M57" i="9"/>
  <c r="L57" i="9"/>
  <c r="K57" i="9"/>
  <c r="J57" i="9"/>
  <c r="I57" i="9"/>
  <c r="H57" i="9"/>
  <c r="G57" i="9"/>
  <c r="S56" i="9"/>
  <c r="R56" i="9"/>
  <c r="Q56" i="9"/>
  <c r="P56" i="9"/>
  <c r="O56" i="9"/>
  <c r="N56" i="9"/>
  <c r="M56" i="9"/>
  <c r="L56" i="9"/>
  <c r="K56" i="9"/>
  <c r="J56" i="9"/>
  <c r="I56" i="9"/>
  <c r="H56" i="9"/>
  <c r="G56" i="9"/>
  <c r="S55" i="9"/>
  <c r="R55" i="9"/>
  <c r="Q55" i="9"/>
  <c r="P55" i="9"/>
  <c r="O55" i="9"/>
  <c r="N55" i="9"/>
  <c r="M55" i="9"/>
  <c r="L55" i="9"/>
  <c r="K55" i="9"/>
  <c r="J55" i="9"/>
  <c r="I55" i="9"/>
  <c r="H55" i="9"/>
  <c r="G55" i="9"/>
  <c r="Q54" i="9"/>
  <c r="M54" i="9"/>
  <c r="I54" i="9"/>
  <c r="S52" i="9"/>
  <c r="R52" i="9"/>
  <c r="Q52" i="9"/>
  <c r="P52" i="9"/>
  <c r="O52" i="9"/>
  <c r="N52" i="9"/>
  <c r="M52" i="9"/>
  <c r="L52" i="9"/>
  <c r="K52" i="9"/>
  <c r="J52" i="9"/>
  <c r="I52" i="9"/>
  <c r="H52" i="9"/>
  <c r="G52" i="9"/>
  <c r="S49" i="9"/>
  <c r="S50" i="9"/>
  <c r="S51" i="9"/>
  <c r="O49" i="9"/>
  <c r="O50" i="9"/>
  <c r="O51" i="9"/>
  <c r="K49" i="9"/>
  <c r="K50" i="9"/>
  <c r="K51" i="9"/>
  <c r="G49" i="9"/>
  <c r="G50" i="9"/>
  <c r="G51" i="9"/>
  <c r="R50" i="9"/>
  <c r="Q50" i="9"/>
  <c r="P50" i="9"/>
  <c r="P49" i="9"/>
  <c r="P51" i="9"/>
  <c r="N50" i="9"/>
  <c r="M50" i="9"/>
  <c r="L50" i="9"/>
  <c r="L49" i="9"/>
  <c r="L51" i="9"/>
  <c r="J50" i="9"/>
  <c r="I50" i="9"/>
  <c r="H50" i="9"/>
  <c r="H49" i="9"/>
  <c r="H51" i="9"/>
  <c r="R49" i="9"/>
  <c r="Q49" i="9"/>
  <c r="Q51" i="9"/>
  <c r="N49" i="9"/>
  <c r="M49" i="9"/>
  <c r="M51" i="9"/>
  <c r="J49" i="9"/>
  <c r="I49" i="9"/>
  <c r="I51" i="9"/>
  <c r="S48" i="9"/>
  <c r="R48" i="9"/>
  <c r="Q48" i="9"/>
  <c r="P48" i="9"/>
  <c r="O48" i="9"/>
  <c r="N48" i="9"/>
  <c r="M48" i="9"/>
  <c r="L48" i="9"/>
  <c r="K48" i="9"/>
  <c r="J48" i="9"/>
  <c r="I48" i="9"/>
  <c r="H48" i="9"/>
  <c r="G48" i="9"/>
  <c r="S47" i="9"/>
  <c r="R47" i="9"/>
  <c r="Q47" i="9"/>
  <c r="P47" i="9"/>
  <c r="O47" i="9"/>
  <c r="N47" i="9"/>
  <c r="M47" i="9"/>
  <c r="L47" i="9"/>
  <c r="K47" i="9"/>
  <c r="J47" i="9"/>
  <c r="I47" i="9"/>
  <c r="H47" i="9"/>
  <c r="G47" i="9"/>
  <c r="S46" i="9"/>
  <c r="R46" i="9"/>
  <c r="Q46" i="9"/>
  <c r="P46" i="9"/>
  <c r="O46" i="9"/>
  <c r="N46" i="9"/>
  <c r="M46" i="9"/>
  <c r="L46" i="9"/>
  <c r="K46" i="9"/>
  <c r="I46" i="9"/>
  <c r="H46" i="9"/>
  <c r="E46" i="9"/>
  <c r="S13" i="9"/>
  <c r="S8" i="9"/>
  <c r="S41" i="9"/>
  <c r="P13" i="9"/>
  <c r="P8" i="9"/>
  <c r="P41" i="9"/>
  <c r="O13" i="9"/>
  <c r="O8" i="9"/>
  <c r="O41" i="9"/>
  <c r="K13" i="9"/>
  <c r="K8" i="9"/>
  <c r="K41" i="9"/>
  <c r="H13" i="9"/>
  <c r="H8" i="9"/>
  <c r="H41" i="9"/>
  <c r="G13" i="9"/>
  <c r="G8" i="9"/>
  <c r="G41" i="9"/>
  <c r="S30" i="9"/>
  <c r="S39" i="9"/>
  <c r="O30" i="9"/>
  <c r="O39" i="9"/>
  <c r="L30" i="9"/>
  <c r="L39" i="9"/>
  <c r="K30" i="9"/>
  <c r="K39" i="9"/>
  <c r="G30" i="9"/>
  <c r="G39" i="9"/>
  <c r="S38" i="9"/>
  <c r="R38" i="9"/>
  <c r="Q38" i="9"/>
  <c r="P38" i="9"/>
  <c r="O38" i="9"/>
  <c r="N38" i="9"/>
  <c r="M38" i="9"/>
  <c r="L38" i="9"/>
  <c r="K38" i="9"/>
  <c r="J38" i="9"/>
  <c r="I38" i="9"/>
  <c r="H38" i="9"/>
  <c r="G38" i="9"/>
  <c r="S37" i="9"/>
  <c r="R37" i="9"/>
  <c r="Q37" i="9"/>
  <c r="P37" i="9"/>
  <c r="O37" i="9"/>
  <c r="N37" i="9"/>
  <c r="M37" i="9"/>
  <c r="L37" i="9"/>
  <c r="K37" i="9"/>
  <c r="J37" i="9"/>
  <c r="I37" i="9"/>
  <c r="H37" i="9"/>
  <c r="G37" i="9"/>
  <c r="S36" i="9"/>
  <c r="R36" i="9"/>
  <c r="Q36" i="9"/>
  <c r="P36" i="9"/>
  <c r="O36" i="9"/>
  <c r="N36" i="9"/>
  <c r="M36" i="9"/>
  <c r="L36" i="9"/>
  <c r="K36" i="9"/>
  <c r="J36" i="9"/>
  <c r="I36" i="9"/>
  <c r="H36" i="9"/>
  <c r="G36" i="9"/>
  <c r="S35" i="9"/>
  <c r="R35" i="9"/>
  <c r="Q35" i="9"/>
  <c r="P35" i="9"/>
  <c r="O35" i="9"/>
  <c r="N35" i="9"/>
  <c r="M35" i="9"/>
  <c r="L35" i="9"/>
  <c r="K35" i="9"/>
  <c r="J35" i="9"/>
  <c r="I35" i="9"/>
  <c r="H35" i="9"/>
  <c r="G35" i="9"/>
  <c r="S34" i="9"/>
  <c r="R34" i="9"/>
  <c r="Q34" i="9"/>
  <c r="P34" i="9"/>
  <c r="O34" i="9"/>
  <c r="N34" i="9"/>
  <c r="M34" i="9"/>
  <c r="L34" i="9"/>
  <c r="K34" i="9"/>
  <c r="J34" i="9"/>
  <c r="I34" i="9"/>
  <c r="H34" i="9"/>
  <c r="G34" i="9"/>
  <c r="S33" i="9"/>
  <c r="R33" i="9"/>
  <c r="Q33" i="9"/>
  <c r="P33" i="9"/>
  <c r="O33" i="9"/>
  <c r="N33" i="9"/>
  <c r="M33" i="9"/>
  <c r="L33" i="9"/>
  <c r="K33" i="9"/>
  <c r="J33" i="9"/>
  <c r="I33" i="9"/>
  <c r="H33" i="9"/>
  <c r="G33" i="9"/>
  <c r="S32" i="9"/>
  <c r="R32" i="9"/>
  <c r="Q32" i="9"/>
  <c r="P32" i="9"/>
  <c r="O32" i="9"/>
  <c r="N32" i="9"/>
  <c r="M32" i="9"/>
  <c r="L32" i="9"/>
  <c r="K32" i="9"/>
  <c r="J32" i="9"/>
  <c r="I32" i="9"/>
  <c r="H32" i="9"/>
  <c r="G32" i="9"/>
  <c r="S31" i="9"/>
  <c r="P30" i="9"/>
  <c r="P31" i="9"/>
  <c r="O31" i="9"/>
  <c r="K31" i="9"/>
  <c r="H30" i="9"/>
  <c r="H31" i="9"/>
  <c r="G31" i="9"/>
  <c r="R30" i="9"/>
  <c r="R39" i="9"/>
  <c r="Q30" i="9"/>
  <c r="P39" i="9"/>
  <c r="N30" i="9"/>
  <c r="N39" i="9"/>
  <c r="M30" i="9"/>
  <c r="L31" i="9"/>
  <c r="J30" i="9"/>
  <c r="J39" i="9"/>
  <c r="I30" i="9"/>
  <c r="H39" i="9"/>
  <c r="S29" i="9"/>
  <c r="R29" i="9"/>
  <c r="Q29" i="9"/>
  <c r="P29" i="9"/>
  <c r="O29" i="9"/>
  <c r="N29" i="9"/>
  <c r="M29" i="9"/>
  <c r="L29" i="9"/>
  <c r="K29" i="9"/>
  <c r="J29" i="9"/>
  <c r="I29" i="9"/>
  <c r="H29" i="9"/>
  <c r="G29" i="9"/>
  <c r="S17" i="9"/>
  <c r="S20" i="9"/>
  <c r="S25" i="9"/>
  <c r="S27" i="9"/>
  <c r="S40" i="9"/>
  <c r="S80" i="9"/>
  <c r="K17" i="9"/>
  <c r="K20" i="9"/>
  <c r="K25" i="9"/>
  <c r="K27" i="9"/>
  <c r="K40" i="9"/>
  <c r="R25" i="9"/>
  <c r="Q25" i="9"/>
  <c r="P25" i="9"/>
  <c r="O25" i="9"/>
  <c r="N25" i="9"/>
  <c r="M25" i="9"/>
  <c r="L25" i="9"/>
  <c r="J25" i="9"/>
  <c r="I25" i="9"/>
  <c r="H25" i="9"/>
  <c r="G25" i="9"/>
  <c r="S24" i="9"/>
  <c r="R24" i="9"/>
  <c r="Q24" i="9"/>
  <c r="P24" i="9"/>
  <c r="O24" i="9"/>
  <c r="N24" i="9"/>
  <c r="M24" i="9"/>
  <c r="L24" i="9"/>
  <c r="K24" i="9"/>
  <c r="J24" i="9"/>
  <c r="I24" i="9"/>
  <c r="H24" i="9"/>
  <c r="G24" i="9"/>
  <c r="S23" i="9"/>
  <c r="R23" i="9"/>
  <c r="Q23" i="9"/>
  <c r="P23" i="9"/>
  <c r="O23" i="9"/>
  <c r="N23" i="9"/>
  <c r="M23" i="9"/>
  <c r="L23" i="9"/>
  <c r="K23" i="9"/>
  <c r="J23" i="9"/>
  <c r="I23" i="9"/>
  <c r="H23" i="9"/>
  <c r="G23" i="9"/>
  <c r="S22" i="9"/>
  <c r="R22" i="9"/>
  <c r="Q22" i="9"/>
  <c r="P22" i="9"/>
  <c r="O22" i="9"/>
  <c r="N22" i="9"/>
  <c r="M22" i="9"/>
  <c r="L22" i="9"/>
  <c r="K22" i="9"/>
  <c r="J22" i="9"/>
  <c r="I22" i="9"/>
  <c r="H22" i="9"/>
  <c r="G22" i="9"/>
  <c r="S21" i="9"/>
  <c r="R21" i="9"/>
  <c r="Q21" i="9"/>
  <c r="P21" i="9"/>
  <c r="O21" i="9"/>
  <c r="N21" i="9"/>
  <c r="M21" i="9"/>
  <c r="L21" i="9"/>
  <c r="K21" i="9"/>
  <c r="J21" i="9"/>
  <c r="I21" i="9"/>
  <c r="H21" i="9"/>
  <c r="G21" i="9"/>
  <c r="R20" i="9"/>
  <c r="Q20" i="9"/>
  <c r="P20" i="9"/>
  <c r="O20" i="9"/>
  <c r="N20" i="9"/>
  <c r="M20" i="9"/>
  <c r="L20" i="9"/>
  <c r="J20" i="9"/>
  <c r="I20" i="9"/>
  <c r="H20" i="9"/>
  <c r="G20" i="9"/>
  <c r="P17" i="9"/>
  <c r="P27" i="9"/>
  <c r="P40" i="9"/>
  <c r="P80" i="9"/>
  <c r="O17" i="9"/>
  <c r="O27" i="9"/>
  <c r="O40" i="9"/>
  <c r="O80" i="9"/>
  <c r="L13" i="9"/>
  <c r="L17" i="9"/>
  <c r="L27" i="9"/>
  <c r="L40" i="9"/>
  <c r="L64" i="9"/>
  <c r="L75" i="9"/>
  <c r="L80" i="9"/>
  <c r="H17" i="9"/>
  <c r="H27" i="9"/>
  <c r="G17" i="9"/>
  <c r="G27" i="9"/>
  <c r="G40" i="9"/>
  <c r="G80" i="9"/>
  <c r="S16" i="9"/>
  <c r="R16" i="9"/>
  <c r="Q16" i="9"/>
  <c r="P16" i="9"/>
  <c r="O16" i="9"/>
  <c r="N16" i="9"/>
  <c r="M16" i="9"/>
  <c r="L16" i="9"/>
  <c r="K16" i="9"/>
  <c r="J16" i="9"/>
  <c r="I16" i="9"/>
  <c r="H16" i="9"/>
  <c r="G16" i="9"/>
  <c r="S15" i="9"/>
  <c r="R15" i="9"/>
  <c r="Q15" i="9"/>
  <c r="P15" i="9"/>
  <c r="O15" i="9"/>
  <c r="N15" i="9"/>
  <c r="M15" i="9"/>
  <c r="L15" i="9"/>
  <c r="K15" i="9"/>
  <c r="J15" i="9"/>
  <c r="I15" i="9"/>
  <c r="H15" i="9"/>
  <c r="G15" i="9"/>
  <c r="R13" i="9"/>
  <c r="R8" i="9"/>
  <c r="R41" i="9"/>
  <c r="Q13" i="9"/>
  <c r="N13" i="9"/>
  <c r="N8" i="9"/>
  <c r="N41" i="9"/>
  <c r="M13" i="9"/>
  <c r="L8" i="9"/>
  <c r="L41" i="9"/>
  <c r="J13" i="9"/>
  <c r="J8" i="9"/>
  <c r="J41" i="9"/>
  <c r="I13" i="9"/>
  <c r="S10" i="9"/>
  <c r="R10" i="9"/>
  <c r="Q10" i="9"/>
  <c r="P10" i="9"/>
  <c r="O10" i="9"/>
  <c r="N10" i="9"/>
  <c r="M10" i="9"/>
  <c r="L10" i="9"/>
  <c r="K10" i="9"/>
  <c r="J10" i="9"/>
  <c r="I10" i="9"/>
  <c r="H10" i="9"/>
  <c r="G10" i="9"/>
  <c r="S9" i="9"/>
  <c r="R9" i="9"/>
  <c r="Q9" i="9"/>
  <c r="P9" i="9"/>
  <c r="O9" i="9"/>
  <c r="N9" i="9"/>
  <c r="M9" i="9"/>
  <c r="L9" i="9"/>
  <c r="K9" i="9"/>
  <c r="J9" i="9"/>
  <c r="I9" i="9"/>
  <c r="H9" i="9"/>
  <c r="G9" i="9"/>
  <c r="Q8" i="9"/>
  <c r="M8" i="9"/>
  <c r="I8" i="9"/>
  <c r="U95" i="9"/>
  <c r="I39" i="9"/>
  <c r="I31" i="9"/>
  <c r="M39" i="9"/>
  <c r="M31" i="9"/>
  <c r="Q39" i="9"/>
  <c r="Q31" i="9"/>
  <c r="H74" i="9"/>
  <c r="H64" i="9"/>
  <c r="H75" i="9"/>
  <c r="H76" i="9"/>
  <c r="L74" i="9"/>
  <c r="L76" i="9"/>
  <c r="P74" i="9"/>
  <c r="J51" i="9"/>
  <c r="N51" i="9"/>
  <c r="R51" i="9"/>
  <c r="I60" i="9"/>
  <c r="M60" i="9"/>
  <c r="Q60" i="9"/>
  <c r="E17" i="9"/>
  <c r="I41" i="9"/>
  <c r="I17" i="9"/>
  <c r="I27" i="9"/>
  <c r="I40" i="9"/>
  <c r="I64" i="9"/>
  <c r="I75" i="9"/>
  <c r="I80" i="9"/>
  <c r="M41" i="9"/>
  <c r="M17" i="9"/>
  <c r="M27" i="9"/>
  <c r="M40" i="9"/>
  <c r="M64" i="9"/>
  <c r="M75" i="9"/>
  <c r="M80" i="9"/>
  <c r="Q41" i="9"/>
  <c r="Q17" i="9"/>
  <c r="Q27" i="9"/>
  <c r="Q40" i="9"/>
  <c r="Q64" i="9"/>
  <c r="Q75" i="9"/>
  <c r="Q80" i="9"/>
  <c r="J17" i="9"/>
  <c r="N17" i="9"/>
  <c r="N27" i="9"/>
  <c r="N31" i="9"/>
  <c r="N40" i="9"/>
  <c r="N80" i="9"/>
  <c r="R17" i="9"/>
  <c r="R27" i="9"/>
  <c r="J31" i="9"/>
  <c r="R31" i="9"/>
  <c r="IH34" i="8"/>
  <c r="IG34" i="8"/>
  <c r="IF34" i="8"/>
  <c r="IE34" i="8"/>
  <c r="ID34" i="8"/>
  <c r="IC34" i="8"/>
  <c r="IB34" i="8"/>
  <c r="IA34" i="8"/>
  <c r="HZ34" i="8"/>
  <c r="HY34" i="8"/>
  <c r="HX34" i="8"/>
  <c r="HW34" i="8"/>
  <c r="HV34" i="8"/>
  <c r="HU34" i="8"/>
  <c r="HT34" i="8"/>
  <c r="HS34" i="8"/>
  <c r="HR34" i="8"/>
  <c r="HQ34" i="8"/>
  <c r="HP34" i="8"/>
  <c r="HO34" i="8"/>
  <c r="HN34" i="8"/>
  <c r="HM34" i="8"/>
  <c r="HL34" i="8"/>
  <c r="HK34" i="8"/>
  <c r="HJ34" i="8"/>
  <c r="HI34" i="8"/>
  <c r="HH34" i="8"/>
  <c r="HG34" i="8"/>
  <c r="HF34" i="8"/>
  <c r="HE34" i="8"/>
  <c r="HD34" i="8"/>
  <c r="HC34" i="8"/>
  <c r="HB34" i="8"/>
  <c r="HA34" i="8"/>
  <c r="GZ34" i="8"/>
  <c r="GY34" i="8"/>
  <c r="GX34" i="8"/>
  <c r="GW34" i="8"/>
  <c r="GV34" i="8"/>
  <c r="GU34" i="8"/>
  <c r="GT34" i="8"/>
  <c r="GS34" i="8"/>
  <c r="GR34" i="8"/>
  <c r="GQ34" i="8"/>
  <c r="GP34" i="8"/>
  <c r="GO34" i="8"/>
  <c r="GN34" i="8"/>
  <c r="GM34" i="8"/>
  <c r="GL34" i="8"/>
  <c r="GK34" i="8"/>
  <c r="GJ34" i="8"/>
  <c r="GI34" i="8"/>
  <c r="GH34" i="8"/>
  <c r="GG34" i="8"/>
  <c r="GF34" i="8"/>
  <c r="GE34" i="8"/>
  <c r="GD34" i="8"/>
  <c r="GC34" i="8"/>
  <c r="GB34" i="8"/>
  <c r="GA34" i="8"/>
  <c r="FZ34" i="8"/>
  <c r="FY34" i="8"/>
  <c r="FX34" i="8"/>
  <c r="FW34" i="8"/>
  <c r="FV34" i="8"/>
  <c r="FU34" i="8"/>
  <c r="FT34" i="8"/>
  <c r="FS34" i="8"/>
  <c r="FR34" i="8"/>
  <c r="FQ34" i="8"/>
  <c r="FP34" i="8"/>
  <c r="FO34" i="8"/>
  <c r="FN34" i="8"/>
  <c r="FM34" i="8"/>
  <c r="FL34" i="8"/>
  <c r="FK34" i="8"/>
  <c r="FJ34" i="8"/>
  <c r="FI34" i="8"/>
  <c r="FH34" i="8"/>
  <c r="FG34" i="8"/>
  <c r="FF34" i="8"/>
  <c r="FE34" i="8"/>
  <c r="FD34" i="8"/>
  <c r="FC34" i="8"/>
  <c r="FB34" i="8"/>
  <c r="FA34" i="8"/>
  <c r="EZ34" i="8"/>
  <c r="EY34" i="8"/>
  <c r="EX34" i="8"/>
  <c r="EW34" i="8"/>
  <c r="EV34" i="8"/>
  <c r="EU34" i="8"/>
  <c r="ET34" i="8"/>
  <c r="ES34" i="8"/>
  <c r="ER34" i="8"/>
  <c r="EQ34" i="8"/>
  <c r="EP34" i="8"/>
  <c r="EO34" i="8"/>
  <c r="EN34" i="8"/>
  <c r="EM34" i="8"/>
  <c r="EL34" i="8"/>
  <c r="EK34" i="8"/>
  <c r="EJ34" i="8"/>
  <c r="EI34" i="8"/>
  <c r="EH34" i="8"/>
  <c r="EG34" i="8"/>
  <c r="EF34" i="8"/>
  <c r="EE34" i="8"/>
  <c r="ED34" i="8"/>
  <c r="EC34" i="8"/>
  <c r="EB34" i="8"/>
  <c r="EA34" i="8"/>
  <c r="DZ34" i="8"/>
  <c r="DY34" i="8"/>
  <c r="DX34" i="8"/>
  <c r="DW34" i="8"/>
  <c r="DV34" i="8"/>
  <c r="DU34" i="8"/>
  <c r="DT34" i="8"/>
  <c r="DS34" i="8"/>
  <c r="DR34" i="8"/>
  <c r="DQ34" i="8"/>
  <c r="DP34" i="8"/>
  <c r="DO34" i="8"/>
  <c r="DN34" i="8"/>
  <c r="DM34" i="8"/>
  <c r="DL34" i="8"/>
  <c r="DK34" i="8"/>
  <c r="DJ34" i="8"/>
  <c r="DI34" i="8"/>
  <c r="DH34" i="8"/>
  <c r="DG34" i="8"/>
  <c r="DF34" i="8"/>
  <c r="DE34" i="8"/>
  <c r="DD34" i="8"/>
  <c r="DC34" i="8"/>
  <c r="DB34" i="8"/>
  <c r="DA34" i="8"/>
  <c r="CZ34" i="8"/>
  <c r="CY34" i="8"/>
  <c r="CX34" i="8"/>
  <c r="CW34" i="8"/>
  <c r="CV34" i="8"/>
  <c r="CU34" i="8"/>
  <c r="CT34" i="8"/>
  <c r="CS34" i="8"/>
  <c r="CR34" i="8"/>
  <c r="CQ34" i="8"/>
  <c r="CP34" i="8"/>
  <c r="CO34" i="8"/>
  <c r="CN34" i="8"/>
  <c r="CM34" i="8"/>
  <c r="CL34" i="8"/>
  <c r="CK34" i="8"/>
  <c r="CJ34" i="8"/>
  <c r="CI34" i="8"/>
  <c r="CH34" i="8"/>
  <c r="CG34" i="8"/>
  <c r="CF34" i="8"/>
  <c r="CE34" i="8"/>
  <c r="CD34" i="8"/>
  <c r="CC34" i="8"/>
  <c r="CB34" i="8"/>
  <c r="CA34" i="8"/>
  <c r="BZ34" i="8"/>
  <c r="BY34" i="8"/>
  <c r="BX34" i="8"/>
  <c r="BW34" i="8"/>
  <c r="BV34" i="8"/>
  <c r="BU34" i="8"/>
  <c r="BT34" i="8"/>
  <c r="BS34" i="8"/>
  <c r="BR34" i="8"/>
  <c r="BQ34" i="8"/>
  <c r="BP34" i="8"/>
  <c r="BO34" i="8"/>
  <c r="BN34" i="8"/>
  <c r="BM34" i="8"/>
  <c r="BL34" i="8"/>
  <c r="BK34" i="8"/>
  <c r="BJ34" i="8"/>
  <c r="BI34" i="8"/>
  <c r="BH34" i="8"/>
  <c r="BG34" i="8"/>
  <c r="BF34" i="8"/>
  <c r="BE34" i="8"/>
  <c r="BD34" i="8"/>
  <c r="BC34" i="8"/>
  <c r="BB34" i="8"/>
  <c r="BA34" i="8"/>
  <c r="AZ34" i="8"/>
  <c r="AY34" i="8"/>
  <c r="AX34" i="8"/>
  <c r="AW34" i="8"/>
  <c r="AV34" i="8"/>
  <c r="AU34" i="8"/>
  <c r="AT34" i="8"/>
  <c r="AS34" i="8"/>
  <c r="AR34" i="8"/>
  <c r="AQ34" i="8"/>
  <c r="AP34" i="8"/>
  <c r="AO34" i="8"/>
  <c r="AN34" i="8"/>
  <c r="AM34" i="8"/>
  <c r="AL34" i="8"/>
  <c r="AK34" i="8"/>
  <c r="AJ34" i="8"/>
  <c r="AI34" i="8"/>
  <c r="AH34" i="8"/>
  <c r="AG34" i="8"/>
  <c r="AF34" i="8"/>
  <c r="AE34" i="8"/>
  <c r="AD34" i="8"/>
  <c r="AC34" i="8"/>
  <c r="AB34" i="8"/>
  <c r="AA34" i="8"/>
  <c r="Z34" i="8"/>
  <c r="Y34" i="8"/>
  <c r="X34" i="8"/>
  <c r="W34" i="8"/>
  <c r="V34" i="8"/>
  <c r="U34" i="8"/>
  <c r="T34" i="8"/>
  <c r="S34" i="8"/>
  <c r="R34" i="8"/>
  <c r="Q34" i="8"/>
  <c r="P34" i="8"/>
  <c r="O34" i="8"/>
  <c r="N34" i="8"/>
  <c r="M34" i="8"/>
  <c r="L34" i="8"/>
  <c r="K34" i="8"/>
  <c r="J34" i="8"/>
  <c r="I34" i="8"/>
  <c r="H34" i="8"/>
  <c r="G34" i="8"/>
  <c r="F34" i="8"/>
  <c r="E34" i="8"/>
  <c r="D34" i="8"/>
  <c r="C34" i="8"/>
  <c r="Q76" i="9"/>
  <c r="R40" i="9"/>
  <c r="R80" i="9"/>
  <c r="M76" i="9"/>
  <c r="I76" i="9"/>
  <c r="C17" i="9"/>
  <c r="J27" i="9"/>
  <c r="IH34" i="7"/>
  <c r="IG34" i="7"/>
  <c r="IF34" i="7"/>
  <c r="IE34" i="7"/>
  <c r="ID34" i="7"/>
  <c r="IC34" i="7"/>
  <c r="IB34" i="7"/>
  <c r="IA34" i="7"/>
  <c r="HZ34" i="7"/>
  <c r="HY34" i="7"/>
  <c r="HX34" i="7"/>
  <c r="HW34" i="7"/>
  <c r="HV34" i="7"/>
  <c r="HU34" i="7"/>
  <c r="HT34" i="7"/>
  <c r="HS34" i="7"/>
  <c r="HR34" i="7"/>
  <c r="HQ34" i="7"/>
  <c r="HP34" i="7"/>
  <c r="HO34" i="7"/>
  <c r="HN34" i="7"/>
  <c r="HM34" i="7"/>
  <c r="HL34" i="7"/>
  <c r="HK34" i="7"/>
  <c r="HJ34" i="7"/>
  <c r="HI34" i="7"/>
  <c r="HH34" i="7"/>
  <c r="HG34" i="7"/>
  <c r="HF34" i="7"/>
  <c r="HE34" i="7"/>
  <c r="HD34" i="7"/>
  <c r="HC34" i="7"/>
  <c r="HB34" i="7"/>
  <c r="HA34" i="7"/>
  <c r="GZ34" i="7"/>
  <c r="GY34" i="7"/>
  <c r="GX34" i="7"/>
  <c r="GW34" i="7"/>
  <c r="GV34" i="7"/>
  <c r="GU34" i="7"/>
  <c r="GT34" i="7"/>
  <c r="GS34" i="7"/>
  <c r="GR34" i="7"/>
  <c r="GQ34" i="7"/>
  <c r="GP34" i="7"/>
  <c r="GO34" i="7"/>
  <c r="GN34" i="7"/>
  <c r="GM34" i="7"/>
  <c r="GL34" i="7"/>
  <c r="GK34" i="7"/>
  <c r="GJ34" i="7"/>
  <c r="GI34" i="7"/>
  <c r="GH34" i="7"/>
  <c r="GG34" i="7"/>
  <c r="GF34" i="7"/>
  <c r="GE34" i="7"/>
  <c r="GD34" i="7"/>
  <c r="GC34" i="7"/>
  <c r="GB34" i="7"/>
  <c r="GA34" i="7"/>
  <c r="FZ34" i="7"/>
  <c r="FY34" i="7"/>
  <c r="FX34" i="7"/>
  <c r="FW34" i="7"/>
  <c r="FV34" i="7"/>
  <c r="FU34" i="7"/>
  <c r="FT34" i="7"/>
  <c r="FS34" i="7"/>
  <c r="FR34" i="7"/>
  <c r="FQ34" i="7"/>
  <c r="FP34" i="7"/>
  <c r="FO34" i="7"/>
  <c r="FN34" i="7"/>
  <c r="FM34" i="7"/>
  <c r="FL34" i="7"/>
  <c r="FK34" i="7"/>
  <c r="FJ34" i="7"/>
  <c r="FI34" i="7"/>
  <c r="FH34" i="7"/>
  <c r="FG34" i="7"/>
  <c r="FF34" i="7"/>
  <c r="FE34" i="7"/>
  <c r="FD34" i="7"/>
  <c r="FC34" i="7"/>
  <c r="FB34" i="7"/>
  <c r="FA34" i="7"/>
  <c r="EZ34" i="7"/>
  <c r="EY34" i="7"/>
  <c r="EX34" i="7"/>
  <c r="EW34" i="7"/>
  <c r="EV34" i="7"/>
  <c r="EU34" i="7"/>
  <c r="ET34" i="7"/>
  <c r="ES34" i="7"/>
  <c r="ER34" i="7"/>
  <c r="EQ34" i="7"/>
  <c r="EP34" i="7"/>
  <c r="EO34" i="7"/>
  <c r="EN34" i="7"/>
  <c r="EM34" i="7"/>
  <c r="EL34" i="7"/>
  <c r="EK34" i="7"/>
  <c r="EJ34" i="7"/>
  <c r="EI34" i="7"/>
  <c r="EH34" i="7"/>
  <c r="EG34" i="7"/>
  <c r="EF34" i="7"/>
  <c r="EE34" i="7"/>
  <c r="ED34" i="7"/>
  <c r="EC34" i="7"/>
  <c r="EB34" i="7"/>
  <c r="EA34" i="7"/>
  <c r="DZ34" i="7"/>
  <c r="DY34" i="7"/>
  <c r="DX34" i="7"/>
  <c r="DW34" i="7"/>
  <c r="DV34" i="7"/>
  <c r="DU34" i="7"/>
  <c r="DT34" i="7"/>
  <c r="DS34" i="7"/>
  <c r="DR34" i="7"/>
  <c r="DQ34" i="7"/>
  <c r="DP34" i="7"/>
  <c r="DO34" i="7"/>
  <c r="DN34" i="7"/>
  <c r="DM34" i="7"/>
  <c r="DL34" i="7"/>
  <c r="DK34" i="7"/>
  <c r="DJ34" i="7"/>
  <c r="DI34" i="7"/>
  <c r="DH34" i="7"/>
  <c r="DG34" i="7"/>
  <c r="DF34" i="7"/>
  <c r="DE34" i="7"/>
  <c r="DD34" i="7"/>
  <c r="DC34" i="7"/>
  <c r="DB34" i="7"/>
  <c r="DA34" i="7"/>
  <c r="CZ34" i="7"/>
  <c r="CY34" i="7"/>
  <c r="CX34" i="7"/>
  <c r="CW34" i="7"/>
  <c r="CV34" i="7"/>
  <c r="CU34" i="7"/>
  <c r="CT34" i="7"/>
  <c r="CS34" i="7"/>
  <c r="CR34" i="7"/>
  <c r="CQ34" i="7"/>
  <c r="CP34" i="7"/>
  <c r="CO34" i="7"/>
  <c r="CN34" i="7"/>
  <c r="CM34" i="7"/>
  <c r="CL34" i="7"/>
  <c r="CK34" i="7"/>
  <c r="CJ34" i="7"/>
  <c r="CI34" i="7"/>
  <c r="CH34" i="7"/>
  <c r="CG34" i="7"/>
  <c r="CF34" i="7"/>
  <c r="CE34" i="7"/>
  <c r="CD34" i="7"/>
  <c r="CC34" i="7"/>
  <c r="CB34" i="7"/>
  <c r="CA34" i="7"/>
  <c r="BZ34" i="7"/>
  <c r="BY34" i="7"/>
  <c r="BX34" i="7"/>
  <c r="BW34" i="7"/>
  <c r="BV34" i="7"/>
  <c r="BU34" i="7"/>
  <c r="BT34" i="7"/>
  <c r="BS34" i="7"/>
  <c r="BR34" i="7"/>
  <c r="BQ34" i="7"/>
  <c r="BP34" i="7"/>
  <c r="BO34" i="7"/>
  <c r="BN34" i="7"/>
  <c r="BM34" i="7"/>
  <c r="BL34" i="7"/>
  <c r="BK34" i="7"/>
  <c r="BJ34" i="7"/>
  <c r="BI34" i="7"/>
  <c r="BH34" i="7"/>
  <c r="BG34" i="7"/>
  <c r="BF34" i="7"/>
  <c r="BE34" i="7"/>
  <c r="BD34" i="7"/>
  <c r="BC34" i="7"/>
  <c r="BB34" i="7"/>
  <c r="BA34" i="7"/>
  <c r="AZ34" i="7"/>
  <c r="AY34" i="7"/>
  <c r="AX34" i="7"/>
  <c r="AW34" i="7"/>
  <c r="AV34" i="7"/>
  <c r="AU34" i="7"/>
  <c r="AT34" i="7"/>
  <c r="AS34" i="7"/>
  <c r="AR34" i="7"/>
  <c r="AQ34" i="7"/>
  <c r="AP34" i="7"/>
  <c r="AO34" i="7"/>
  <c r="AN34" i="7"/>
  <c r="AM34" i="7"/>
  <c r="AL34" i="7"/>
  <c r="AK34" i="7"/>
  <c r="AJ34" i="7"/>
  <c r="AI34" i="7"/>
  <c r="AH34" i="7"/>
  <c r="AG34" i="7"/>
  <c r="AF34" i="7"/>
  <c r="AE34" i="7"/>
  <c r="AD34" i="7"/>
  <c r="AC34" i="7"/>
  <c r="AB34" i="7"/>
  <c r="AA34" i="7"/>
  <c r="Z34" i="7"/>
  <c r="Y34" i="7"/>
  <c r="X34" i="7"/>
  <c r="W34" i="7"/>
  <c r="V34" i="7"/>
  <c r="U34" i="7"/>
  <c r="T34" i="7"/>
  <c r="S34" i="7"/>
  <c r="R34" i="7"/>
  <c r="Q34" i="7"/>
  <c r="P34" i="7"/>
  <c r="O34" i="7"/>
  <c r="N34" i="7"/>
  <c r="M34" i="7"/>
  <c r="L34" i="7"/>
  <c r="K34" i="7"/>
  <c r="J34" i="7"/>
  <c r="I34" i="7"/>
  <c r="H34" i="7"/>
  <c r="G34" i="7"/>
  <c r="F34" i="7"/>
  <c r="E34" i="7"/>
  <c r="D34" i="7"/>
  <c r="C34" i="7"/>
  <c r="IH34" i="6"/>
  <c r="IG34" i="6"/>
  <c r="IF34" i="6"/>
  <c r="IE34" i="6"/>
  <c r="ID34" i="6"/>
  <c r="IC34" i="6"/>
  <c r="IB34" i="6"/>
  <c r="IA34" i="6"/>
  <c r="HZ34" i="6"/>
  <c r="HY34" i="6"/>
  <c r="HX34" i="6"/>
  <c r="HW34" i="6"/>
  <c r="HV34" i="6"/>
  <c r="HU34" i="6"/>
  <c r="HT34" i="6"/>
  <c r="HS34" i="6"/>
  <c r="HR34" i="6"/>
  <c r="HQ34" i="6"/>
  <c r="HP34" i="6"/>
  <c r="HO34" i="6"/>
  <c r="HN34" i="6"/>
  <c r="HM34" i="6"/>
  <c r="HL34" i="6"/>
  <c r="HK34" i="6"/>
  <c r="HJ34" i="6"/>
  <c r="HI34" i="6"/>
  <c r="HH34" i="6"/>
  <c r="HG34" i="6"/>
  <c r="HF34" i="6"/>
  <c r="HE34" i="6"/>
  <c r="HD34" i="6"/>
  <c r="HC34" i="6"/>
  <c r="HB34" i="6"/>
  <c r="HA34" i="6"/>
  <c r="GZ34" i="6"/>
  <c r="GY34" i="6"/>
  <c r="GX34" i="6"/>
  <c r="GW34" i="6"/>
  <c r="GV34" i="6"/>
  <c r="GU34" i="6"/>
  <c r="GT34" i="6"/>
  <c r="GS34" i="6"/>
  <c r="GR34" i="6"/>
  <c r="GQ34" i="6"/>
  <c r="GP34" i="6"/>
  <c r="GO34" i="6"/>
  <c r="GN34" i="6"/>
  <c r="GM34" i="6"/>
  <c r="GL34" i="6"/>
  <c r="GK34" i="6"/>
  <c r="GJ34" i="6"/>
  <c r="GI34" i="6"/>
  <c r="GH34" i="6"/>
  <c r="GG34" i="6"/>
  <c r="GF34" i="6"/>
  <c r="GE34" i="6"/>
  <c r="GD34" i="6"/>
  <c r="GC34" i="6"/>
  <c r="GB34" i="6"/>
  <c r="GA34" i="6"/>
  <c r="FZ34" i="6"/>
  <c r="FY34" i="6"/>
  <c r="FX34" i="6"/>
  <c r="FW34" i="6"/>
  <c r="FV34" i="6"/>
  <c r="FU34" i="6"/>
  <c r="FT34" i="6"/>
  <c r="FS34" i="6"/>
  <c r="FR34" i="6"/>
  <c r="FQ34" i="6"/>
  <c r="FP34" i="6"/>
  <c r="FO34" i="6"/>
  <c r="FN34" i="6"/>
  <c r="FM34" i="6"/>
  <c r="FL34" i="6"/>
  <c r="FK34" i="6"/>
  <c r="FJ34" i="6"/>
  <c r="FI34" i="6"/>
  <c r="FH34" i="6"/>
  <c r="FG34" i="6"/>
  <c r="FF34" i="6"/>
  <c r="FE34" i="6"/>
  <c r="FD34" i="6"/>
  <c r="FC34" i="6"/>
  <c r="FB34" i="6"/>
  <c r="FA34" i="6"/>
  <c r="EZ34" i="6"/>
  <c r="EY34" i="6"/>
  <c r="EX34" i="6"/>
  <c r="EW34" i="6"/>
  <c r="EV34" i="6"/>
  <c r="EU34" i="6"/>
  <c r="ET34" i="6"/>
  <c r="ES34" i="6"/>
  <c r="ER34" i="6"/>
  <c r="EQ34" i="6"/>
  <c r="EP34" i="6"/>
  <c r="EO34" i="6"/>
  <c r="EN34" i="6"/>
  <c r="EM34" i="6"/>
  <c r="EL34" i="6"/>
  <c r="EK34" i="6"/>
  <c r="EJ34" i="6"/>
  <c r="EI34" i="6"/>
  <c r="EH34" i="6"/>
  <c r="EG34" i="6"/>
  <c r="EF34" i="6"/>
  <c r="EE34" i="6"/>
  <c r="ED34" i="6"/>
  <c r="EC34" i="6"/>
  <c r="EB34" i="6"/>
  <c r="EA34" i="6"/>
  <c r="DZ34" i="6"/>
  <c r="DY34" i="6"/>
  <c r="DX34" i="6"/>
  <c r="DW34" i="6"/>
  <c r="DV34" i="6"/>
  <c r="DU34" i="6"/>
  <c r="DT34" i="6"/>
  <c r="DS34" i="6"/>
  <c r="DR34" i="6"/>
  <c r="DQ34" i="6"/>
  <c r="DP34" i="6"/>
  <c r="DO34" i="6"/>
  <c r="DN34" i="6"/>
  <c r="DM34" i="6"/>
  <c r="DL34" i="6"/>
  <c r="DK34" i="6"/>
  <c r="DJ34" i="6"/>
  <c r="DI34" i="6"/>
  <c r="DH34" i="6"/>
  <c r="DG34" i="6"/>
  <c r="DF34" i="6"/>
  <c r="DE34" i="6"/>
  <c r="DD34" i="6"/>
  <c r="DC34" i="6"/>
  <c r="DB34" i="6"/>
  <c r="DA34" i="6"/>
  <c r="CZ34" i="6"/>
  <c r="CY34" i="6"/>
  <c r="CX34" i="6"/>
  <c r="CW34" i="6"/>
  <c r="CV34" i="6"/>
  <c r="CU34" i="6"/>
  <c r="CT34" i="6"/>
  <c r="CS34" i="6"/>
  <c r="CR34" i="6"/>
  <c r="CQ34" i="6"/>
  <c r="CP34" i="6"/>
  <c r="CO34" i="6"/>
  <c r="CN34" i="6"/>
  <c r="CM34" i="6"/>
  <c r="CL34" i="6"/>
  <c r="CK34" i="6"/>
  <c r="CJ34" i="6"/>
  <c r="CI34" i="6"/>
  <c r="CH34" i="6"/>
  <c r="CG34" i="6"/>
  <c r="CF34" i="6"/>
  <c r="CE34" i="6"/>
  <c r="CD34" i="6"/>
  <c r="CC34" i="6"/>
  <c r="CB34" i="6"/>
  <c r="CA34" i="6"/>
  <c r="BZ34" i="6"/>
  <c r="BY34" i="6"/>
  <c r="BX34" i="6"/>
  <c r="BW34" i="6"/>
  <c r="BV34" i="6"/>
  <c r="BU34" i="6"/>
  <c r="BT34" i="6"/>
  <c r="BS34" i="6"/>
  <c r="BR34" i="6"/>
  <c r="BQ34" i="6"/>
  <c r="BP34" i="6"/>
  <c r="BO34" i="6"/>
  <c r="BN34" i="6"/>
  <c r="BM34" i="6"/>
  <c r="BL34" i="6"/>
  <c r="BK34" i="6"/>
  <c r="BJ34" i="6"/>
  <c r="BI34" i="6"/>
  <c r="BH34" i="6"/>
  <c r="BG34" i="6"/>
  <c r="BF34" i="6"/>
  <c r="BE34" i="6"/>
  <c r="BD34" i="6"/>
  <c r="BC34" i="6"/>
  <c r="BB34" i="6"/>
  <c r="BA34" i="6"/>
  <c r="AZ34" i="6"/>
  <c r="AY34" i="6"/>
  <c r="AX34" i="6"/>
  <c r="AW34" i="6"/>
  <c r="AV34" i="6"/>
  <c r="AU34" i="6"/>
  <c r="AT34" i="6"/>
  <c r="AS34" i="6"/>
  <c r="AR34" i="6"/>
  <c r="AQ34" i="6"/>
  <c r="AP34" i="6"/>
  <c r="AO34" i="6"/>
  <c r="AN34" i="6"/>
  <c r="AM34" i="6"/>
  <c r="AL34" i="6"/>
  <c r="AK34" i="6"/>
  <c r="AJ34" i="6"/>
  <c r="AI34" i="6"/>
  <c r="AH34" i="6"/>
  <c r="AG34" i="6"/>
  <c r="AF34" i="6"/>
  <c r="AE34" i="6"/>
  <c r="AD34" i="6"/>
  <c r="AC34" i="6"/>
  <c r="AB34" i="6"/>
  <c r="AA34" i="6"/>
  <c r="Z34" i="6"/>
  <c r="Y34" i="6"/>
  <c r="X34" i="6"/>
  <c r="W34" i="6"/>
  <c r="V34" i="6"/>
  <c r="U34" i="6"/>
  <c r="T34" i="6"/>
  <c r="S34" i="6"/>
  <c r="R34" i="6"/>
  <c r="Q34" i="6"/>
  <c r="P34" i="6"/>
  <c r="O34" i="6"/>
  <c r="N34" i="6"/>
  <c r="M34" i="6"/>
  <c r="L34" i="6"/>
  <c r="K34" i="6"/>
  <c r="J34" i="6"/>
  <c r="I34" i="6"/>
  <c r="H34" i="6"/>
  <c r="G34" i="6"/>
  <c r="F34" i="6"/>
  <c r="E34" i="6"/>
  <c r="D34" i="6"/>
  <c r="C34" i="6"/>
  <c r="C27" i="9"/>
  <c r="J40" i="9"/>
  <c r="S2" i="1"/>
  <c r="N11" i="1"/>
  <c r="H11" i="1"/>
  <c r="B11" i="1"/>
  <c r="B9" i="2"/>
  <c r="A11" i="1"/>
  <c r="C12" i="1"/>
  <c r="B12" i="1"/>
  <c r="A12" i="1"/>
  <c r="C13" i="1"/>
  <c r="B13" i="1"/>
  <c r="A13" i="1"/>
  <c r="C14" i="1"/>
  <c r="B14" i="1"/>
  <c r="A14" i="1"/>
  <c r="C15" i="1"/>
  <c r="B15" i="1"/>
  <c r="A15" i="1"/>
  <c r="C16" i="1"/>
  <c r="B16" i="1"/>
  <c r="A16" i="1"/>
  <c r="C17" i="1"/>
  <c r="B17" i="1"/>
  <c r="A17" i="1"/>
  <c r="C18" i="1"/>
  <c r="B18" i="1"/>
  <c r="A18" i="1"/>
  <c r="C19" i="1"/>
  <c r="B19" i="1"/>
  <c r="A19" i="1"/>
  <c r="C20" i="1"/>
  <c r="B20" i="1"/>
  <c r="A20" i="1"/>
  <c r="C21" i="1"/>
  <c r="B21" i="1"/>
  <c r="A21" i="1"/>
  <c r="C22" i="1"/>
  <c r="B22" i="1"/>
  <c r="A22" i="1"/>
  <c r="C23" i="1"/>
  <c r="B23" i="1"/>
  <c r="A23" i="1"/>
  <c r="C24" i="1"/>
  <c r="B24" i="1"/>
  <c r="A24" i="1"/>
  <c r="C25" i="1"/>
  <c r="B25" i="1"/>
  <c r="A25" i="1"/>
  <c r="C26" i="1"/>
  <c r="B26" i="1"/>
  <c r="A26" i="1"/>
  <c r="C27" i="1"/>
  <c r="B27" i="1"/>
  <c r="A27" i="1"/>
  <c r="C28" i="1"/>
  <c r="B28" i="1"/>
  <c r="A28" i="1"/>
  <c r="C29" i="1"/>
  <c r="B29" i="1"/>
  <c r="A29" i="1"/>
  <c r="C30" i="1"/>
  <c r="B30" i="1"/>
  <c r="A30" i="1"/>
  <c r="C31" i="1"/>
  <c r="B31" i="1"/>
  <c r="A31" i="1"/>
  <c r="C32" i="1"/>
  <c r="B32" i="1"/>
  <c r="A32" i="1"/>
  <c r="C33" i="1"/>
  <c r="B33" i="1"/>
  <c r="A33" i="1"/>
  <c r="C34" i="1"/>
  <c r="B34" i="1"/>
  <c r="A34" i="1"/>
  <c r="C35" i="1"/>
  <c r="B35" i="1"/>
  <c r="A35" i="1"/>
  <c r="C36" i="1"/>
  <c r="B36" i="1"/>
  <c r="A36" i="1"/>
  <c r="C37" i="1"/>
  <c r="B37" i="1"/>
  <c r="A37" i="1"/>
  <c r="C38" i="1"/>
  <c r="B38" i="1"/>
  <c r="A38" i="1"/>
  <c r="C39" i="1"/>
  <c r="B39" i="1"/>
  <c r="A39" i="1"/>
  <c r="C40" i="1"/>
  <c r="B40" i="1"/>
  <c r="A40" i="1"/>
  <c r="C41" i="1"/>
  <c r="B41" i="1"/>
  <c r="A41" i="1"/>
  <c r="C5" i="1"/>
  <c r="C9" i="1"/>
  <c r="G11" i="1"/>
  <c r="I11" i="1"/>
  <c r="K11" i="1"/>
  <c r="E11" i="1"/>
  <c r="C12" i="2"/>
  <c r="C11" i="2"/>
  <c r="C10" i="2"/>
  <c r="C8" i="2"/>
  <c r="C5" i="2"/>
  <c r="C4" i="2"/>
  <c r="C3" i="2"/>
  <c r="C2" i="2"/>
  <c r="C1" i="2"/>
  <c r="C6" i="2"/>
  <c r="C7" i="2"/>
  <c r="S2" i="5"/>
  <c r="K11" i="5"/>
  <c r="H11" i="5"/>
  <c r="E11" i="5"/>
  <c r="N11" i="5"/>
  <c r="H12" i="5"/>
  <c r="C9" i="5"/>
  <c r="A11" i="5"/>
  <c r="A12" i="5"/>
  <c r="G12" i="5"/>
  <c r="I12" i="5"/>
  <c r="K12" i="5"/>
  <c r="J12" i="5"/>
  <c r="L12" i="5"/>
  <c r="E12" i="5"/>
  <c r="N12" i="5"/>
  <c r="N13" i="5"/>
  <c r="E13" i="5"/>
  <c r="H13" i="5"/>
  <c r="B13" i="5"/>
  <c r="A13" i="5"/>
  <c r="G13" i="5"/>
  <c r="I13" i="5"/>
  <c r="K13" i="5"/>
  <c r="J13" i="5"/>
  <c r="L13" i="5"/>
  <c r="D12" i="5"/>
  <c r="M12" i="5"/>
  <c r="C60" i="9"/>
  <c r="D60" i="9"/>
  <c r="J75" i="9"/>
  <c r="J80" i="9"/>
  <c r="C80" i="9"/>
  <c r="H40" i="9"/>
  <c r="H80" i="9"/>
  <c r="E27" i="9"/>
  <c r="E40" i="9"/>
  <c r="E60" i="9"/>
  <c r="F60" i="9"/>
  <c r="K75" i="9"/>
  <c r="C40" i="9"/>
  <c r="C14" i="5"/>
  <c r="C9" i="2"/>
  <c r="E75" i="9"/>
  <c r="F75" i="9"/>
  <c r="K76" i="9"/>
  <c r="K80" i="9"/>
  <c r="D13" i="5"/>
  <c r="M13" i="5"/>
  <c r="O13" i="5"/>
  <c r="B14" i="5"/>
  <c r="C15" i="5"/>
  <c r="N14" i="5"/>
  <c r="E14" i="5"/>
  <c r="H14" i="5"/>
  <c r="K14" i="5"/>
  <c r="A14" i="5"/>
  <c r="J14" i="5"/>
  <c r="L14" i="5"/>
  <c r="E12" i="1"/>
  <c r="D12" i="1"/>
  <c r="F12" i="1"/>
  <c r="H12" i="1"/>
  <c r="G12" i="1"/>
  <c r="I12" i="1"/>
  <c r="K12" i="1"/>
  <c r="J12" i="1"/>
  <c r="L12" i="1"/>
  <c r="N12" i="1"/>
  <c r="M12" i="1"/>
  <c r="O12" i="1"/>
  <c r="E80" i="9"/>
  <c r="J76" i="9"/>
  <c r="C75" i="9"/>
  <c r="D75" i="9"/>
  <c r="E13" i="1"/>
  <c r="D13" i="1"/>
  <c r="F13" i="1"/>
  <c r="N13" i="1"/>
  <c r="M13" i="1"/>
  <c r="O13" i="1"/>
  <c r="H13" i="1"/>
  <c r="G13" i="1"/>
  <c r="I13" i="1"/>
  <c r="K13" i="1"/>
  <c r="B15" i="5"/>
  <c r="C16" i="5"/>
  <c r="K15" i="5"/>
  <c r="A15" i="5"/>
  <c r="J15" i="5"/>
  <c r="L15" i="5"/>
  <c r="H15" i="5"/>
  <c r="E15" i="5"/>
  <c r="N15" i="5"/>
  <c r="S13" i="5"/>
  <c r="J13" i="1"/>
  <c r="L13" i="1"/>
  <c r="S12" i="1"/>
  <c r="B16" i="5"/>
  <c r="C17" i="5"/>
  <c r="E16" i="5"/>
  <c r="K16" i="5"/>
  <c r="H16" i="5"/>
  <c r="N16" i="5"/>
  <c r="H14" i="1"/>
  <c r="E14" i="1"/>
  <c r="N14" i="1"/>
  <c r="K14" i="1"/>
  <c r="B17" i="5"/>
  <c r="C18" i="5"/>
  <c r="K17" i="5"/>
  <c r="H17" i="5"/>
  <c r="N17" i="5"/>
  <c r="E17" i="5"/>
  <c r="S13" i="1"/>
  <c r="H15" i="1"/>
  <c r="E15" i="1"/>
  <c r="K15" i="1"/>
  <c r="N15" i="1"/>
  <c r="M15" i="1"/>
  <c r="O15" i="1"/>
  <c r="A16" i="5"/>
  <c r="A17" i="5"/>
  <c r="E16" i="1"/>
  <c r="H16" i="1"/>
  <c r="N16" i="1"/>
  <c r="K16" i="1"/>
  <c r="B18" i="5"/>
  <c r="C19" i="5"/>
  <c r="N18" i="5"/>
  <c r="K18" i="5"/>
  <c r="H18" i="5"/>
  <c r="E18" i="5"/>
  <c r="A18" i="5"/>
  <c r="E17" i="1"/>
  <c r="H17" i="1"/>
  <c r="N17" i="1"/>
  <c r="K17" i="1"/>
  <c r="B19" i="5"/>
  <c r="C20" i="5"/>
  <c r="N19" i="5"/>
  <c r="A19" i="5"/>
  <c r="M19" i="5"/>
  <c r="O19" i="5"/>
  <c r="H19" i="5"/>
  <c r="G19" i="5"/>
  <c r="I19" i="5"/>
  <c r="K19" i="5"/>
  <c r="J19" i="5"/>
  <c r="L19" i="5"/>
  <c r="E19" i="5"/>
  <c r="D19" i="5"/>
  <c r="F19" i="5"/>
  <c r="B20" i="5"/>
  <c r="C21" i="5"/>
  <c r="N20" i="5"/>
  <c r="K20" i="5"/>
  <c r="A20" i="5"/>
  <c r="J20" i="5"/>
  <c r="L20" i="5"/>
  <c r="E20" i="5"/>
  <c r="H20" i="5"/>
  <c r="N18" i="1"/>
  <c r="M18" i="1"/>
  <c r="O18" i="1"/>
  <c r="E18" i="1"/>
  <c r="H18" i="1"/>
  <c r="K18" i="1"/>
  <c r="E19" i="1"/>
  <c r="D19" i="1"/>
  <c r="F19" i="1"/>
  <c r="N19" i="1"/>
  <c r="M19" i="1"/>
  <c r="O19" i="1"/>
  <c r="H19" i="1"/>
  <c r="G19" i="1"/>
  <c r="I19" i="1"/>
  <c r="K19" i="1"/>
  <c r="S19" i="5"/>
  <c r="M20" i="5"/>
  <c r="G20" i="5"/>
  <c r="D20" i="5"/>
  <c r="B21" i="5"/>
  <c r="C22" i="5"/>
  <c r="K21" i="5"/>
  <c r="A21" i="5"/>
  <c r="J21" i="5"/>
  <c r="L21" i="5"/>
  <c r="N21" i="5"/>
  <c r="H21" i="5"/>
  <c r="G21" i="5"/>
  <c r="I21" i="5"/>
  <c r="E21" i="5"/>
  <c r="K20" i="1"/>
  <c r="J20" i="1"/>
  <c r="L20" i="1"/>
  <c r="N20" i="1"/>
  <c r="M20" i="1"/>
  <c r="O20" i="1"/>
  <c r="E20" i="1"/>
  <c r="D20" i="1"/>
  <c r="F20" i="1"/>
  <c r="H20" i="1"/>
  <c r="B22" i="5"/>
  <c r="C23" i="5"/>
  <c r="N22" i="5"/>
  <c r="H22" i="5"/>
  <c r="K22" i="5"/>
  <c r="E22" i="5"/>
  <c r="S20" i="5"/>
  <c r="J19" i="1"/>
  <c r="L19" i="1"/>
  <c r="S19" i="1"/>
  <c r="B23" i="5"/>
  <c r="C24" i="5"/>
  <c r="N23" i="5"/>
  <c r="H23" i="5"/>
  <c r="E23" i="5"/>
  <c r="K23" i="5"/>
  <c r="H21" i="1"/>
  <c r="G21" i="1"/>
  <c r="I21" i="1"/>
  <c r="K21" i="1"/>
  <c r="E21" i="1"/>
  <c r="N21" i="1"/>
  <c r="A22" i="5"/>
  <c r="G20" i="1"/>
  <c r="S20" i="1"/>
  <c r="A23" i="5"/>
  <c r="N22" i="1"/>
  <c r="K22" i="1"/>
  <c r="H22" i="1"/>
  <c r="E22" i="1"/>
  <c r="D22" i="1"/>
  <c r="F22" i="1"/>
  <c r="B24" i="5"/>
  <c r="C25" i="5"/>
  <c r="K24" i="5"/>
  <c r="E24" i="5"/>
  <c r="N24" i="5"/>
  <c r="H24" i="5"/>
  <c r="A24" i="5"/>
  <c r="G24" i="5"/>
  <c r="I24" i="5"/>
  <c r="H23" i="1"/>
  <c r="E23" i="1"/>
  <c r="N23" i="1"/>
  <c r="K23" i="1"/>
  <c r="B25" i="5"/>
  <c r="C26" i="5"/>
  <c r="N25" i="5"/>
  <c r="E25" i="5"/>
  <c r="K25" i="5"/>
  <c r="A25" i="5"/>
  <c r="J25" i="5"/>
  <c r="L25" i="5"/>
  <c r="H25" i="5"/>
  <c r="K24" i="1"/>
  <c r="N24" i="1"/>
  <c r="M24" i="1"/>
  <c r="O24" i="1"/>
  <c r="E24" i="1"/>
  <c r="H24" i="1"/>
  <c r="G24" i="1"/>
  <c r="I24" i="1"/>
  <c r="B26" i="5"/>
  <c r="C27" i="5"/>
  <c r="N26" i="5"/>
  <c r="H26" i="5"/>
  <c r="A26" i="5"/>
  <c r="G26" i="5"/>
  <c r="I26" i="5"/>
  <c r="K26" i="5"/>
  <c r="J26" i="5"/>
  <c r="L26" i="5"/>
  <c r="E26" i="5"/>
  <c r="M26" i="5"/>
  <c r="D26" i="5"/>
  <c r="N25" i="1"/>
  <c r="M25" i="1"/>
  <c r="O25" i="1"/>
  <c r="K25" i="1"/>
  <c r="E25" i="1"/>
  <c r="H25" i="1"/>
  <c r="B27" i="5"/>
  <c r="C28" i="5"/>
  <c r="K27" i="5"/>
  <c r="H27" i="5"/>
  <c r="N27" i="5"/>
  <c r="E27" i="5"/>
  <c r="A27" i="5"/>
  <c r="M27" i="5"/>
  <c r="O27" i="5"/>
  <c r="J27" i="5"/>
  <c r="L27" i="5"/>
  <c r="D27" i="5"/>
  <c r="G27" i="5"/>
  <c r="I27" i="5"/>
  <c r="B28" i="5"/>
  <c r="C29" i="5"/>
  <c r="N28" i="5"/>
  <c r="K28" i="5"/>
  <c r="E28" i="5"/>
  <c r="H28" i="5"/>
  <c r="N26" i="1"/>
  <c r="M26" i="1"/>
  <c r="O26" i="1"/>
  <c r="K26" i="1"/>
  <c r="J26" i="1"/>
  <c r="L26" i="1"/>
  <c r="H26" i="1"/>
  <c r="E26" i="1"/>
  <c r="D26" i="1"/>
  <c r="F26" i="1"/>
  <c r="S26" i="5"/>
  <c r="G26" i="1"/>
  <c r="B29" i="5"/>
  <c r="C30" i="5"/>
  <c r="N29" i="5"/>
  <c r="K29" i="5"/>
  <c r="E29" i="5"/>
  <c r="H29" i="5"/>
  <c r="E27" i="1"/>
  <c r="D27" i="1"/>
  <c r="F27" i="1"/>
  <c r="H27" i="1"/>
  <c r="G27" i="1"/>
  <c r="I27" i="1"/>
  <c r="K27" i="1"/>
  <c r="J27" i="1"/>
  <c r="L27" i="1"/>
  <c r="N27" i="1"/>
  <c r="M27" i="1"/>
  <c r="O27" i="1"/>
  <c r="A28" i="5"/>
  <c r="S27" i="5"/>
  <c r="A29" i="5"/>
  <c r="K28" i="1"/>
  <c r="J28" i="1"/>
  <c r="L28" i="1"/>
  <c r="N28" i="1"/>
  <c r="M28" i="1"/>
  <c r="O28" i="1"/>
  <c r="E28" i="1"/>
  <c r="H28" i="1"/>
  <c r="G28" i="1"/>
  <c r="I28" i="1"/>
  <c r="B30" i="5"/>
  <c r="C31" i="5"/>
  <c r="N30" i="5"/>
  <c r="E30" i="5"/>
  <c r="K30" i="5"/>
  <c r="H30" i="5"/>
  <c r="S26" i="1"/>
  <c r="A30" i="5"/>
  <c r="S27" i="1"/>
  <c r="B31" i="5"/>
  <c r="C32" i="5"/>
  <c r="H31" i="5"/>
  <c r="E31" i="5"/>
  <c r="N31" i="5"/>
  <c r="K31" i="5"/>
  <c r="A31" i="5"/>
  <c r="J31" i="5"/>
  <c r="L31" i="5"/>
  <c r="E29" i="1"/>
  <c r="N29" i="1"/>
  <c r="M29" i="1"/>
  <c r="O29" i="1"/>
  <c r="H29" i="1"/>
  <c r="G29" i="1"/>
  <c r="I29" i="1"/>
  <c r="K29" i="1"/>
  <c r="J29" i="1"/>
  <c r="L29" i="1"/>
  <c r="H30" i="1"/>
  <c r="G30" i="1"/>
  <c r="I30" i="1"/>
  <c r="K30" i="1"/>
  <c r="J30" i="1"/>
  <c r="L30" i="1"/>
  <c r="N30" i="1"/>
  <c r="M30" i="1"/>
  <c r="O30" i="1"/>
  <c r="E30" i="1"/>
  <c r="B32" i="5"/>
  <c r="C33" i="5"/>
  <c r="E32" i="5"/>
  <c r="N32" i="5"/>
  <c r="H32" i="5"/>
  <c r="A32" i="5"/>
  <c r="G32" i="5"/>
  <c r="I32" i="5"/>
  <c r="K32" i="5"/>
  <c r="C34" i="5"/>
  <c r="B33" i="5"/>
  <c r="H33" i="5"/>
  <c r="A33" i="5"/>
  <c r="G33" i="5"/>
  <c r="I33" i="5"/>
  <c r="N33" i="5"/>
  <c r="K33" i="5"/>
  <c r="J33" i="5"/>
  <c r="L33" i="5"/>
  <c r="E33" i="5"/>
  <c r="D33" i="5"/>
  <c r="F33" i="5"/>
  <c r="E31" i="1"/>
  <c r="N31" i="1"/>
  <c r="M31" i="1"/>
  <c r="O31" i="1"/>
  <c r="H31" i="1"/>
  <c r="G31" i="1"/>
  <c r="I31" i="1"/>
  <c r="K31" i="1"/>
  <c r="K32" i="1"/>
  <c r="J32" i="1"/>
  <c r="L32" i="1"/>
  <c r="N32" i="1"/>
  <c r="M32" i="1"/>
  <c r="O32" i="1"/>
  <c r="E32" i="1"/>
  <c r="H32" i="1"/>
  <c r="G32" i="1"/>
  <c r="I32" i="1"/>
  <c r="M33" i="5"/>
  <c r="B34" i="5"/>
  <c r="C35" i="5"/>
  <c r="K34" i="5"/>
  <c r="A34" i="5"/>
  <c r="J34" i="5"/>
  <c r="L34" i="5"/>
  <c r="H34" i="5"/>
  <c r="G34" i="5"/>
  <c r="I34" i="5"/>
  <c r="N34" i="5"/>
  <c r="E34" i="5"/>
  <c r="N33" i="1"/>
  <c r="M33" i="1"/>
  <c r="O33" i="1"/>
  <c r="K33" i="1"/>
  <c r="J33" i="1"/>
  <c r="L33" i="1"/>
  <c r="E33" i="1"/>
  <c r="D33" i="1"/>
  <c r="F33" i="1"/>
  <c r="H33" i="1"/>
  <c r="G33" i="1"/>
  <c r="I33" i="1"/>
  <c r="D34" i="5"/>
  <c r="M34" i="5"/>
  <c r="B35" i="5"/>
  <c r="C36" i="5"/>
  <c r="H35" i="5"/>
  <c r="E35" i="5"/>
  <c r="K35" i="5"/>
  <c r="N35" i="5"/>
  <c r="S33" i="5"/>
  <c r="B36" i="5"/>
  <c r="C37" i="5"/>
  <c r="N36" i="5"/>
  <c r="K36" i="5"/>
  <c r="A35" i="5"/>
  <c r="A36" i="5"/>
  <c r="J36" i="5"/>
  <c r="L36" i="5"/>
  <c r="H36" i="5"/>
  <c r="G36" i="5"/>
  <c r="I36" i="5"/>
  <c r="E36" i="5"/>
  <c r="S34" i="5"/>
  <c r="N34" i="1"/>
  <c r="M34" i="1"/>
  <c r="O34" i="1"/>
  <c r="K34" i="1"/>
  <c r="J34" i="1"/>
  <c r="L34" i="1"/>
  <c r="H34" i="1"/>
  <c r="G34" i="1"/>
  <c r="I34" i="1"/>
  <c r="E34" i="1"/>
  <c r="S33" i="1"/>
  <c r="K35" i="1"/>
  <c r="J35" i="1"/>
  <c r="L35" i="1"/>
  <c r="N35" i="1"/>
  <c r="M35" i="1"/>
  <c r="O35" i="1"/>
  <c r="H35" i="1"/>
  <c r="G35" i="1"/>
  <c r="I35" i="1"/>
  <c r="E35" i="1"/>
  <c r="D34" i="1"/>
  <c r="C38" i="5"/>
  <c r="B37" i="5"/>
  <c r="N37" i="5"/>
  <c r="A37" i="5"/>
  <c r="M37" i="5"/>
  <c r="O37" i="5"/>
  <c r="E37" i="5"/>
  <c r="K37" i="5"/>
  <c r="J37" i="5"/>
  <c r="L37" i="5"/>
  <c r="H37" i="5"/>
  <c r="G37" i="5"/>
  <c r="I37" i="5"/>
  <c r="B38" i="5"/>
  <c r="C39" i="5"/>
  <c r="H38" i="5"/>
  <c r="A38" i="5"/>
  <c r="G38" i="5"/>
  <c r="I38" i="5"/>
  <c r="K38" i="5"/>
  <c r="E38" i="5"/>
  <c r="D38" i="5"/>
  <c r="F38" i="5"/>
  <c r="N38" i="5"/>
  <c r="S34" i="1"/>
  <c r="K36" i="1"/>
  <c r="J36" i="1"/>
  <c r="L36" i="1"/>
  <c r="N36" i="1"/>
  <c r="E36" i="1"/>
  <c r="H36" i="1"/>
  <c r="H37" i="1"/>
  <c r="G37" i="1"/>
  <c r="I37" i="1"/>
  <c r="K37" i="1"/>
  <c r="J37" i="1"/>
  <c r="L37" i="1"/>
  <c r="E37" i="1"/>
  <c r="D37" i="1"/>
  <c r="F37" i="1"/>
  <c r="N37" i="1"/>
  <c r="M37" i="1"/>
  <c r="O37" i="1"/>
  <c r="B39" i="5"/>
  <c r="C40" i="5"/>
  <c r="E39" i="5"/>
  <c r="K39" i="5"/>
  <c r="A39" i="5"/>
  <c r="J39" i="5"/>
  <c r="L39" i="5"/>
  <c r="N39" i="5"/>
  <c r="H39" i="5"/>
  <c r="N38" i="1"/>
  <c r="M38" i="1"/>
  <c r="O38" i="1"/>
  <c r="E38" i="1"/>
  <c r="D38" i="1"/>
  <c r="F38" i="1"/>
  <c r="K38" i="1"/>
  <c r="H38" i="1"/>
  <c r="G38" i="1"/>
  <c r="I38" i="1"/>
  <c r="B40" i="5"/>
  <c r="C41" i="5"/>
  <c r="H40" i="5"/>
  <c r="E40" i="5"/>
  <c r="K40" i="5"/>
  <c r="A40" i="5"/>
  <c r="J40" i="5"/>
  <c r="L40" i="5"/>
  <c r="N40" i="5"/>
  <c r="B41" i="5"/>
  <c r="H41" i="5"/>
  <c r="A41" i="5"/>
  <c r="G41" i="5"/>
  <c r="I41" i="5"/>
  <c r="N41" i="5"/>
  <c r="E41" i="5"/>
  <c r="K41" i="5"/>
  <c r="J41" i="5"/>
  <c r="L41" i="5"/>
  <c r="H39" i="1"/>
  <c r="G39" i="1"/>
  <c r="I39" i="1"/>
  <c r="E39" i="1"/>
  <c r="D39" i="1"/>
  <c r="F39" i="1"/>
  <c r="N39" i="1"/>
  <c r="K39" i="1"/>
  <c r="J39" i="1"/>
  <c r="L39" i="1"/>
  <c r="M40" i="5"/>
  <c r="G40" i="5"/>
  <c r="I40" i="5"/>
  <c r="D40" i="5"/>
  <c r="F40" i="5"/>
  <c r="S40" i="5"/>
  <c r="K40" i="1"/>
  <c r="J40" i="1"/>
  <c r="L40" i="1"/>
  <c r="H40" i="1"/>
  <c r="G40" i="1"/>
  <c r="I40" i="1"/>
  <c r="E40" i="1"/>
  <c r="D40" i="1"/>
  <c r="F40" i="1"/>
  <c r="N40" i="1"/>
  <c r="M40" i="1"/>
  <c r="O40" i="1"/>
  <c r="C5" i="5"/>
  <c r="D41" i="5"/>
  <c r="M41" i="5"/>
  <c r="S41" i="5"/>
  <c r="N41" i="1"/>
  <c r="M41" i="1"/>
  <c r="O41" i="1"/>
  <c r="K41" i="1"/>
  <c r="J41" i="1"/>
  <c r="L41" i="1"/>
  <c r="E41" i="1"/>
  <c r="H41" i="1"/>
  <c r="G41" i="1"/>
  <c r="I41" i="1"/>
  <c r="D41" i="1"/>
  <c r="S40" i="1"/>
  <c r="S41" i="1"/>
  <c r="W15" i="1"/>
  <c r="X15" i="1"/>
  <c r="M11" i="1"/>
  <c r="O11" i="1"/>
  <c r="J11" i="1"/>
  <c r="L11" i="1"/>
  <c r="D11" i="1"/>
  <c r="J14" i="1"/>
  <c r="L14" i="1"/>
  <c r="D14" i="1"/>
  <c r="M14" i="1"/>
  <c r="O14" i="1"/>
  <c r="G14" i="1"/>
  <c r="I14" i="1"/>
  <c r="G15" i="1"/>
  <c r="I15" i="1"/>
  <c r="J15" i="1"/>
  <c r="L15" i="1"/>
  <c r="D15" i="1"/>
  <c r="M16" i="1"/>
  <c r="O16" i="1"/>
  <c r="G16" i="1"/>
  <c r="I16" i="1"/>
  <c r="J16" i="1"/>
  <c r="L16" i="1"/>
  <c r="D16" i="1"/>
  <c r="D17" i="1"/>
  <c r="G17" i="1"/>
  <c r="I17" i="1"/>
  <c r="J17" i="1"/>
  <c r="L17" i="1"/>
  <c r="M17" i="1"/>
  <c r="O17" i="1"/>
  <c r="G18" i="1"/>
  <c r="I18" i="1"/>
  <c r="D18" i="1"/>
  <c r="J18" i="1"/>
  <c r="L18" i="1"/>
  <c r="J21" i="1"/>
  <c r="L21" i="1"/>
  <c r="M21" i="1"/>
  <c r="O21" i="1"/>
  <c r="D21" i="1"/>
  <c r="G22" i="1"/>
  <c r="I22" i="1"/>
  <c r="M22" i="1"/>
  <c r="O22" i="1"/>
  <c r="J22" i="1"/>
  <c r="L22" i="1"/>
  <c r="M23" i="1"/>
  <c r="O23" i="1"/>
  <c r="G23" i="1"/>
  <c r="I23" i="1"/>
  <c r="D23" i="1"/>
  <c r="J23" i="1"/>
  <c r="L23" i="1"/>
  <c r="J24" i="1"/>
  <c r="L24" i="1"/>
  <c r="D24" i="1"/>
  <c r="D25" i="1"/>
  <c r="G25" i="1"/>
  <c r="I25" i="1"/>
  <c r="J25" i="1"/>
  <c r="L25" i="1"/>
  <c r="D28" i="1"/>
  <c r="D29" i="1"/>
  <c r="D30" i="1"/>
  <c r="D31" i="1"/>
  <c r="J31" i="1"/>
  <c r="L31" i="1"/>
  <c r="D32" i="1"/>
  <c r="D35" i="1"/>
  <c r="M36" i="1"/>
  <c r="O36" i="1"/>
  <c r="G36" i="1"/>
  <c r="I36" i="1"/>
  <c r="D36" i="1"/>
  <c r="J38" i="1"/>
  <c r="M39" i="1"/>
  <c r="O39" i="1"/>
  <c r="D11" i="5"/>
  <c r="G11" i="5"/>
  <c r="J11" i="5"/>
  <c r="L11" i="5"/>
  <c r="M11" i="5"/>
  <c r="D14" i="5"/>
  <c r="M14" i="5"/>
  <c r="G14" i="5"/>
  <c r="M15" i="5"/>
  <c r="O15" i="5"/>
  <c r="D15" i="5"/>
  <c r="G15" i="5"/>
  <c r="I15" i="5"/>
  <c r="G16" i="5"/>
  <c r="I16" i="5"/>
  <c r="D16" i="5"/>
  <c r="J16" i="5"/>
  <c r="M16" i="5"/>
  <c r="S16" i="5"/>
  <c r="O16" i="5"/>
  <c r="L16" i="5"/>
  <c r="G17" i="5"/>
  <c r="I17" i="5"/>
  <c r="D17" i="5"/>
  <c r="M17" i="5"/>
  <c r="O17" i="5"/>
  <c r="J17" i="5"/>
  <c r="L17" i="5"/>
  <c r="G18" i="5"/>
  <c r="I18" i="5"/>
  <c r="D18" i="5"/>
  <c r="F18" i="5"/>
  <c r="J18" i="5"/>
  <c r="L18" i="5"/>
  <c r="M18" i="5"/>
  <c r="D21" i="5"/>
  <c r="M21" i="5"/>
  <c r="O21" i="5"/>
  <c r="D22" i="5"/>
  <c r="J22" i="5"/>
  <c r="L22" i="5"/>
  <c r="G22" i="5"/>
  <c r="I22" i="5"/>
  <c r="M22" i="5"/>
  <c r="O22" i="5"/>
  <c r="M23" i="5"/>
  <c r="O23" i="5"/>
  <c r="D23" i="5"/>
  <c r="F23" i="5"/>
  <c r="G23" i="5"/>
  <c r="I23" i="5"/>
  <c r="J23" i="5"/>
  <c r="L23" i="5"/>
  <c r="M24" i="5"/>
  <c r="J24" i="5"/>
  <c r="D24" i="5"/>
  <c r="F24" i="5"/>
  <c r="G25" i="5"/>
  <c r="I25" i="5"/>
  <c r="D25" i="5"/>
  <c r="M25" i="5"/>
  <c r="S25" i="5"/>
  <c r="M28" i="5"/>
  <c r="D28" i="5"/>
  <c r="G28" i="5"/>
  <c r="J28" i="5"/>
  <c r="S28" i="5"/>
  <c r="L28" i="5"/>
  <c r="I28" i="5"/>
  <c r="M29" i="5"/>
  <c r="D29" i="5"/>
  <c r="G29" i="5"/>
  <c r="J29" i="5"/>
  <c r="S29" i="5"/>
  <c r="I29" i="5"/>
  <c r="L29" i="5"/>
  <c r="D30" i="5"/>
  <c r="G30" i="5"/>
  <c r="J30" i="5"/>
  <c r="M30" i="5"/>
  <c r="S30" i="5"/>
  <c r="L30" i="5"/>
  <c r="I30" i="5"/>
  <c r="O30" i="5"/>
  <c r="M31" i="5"/>
  <c r="O31" i="5"/>
  <c r="G31" i="5"/>
  <c r="I31" i="5"/>
  <c r="D31" i="5"/>
  <c r="J32" i="5"/>
  <c r="M32" i="5"/>
  <c r="D32" i="5"/>
  <c r="S32" i="5"/>
  <c r="G35" i="5"/>
  <c r="I35" i="5"/>
  <c r="D35" i="5"/>
  <c r="J35" i="5"/>
  <c r="M35" i="5"/>
  <c r="S35" i="5"/>
  <c r="L35" i="5"/>
  <c r="D36" i="5"/>
  <c r="M36" i="5"/>
  <c r="O36" i="5"/>
  <c r="D37" i="5"/>
  <c r="J38" i="5"/>
  <c r="L38" i="5"/>
  <c r="M38" i="5"/>
  <c r="O38" i="5"/>
  <c r="M39" i="5"/>
  <c r="G39" i="5"/>
  <c r="I39" i="5"/>
  <c r="D39" i="5"/>
  <c r="S38" i="5"/>
  <c r="S37" i="5"/>
  <c r="F25" i="5"/>
  <c r="S24" i="5"/>
  <c r="S23" i="5"/>
  <c r="F21" i="5"/>
  <c r="S18" i="5"/>
  <c r="S17" i="5"/>
  <c r="F16" i="5"/>
  <c r="S38" i="1"/>
  <c r="F36" i="1"/>
  <c r="S36" i="1"/>
  <c r="S35" i="1"/>
  <c r="F29" i="1"/>
  <c r="S29" i="1"/>
  <c r="F28" i="1"/>
  <c r="S28" i="1"/>
  <c r="F24" i="1"/>
  <c r="S24" i="1"/>
  <c r="F18" i="1"/>
  <c r="S18" i="1"/>
  <c r="F16" i="1"/>
  <c r="S16" i="1"/>
  <c r="F15" i="1"/>
  <c r="S15" i="1"/>
  <c r="F14" i="1"/>
  <c r="S14" i="1"/>
  <c r="F11" i="1"/>
  <c r="S11" i="1"/>
  <c r="S39" i="5"/>
  <c r="F36" i="5"/>
  <c r="S31" i="5"/>
  <c r="S22" i="5"/>
  <c r="F22" i="5"/>
  <c r="S15" i="5"/>
  <c r="F14" i="5"/>
  <c r="F11" i="5"/>
  <c r="S11" i="5"/>
  <c r="S39" i="1"/>
  <c r="S37" i="1"/>
  <c r="F32" i="1"/>
  <c r="S32" i="1"/>
  <c r="S31" i="1"/>
  <c r="F31" i="1"/>
  <c r="F30" i="1"/>
  <c r="S30" i="1"/>
  <c r="F25" i="1"/>
  <c r="S25" i="1"/>
  <c r="F23" i="1"/>
  <c r="S23" i="1"/>
  <c r="S22" i="1"/>
  <c r="F21" i="1"/>
  <c r="S21" i="1"/>
  <c r="F17" i="1"/>
  <c r="S17" i="1"/>
  <c r="O39" i="5"/>
  <c r="F41" i="5"/>
  <c r="F12" i="5"/>
  <c r="T12" i="5"/>
  <c r="S12" i="5"/>
  <c r="U12" i="5"/>
  <c r="T26" i="5"/>
  <c r="U26" i="5"/>
  <c r="T21" i="1"/>
  <c r="U21" i="1"/>
  <c r="T20" i="5"/>
  <c r="U20" i="5"/>
  <c r="T15" i="5"/>
  <c r="S14" i="5"/>
  <c r="O40" i="5"/>
  <c r="O33" i="5"/>
  <c r="O32" i="5"/>
  <c r="O29" i="5"/>
  <c r="O28" i="5"/>
  <c r="O25" i="5"/>
  <c r="O18" i="5"/>
  <c r="O14" i="5"/>
  <c r="S36" i="5"/>
  <c r="S21" i="5"/>
  <c r="T39" i="1"/>
  <c r="U39" i="1"/>
  <c r="O41" i="5"/>
  <c r="O35" i="5"/>
  <c r="O34" i="5"/>
  <c r="O26" i="5"/>
  <c r="O24" i="5"/>
  <c r="O20" i="5"/>
  <c r="O12" i="5"/>
  <c r="O11" i="5"/>
  <c r="F30" i="5"/>
  <c r="U15" i="5"/>
  <c r="T41" i="1"/>
  <c r="U41" i="1"/>
  <c r="T41" i="5"/>
  <c r="U41" i="5"/>
  <c r="F39" i="5"/>
  <c r="T36" i="1"/>
  <c r="U36" i="1"/>
  <c r="T35" i="1"/>
  <c r="U35" i="1"/>
  <c r="T34" i="1"/>
  <c r="U34" i="1"/>
  <c r="F35" i="5"/>
  <c r="F32" i="5"/>
  <c r="F31" i="5"/>
  <c r="F27" i="5"/>
  <c r="T19" i="1"/>
  <c r="U19" i="1"/>
  <c r="F20" i="5"/>
  <c r="F17" i="5"/>
  <c r="F13" i="5"/>
  <c r="T40" i="5"/>
  <c r="U40" i="5"/>
  <c r="T31" i="1"/>
  <c r="U31" i="1"/>
  <c r="T17" i="5"/>
  <c r="U17" i="5"/>
  <c r="T14" i="1"/>
  <c r="U14" i="1"/>
  <c r="F26" i="5"/>
  <c r="T26" i="1"/>
  <c r="U26" i="1"/>
  <c r="T28" i="5"/>
  <c r="U28" i="5"/>
  <c r="T22" i="5"/>
  <c r="U22" i="5"/>
  <c r="I20" i="5"/>
  <c r="T18" i="1"/>
  <c r="U18" i="1"/>
  <c r="T12" i="1"/>
  <c r="U12" i="1"/>
  <c r="T11" i="1"/>
  <c r="U11" i="1"/>
  <c r="T17" i="1"/>
  <c r="U17" i="1"/>
  <c r="F15" i="5"/>
  <c r="F28" i="5"/>
  <c r="T39" i="5"/>
  <c r="U39" i="5"/>
  <c r="T33" i="1"/>
  <c r="U33" i="1"/>
  <c r="T32" i="1"/>
  <c r="U32" i="1"/>
  <c r="T30" i="1"/>
  <c r="U30" i="1"/>
  <c r="T30" i="5"/>
  <c r="U30" i="5"/>
  <c r="T28" i="1"/>
  <c r="U28" i="1"/>
  <c r="T25" i="1"/>
  <c r="U25" i="1"/>
  <c r="T22" i="1"/>
  <c r="U22" i="1"/>
  <c r="T18" i="5"/>
  <c r="U18" i="5"/>
  <c r="T14" i="5"/>
  <c r="U14" i="5"/>
  <c r="T13" i="5"/>
  <c r="U13" i="5"/>
  <c r="T40" i="1"/>
  <c r="U40" i="1"/>
  <c r="T37" i="5"/>
  <c r="U37" i="5"/>
  <c r="T29" i="5"/>
  <c r="U29" i="5"/>
  <c r="F29" i="5"/>
  <c r="F35" i="1"/>
  <c r="F37" i="5"/>
  <c r="I14" i="5"/>
  <c r="T38" i="1"/>
  <c r="U38" i="1"/>
  <c r="L38" i="1"/>
  <c r="T34" i="5"/>
  <c r="U34" i="5"/>
  <c r="F34" i="5"/>
  <c r="T32" i="5"/>
  <c r="U32" i="5"/>
  <c r="L32" i="5"/>
  <c r="T23" i="1"/>
  <c r="U23" i="1"/>
  <c r="T24" i="5"/>
  <c r="U24" i="5"/>
  <c r="L24" i="5"/>
  <c r="T20" i="1"/>
  <c r="U20" i="1"/>
  <c r="I20" i="1"/>
  <c r="T16" i="1"/>
  <c r="U16" i="1"/>
  <c r="T15" i="1"/>
  <c r="U15" i="1"/>
  <c r="T16" i="5"/>
  <c r="U16" i="5"/>
  <c r="T13" i="1"/>
  <c r="U13" i="1"/>
  <c r="T11" i="5"/>
  <c r="U11" i="5"/>
  <c r="I11" i="5"/>
  <c r="T37" i="1"/>
  <c r="U37" i="1"/>
  <c r="T38" i="5"/>
  <c r="U38" i="5"/>
  <c r="T36" i="5"/>
  <c r="U36" i="5"/>
  <c r="T35" i="5"/>
  <c r="U35" i="5"/>
  <c r="T33" i="5"/>
  <c r="U33" i="5"/>
  <c r="T29" i="1"/>
  <c r="U29" i="1"/>
  <c r="T31" i="5"/>
  <c r="U31" i="5"/>
  <c r="T27" i="1"/>
  <c r="U27" i="1"/>
  <c r="T27" i="5"/>
  <c r="U27" i="5"/>
  <c r="T24" i="1"/>
  <c r="U24" i="1"/>
  <c r="T25" i="5"/>
  <c r="U25" i="5"/>
  <c r="T23" i="5"/>
  <c r="U23" i="5"/>
  <c r="T21" i="5"/>
  <c r="U21" i="5"/>
  <c r="T19" i="5"/>
  <c r="U19" i="5"/>
  <c r="F41" i="1"/>
  <c r="F34" i="1"/>
  <c r="I26" i="1"/>
</calcChain>
</file>

<file path=xl/sharedStrings.xml><?xml version="1.0" encoding="utf-8"?>
<sst xmlns="http://schemas.openxmlformats.org/spreadsheetml/2006/main" count="345" uniqueCount="177">
  <si>
    <t>Premier de l'an</t>
  </si>
  <si>
    <t>1er mai fete du travail</t>
  </si>
  <si>
    <t>dimanche de paques</t>
  </si>
  <si>
    <t>lundi de paques 1 jour apres</t>
  </si>
  <si>
    <t>ascencion 39 jour apres paques</t>
  </si>
  <si>
    <t>lundi de pentecote 50 jours apres paques</t>
  </si>
  <si>
    <t>15 aout assomption</t>
  </si>
  <si>
    <t>1er novembre toussaint</t>
  </si>
  <si>
    <t>25 decembre noel</t>
  </si>
  <si>
    <t>Année</t>
  </si>
  <si>
    <t>Mois</t>
  </si>
  <si>
    <t>NOMBRE DE JOURS</t>
  </si>
  <si>
    <t>OBJECTIF</t>
  </si>
  <si>
    <t>REALISATION</t>
  </si>
  <si>
    <t>OBJECTIF Hors Cess</t>
  </si>
  <si>
    <t>REALISATION Hors Cessions</t>
  </si>
  <si>
    <t>OBJ/JOUR</t>
  </si>
  <si>
    <t>REAL.</t>
  </si>
  <si>
    <t>% DE REAL.</t>
  </si>
  <si>
    <t>Avancement</t>
  </si>
  <si>
    <t>CA NET</t>
  </si>
  <si>
    <t>BOURG</t>
  </si>
  <si>
    <t>CUMUL FIN M-1</t>
  </si>
  <si>
    <t>BUDGET MENSUEL</t>
  </si>
  <si>
    <t>REALISE 2008</t>
  </si>
  <si>
    <t>BUDGET 2009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</si>
  <si>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</si>
  <si>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</si>
  <si>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</si>
  <si>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</si>
  <si>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</si>
  <si>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</si>
  <si>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</si>
  <si>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</si>
  <si>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</si>
  <si>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</si>
  <si>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</si>
  <si>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</si>
  <si>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Cumul annuel</t>
  </si>
  <si>
    <t>En K€</t>
  </si>
  <si>
    <t>Ratio</t>
  </si>
  <si>
    <t>VN</t>
  </si>
  <si>
    <t>Volume</t>
  </si>
  <si>
    <t>A la VN</t>
  </si>
  <si>
    <t>Ventes clients</t>
  </si>
  <si>
    <t>Coût d'APhats</t>
  </si>
  <si>
    <t>Coût de préparation</t>
  </si>
  <si>
    <t>Forfait prépa</t>
  </si>
  <si>
    <t>Marge commerciale</t>
  </si>
  <si>
    <t>Remises aidées</t>
  </si>
  <si>
    <t>dont remises brutes</t>
  </si>
  <si>
    <t>Aides Flottes et loueurs</t>
  </si>
  <si>
    <t>Aides Promotions client final</t>
  </si>
  <si>
    <t>Marge commerciale nette</t>
  </si>
  <si>
    <t>IPC</t>
  </si>
  <si>
    <t>Prime GRC</t>
  </si>
  <si>
    <t>Aides commerciales</t>
  </si>
  <si>
    <t>Aides marketing</t>
  </si>
  <si>
    <t>Autres produits sur APtivité</t>
  </si>
  <si>
    <t>Commissions de transformation</t>
  </si>
  <si>
    <t>Commissions contrats services</t>
  </si>
  <si>
    <t>Financement</t>
  </si>
  <si>
    <t>Prime Qualité</t>
  </si>
  <si>
    <t>Marge variAOle</t>
  </si>
  <si>
    <t>Salaires ventes</t>
  </si>
  <si>
    <t>Publicité</t>
  </si>
  <si>
    <t>Dépré VN</t>
  </si>
  <si>
    <t>Autres frais de fonctionnement</t>
  </si>
  <si>
    <t>Commissions apporteurs ASf</t>
  </si>
  <si>
    <t>Commissions intermédiaires</t>
  </si>
  <si>
    <t>Frais commerciaux</t>
  </si>
  <si>
    <t xml:space="preserve">  Dt Autres frais de personnel</t>
  </si>
  <si>
    <t xml:space="preserve">  Dt Frais de véhicules</t>
  </si>
  <si>
    <t xml:space="preserve">  Dt Frais sur essais véhicules</t>
  </si>
  <si>
    <t xml:space="preserve">  Dt Divers</t>
  </si>
  <si>
    <t>Autres prod et ch sauf dépré</t>
  </si>
  <si>
    <t>MBA</t>
  </si>
  <si>
    <t>% remise aidée</t>
  </si>
  <si>
    <t>VO</t>
  </si>
  <si>
    <t>Volume Part</t>
  </si>
  <si>
    <t>Volume March</t>
  </si>
  <si>
    <t>TOTAL Volume</t>
  </si>
  <si>
    <t>A la VO</t>
  </si>
  <si>
    <t>Coût des APhats</t>
  </si>
  <si>
    <t>Marge Nette avant FRE</t>
  </si>
  <si>
    <t>FRE</t>
  </si>
  <si>
    <t>KMSUP</t>
  </si>
  <si>
    <t>Préparation - convoyATe</t>
  </si>
  <si>
    <t>Aides conjocturelles</t>
  </si>
  <si>
    <t>Autres aides commerciales</t>
  </si>
  <si>
    <t>Aides SVO</t>
  </si>
  <si>
    <t>Prime qualité</t>
  </si>
  <si>
    <t>Marge concessionnaire</t>
  </si>
  <si>
    <t>Dépréciation</t>
  </si>
  <si>
    <t>Offre commerciale client</t>
  </si>
  <si>
    <t>Garantie Réassurée</t>
  </si>
  <si>
    <t>Garantie VO</t>
  </si>
  <si>
    <t xml:space="preserve">  Dt autres frais de personnel</t>
  </si>
  <si>
    <t>MBA / VO p</t>
  </si>
  <si>
    <t>Marge ciale Part/VOP nette du coût prép</t>
  </si>
  <si>
    <t>Marge ciale Rev/VOM</t>
  </si>
  <si>
    <t>MBA VN/VO</t>
  </si>
  <si>
    <t>APV</t>
  </si>
  <si>
    <t>HEC</t>
  </si>
  <si>
    <t>Heures HEC</t>
  </si>
  <si>
    <t>Ventes clients tarifs</t>
  </si>
  <si>
    <t>Cessions internes</t>
  </si>
  <si>
    <t>Total Produits au prix tarif</t>
  </si>
  <si>
    <t>Produits sur APtivité</t>
  </si>
  <si>
    <t>Marge réparateur</t>
  </si>
  <si>
    <t>Remises clients</t>
  </si>
  <si>
    <t>Commissions &amp; concessions</t>
  </si>
  <si>
    <t>Coût encAQrement</t>
  </si>
  <si>
    <t>Remises cessions</t>
  </si>
  <si>
    <t xml:space="preserve">  Dt outillATe, vêtements de travail</t>
  </si>
  <si>
    <t xml:space="preserve">  Dt Fournitures</t>
  </si>
  <si>
    <t>Autres produits et charges</t>
  </si>
  <si>
    <t>Panier moyen</t>
  </si>
  <si>
    <t>PR</t>
  </si>
  <si>
    <t>Ventes clients tarif</t>
  </si>
  <si>
    <t>Distributeurs</t>
  </si>
  <si>
    <t>ATents</t>
  </si>
  <si>
    <t>MRA</t>
  </si>
  <si>
    <t>Ventes internes</t>
  </si>
  <si>
    <t>Ventes à l'APV</t>
  </si>
  <si>
    <t>Total produits au prix tarif</t>
  </si>
  <si>
    <t>Rappel de fin d'année</t>
  </si>
  <si>
    <t>Marge distributeur</t>
  </si>
  <si>
    <t>Remises cessions hors APV</t>
  </si>
  <si>
    <t>Remises cessions APV</t>
  </si>
  <si>
    <t>Rappels + Publicité</t>
  </si>
  <si>
    <t>dont rappel professionniels</t>
  </si>
  <si>
    <t>dont rappel autres</t>
  </si>
  <si>
    <t>Personnel commercial</t>
  </si>
  <si>
    <t>Frais de livraison PR</t>
  </si>
  <si>
    <t>Offres Promotionnelles</t>
  </si>
  <si>
    <t>Concessions commerciales</t>
  </si>
  <si>
    <t>Autres frais de personnel</t>
  </si>
  <si>
    <t>Frais de véhicules</t>
  </si>
  <si>
    <t>Divers</t>
  </si>
  <si>
    <t>PPR</t>
  </si>
  <si>
    <t>Total produits( clients+cessions)</t>
  </si>
  <si>
    <t>Marge loueur</t>
  </si>
  <si>
    <t>MBA DES APTIVITES</t>
  </si>
  <si>
    <t>SG</t>
  </si>
  <si>
    <t>Structure communs</t>
  </si>
  <si>
    <t>Frais de Groupe</t>
  </si>
  <si>
    <t>Frais financiers</t>
  </si>
  <si>
    <t>RESULTAT DE GESTION</t>
  </si>
  <si>
    <t>Exceptionnel</t>
  </si>
  <si>
    <t>RESULTAT ECONOMIQUE</t>
  </si>
  <si>
    <t>APcord intéressement</t>
  </si>
  <si>
    <t>RESULTAT NET</t>
  </si>
  <si>
    <t>C.A. Net</t>
  </si>
  <si>
    <t>Résultat en % CA Net</t>
  </si>
  <si>
    <t>TOTAL</t>
  </si>
  <si>
    <t>meca</t>
  </si>
  <si>
    <t>dep</t>
  </si>
  <si>
    <t>carrosse</t>
  </si>
  <si>
    <t>rapide</t>
  </si>
  <si>
    <t>CA</t>
  </si>
  <si>
    <t>Aout</t>
  </si>
  <si>
    <t>Jour</t>
  </si>
  <si>
    <t>JJ</t>
  </si>
  <si>
    <t>MM</t>
  </si>
  <si>
    <t>AAAA</t>
  </si>
  <si>
    <t>CA MOIS</t>
  </si>
  <si>
    <t>HEC MOIS</t>
  </si>
  <si>
    <t>Objectif</t>
  </si>
  <si>
    <t>R_alis_</t>
  </si>
  <si>
    <t>A</t>
  </si>
  <si>
    <t>B</t>
  </si>
  <si>
    <t>C</t>
  </si>
  <si>
    <t>D</t>
  </si>
  <si>
    <t>E</t>
  </si>
  <si>
    <t>FACT</t>
  </si>
  <si>
    <t>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</si>
</sst>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3" formatCode="_-* #,##0.00\ _€_-;\-* #,##0.00\ _€_-;_-* &quot;-&quot;??\ _€_-;_-@_-"/>
    <numFmt numFmtId="164" formatCode="dd"/>
    <numFmt numFmtId="165" formatCode="mmmm"/>
    <numFmt numFmtId="166" formatCode="[$-F800]dddd\,\ mmmm\ dd\,\ yyyy"/>
    <numFmt numFmtId="167" formatCode="dddd"/>
    <numFmt numFmtId="168" formatCode="#,##0\ [$€-1]"/>
    <numFmt numFmtId="169" formatCode="0.0%"/>
    <numFmt numFmtId="170" formatCode="_-* #,##0.00\ [$€-1]_-;\-* #,##0.00\ [$€-1]_-;_-* &quot;-&quot;??\ [$€-1]_-"/>
    <numFmt numFmtId="171" formatCode="General_)"/>
  </numFmts>
  <fonts count="2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name val="Arial"/>
      <family val="2"/>
    </font>
    <font>
      <b/>
      <i/>
      <sz val="22"/>
      <name val="Times New Roman"/>
      <family val="1"/>
    </font>
    <font>
      <b/>
      <sz val="12"/>
      <name val="Times New Roman"/>
      <family val="1"/>
    </font>
    <font>
      <b/>
      <sz val="16"/>
      <name val="Times New Roman"/>
      <family val="1"/>
    </font>
    <font>
      <b/>
      <sz val="20"/>
      <name val="Times New Roman"/>
      <family val="1"/>
    </font>
    <font>
      <b/>
      <sz val="10"/>
      <name val="Times New Roman"/>
      <family val="1"/>
    </font>
    <font>
      <sz val="10"/>
      <name val="Times New Roman"/>
      <family val="1"/>
    </font>
    <font>
      <b/>
      <sz val="14"/>
      <name val="Times New Roman"/>
      <family val="1"/>
    </font>
    <font>
      <sz val="12"/>
      <name val="Times New Roman"/>
      <family val="1"/>
    </font>
    <font>
      <sz val="14"/>
      <name val="Times New Roman"/>
      <family val="1"/>
    </font>
    <font>
      <b/>
      <sz val="9"/>
      <name val="Times New Roman"/>
      <family val="1"/>
    </font>
    <font>
      <sz val="10"/>
      <color theme="1"/>
      <name val="Calibri"/>
      <family val="2"/>
      <scheme val="minor"/>
    </font>
    <font>
      <b/>
      <i/>
      <sz val="14"/>
      <name val="Times New Roman"/>
      <family val="1"/>
    </font>
    <font>
      <sz val="11"/>
      <color theme="1"/>
      <name val="Calibri"/>
      <family val="2"/>
      <scheme val="minor"/>
    </font>
    <font>
      <i/>
      <sz val="12"/>
      <name val="Times New Roman"/>
      <family val="1"/>
    </font>
    <font>
      <sz val="11"/>
      <name val="Times New Roman"/>
      <family val="1"/>
    </font>
    <font>
      <sz val="10"/>
      <name val="Arial"/>
      <family val="2"/>
    </font>
    <font>
      <sz val="11"/>
      <color indexed="8"/>
      <name val="Calibri"/>
      <family val="2"/>
    </font>
    <font>
      <b/>
      <sz val="10"/>
      <name val="Arial"/>
      <family val="2"/>
    </font>
    <font>
      <b/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theme="1"/>
      <name val="Courier New"/>
      <family val="3"/>
    </font>
  </fonts>
  <fills count="2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0"/>
        <bgColor indexed="64"/>
      </patternFill>
    </fill>
  </fills>
  <borders count="10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dotted">
        <color auto="1"/>
      </right>
      <top style="thin">
        <color auto="1"/>
      </top>
      <bottom/>
      <diagonal/>
    </border>
    <border>
      <left style="medium">
        <color auto="1"/>
      </left>
      <right style="dotted">
        <color auto="1"/>
      </right>
      <top/>
      <bottom/>
      <diagonal/>
    </border>
    <border>
      <left style="dotted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 style="dotted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dotted">
        <color auto="1"/>
      </left>
      <right/>
      <top style="thin">
        <color auto="1"/>
      </top>
      <bottom/>
      <diagonal/>
    </border>
    <border>
      <left style="dotted">
        <color auto="1"/>
      </left>
      <right/>
      <top/>
      <bottom/>
      <diagonal/>
    </border>
    <border>
      <left style="dotted">
        <color auto="1"/>
      </left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dotted">
        <color auto="1"/>
      </right>
      <top style="thin">
        <color auto="1"/>
      </top>
      <bottom/>
      <diagonal/>
    </border>
    <border>
      <left style="thin">
        <color auto="1"/>
      </left>
      <right style="dotted">
        <color auto="1"/>
      </right>
      <top/>
      <bottom style="thin">
        <color auto="1"/>
      </bottom>
      <diagonal/>
    </border>
    <border>
      <left style="thin">
        <color auto="1"/>
      </left>
      <right style="dotted">
        <color auto="1"/>
      </right>
      <top/>
      <bottom/>
      <diagonal/>
    </border>
    <border>
      <left style="thin">
        <color auto="1"/>
      </left>
      <right style="dotted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dotted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dotted">
        <color auto="1"/>
      </right>
      <top/>
      <bottom style="medium">
        <color auto="1"/>
      </bottom>
      <diagonal/>
    </border>
    <border>
      <left style="dotted">
        <color auto="1"/>
      </left>
      <right style="medium">
        <color auto="1"/>
      </right>
      <top/>
      <bottom style="medium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hair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hair">
        <color auto="1"/>
      </left>
      <right/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ashed">
        <color auto="1"/>
      </bottom>
      <diagonal/>
    </border>
    <border>
      <left style="double">
        <color auto="1"/>
      </left>
      <right/>
      <top/>
      <bottom/>
      <diagonal/>
    </border>
    <border>
      <left style="hair">
        <color auto="1"/>
      </left>
      <right style="double">
        <color auto="1"/>
      </right>
      <top style="double">
        <color auto="1"/>
      </top>
      <bottom style="dashed">
        <color auto="1"/>
      </bottom>
      <diagonal/>
    </border>
    <border>
      <left style="hair">
        <color auto="1"/>
      </left>
      <right/>
      <top style="double">
        <color auto="1"/>
      </top>
      <bottom style="dashed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ashed">
        <color auto="1"/>
      </bottom>
      <diagonal/>
    </border>
    <border>
      <left style="hair">
        <color auto="1"/>
      </left>
      <right style="double">
        <color auto="1"/>
      </right>
      <top/>
      <bottom/>
      <diagonal/>
    </border>
    <border>
      <left style="hair">
        <color auto="1"/>
      </left>
      <right/>
      <top/>
      <bottom/>
      <diagonal/>
    </border>
    <border>
      <left style="double">
        <color auto="1"/>
      </left>
      <right style="double">
        <color auto="1"/>
      </right>
      <top/>
      <bottom/>
      <diagonal/>
    </border>
    <border>
      <left style="double">
        <color auto="1"/>
      </left>
      <right/>
      <top style="dashed">
        <color auto="1"/>
      </top>
      <bottom style="double">
        <color auto="1"/>
      </bottom>
      <diagonal/>
    </border>
    <border>
      <left style="hair">
        <color auto="1"/>
      </left>
      <right style="double">
        <color auto="1"/>
      </right>
      <top style="dashed">
        <color auto="1"/>
      </top>
      <bottom style="double">
        <color auto="1"/>
      </bottom>
      <diagonal/>
    </border>
    <border>
      <left style="hair">
        <color auto="1"/>
      </left>
      <right/>
      <top style="dashed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ashed">
        <color auto="1"/>
      </top>
      <bottom style="double">
        <color auto="1"/>
      </bottom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 style="double">
        <color auto="1"/>
      </left>
      <right style="hair">
        <color auto="1"/>
      </right>
      <top style="double">
        <color auto="1"/>
      </top>
      <bottom/>
      <diagonal/>
    </border>
    <border>
      <left style="hair">
        <color auto="1"/>
      </left>
      <right style="double">
        <color auto="1"/>
      </right>
      <top style="double">
        <color auto="1"/>
      </top>
      <bottom/>
      <diagonal/>
    </border>
    <border>
      <left style="hair">
        <color auto="1"/>
      </left>
      <right/>
      <top style="double">
        <color auto="1"/>
      </top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hair">
        <color auto="1"/>
      </right>
      <top/>
      <bottom/>
      <diagonal/>
    </border>
    <border>
      <left style="double">
        <color auto="1"/>
      </left>
      <right/>
      <top style="dashed">
        <color auto="1"/>
      </top>
      <bottom style="dashed">
        <color auto="1"/>
      </bottom>
      <diagonal/>
    </border>
    <border>
      <left style="double">
        <color auto="1"/>
      </left>
      <right style="hair">
        <color auto="1"/>
      </right>
      <top style="dashed">
        <color auto="1"/>
      </top>
      <bottom style="dashed">
        <color auto="1"/>
      </bottom>
      <diagonal/>
    </border>
    <border>
      <left style="hair">
        <color auto="1"/>
      </left>
      <right style="double">
        <color auto="1"/>
      </right>
      <top style="dashed">
        <color auto="1"/>
      </top>
      <bottom style="dashed">
        <color auto="1"/>
      </bottom>
      <diagonal/>
    </border>
    <border>
      <left style="hair">
        <color auto="1"/>
      </left>
      <right/>
      <top style="dashed">
        <color auto="1"/>
      </top>
      <bottom style="dashed">
        <color auto="1"/>
      </bottom>
      <diagonal/>
    </border>
    <border>
      <left style="double">
        <color auto="1"/>
      </left>
      <right style="double">
        <color auto="1"/>
      </right>
      <top style="dashed">
        <color auto="1"/>
      </top>
      <bottom style="dashed">
        <color auto="1"/>
      </bottom>
      <diagonal/>
    </border>
    <border>
      <left style="hair">
        <color auto="1"/>
      </left>
      <right style="double">
        <color auto="1"/>
      </right>
      <top style="dashed">
        <color auto="1"/>
      </top>
      <bottom/>
      <diagonal/>
    </border>
    <border>
      <left style="hair">
        <color auto="1"/>
      </left>
      <right/>
      <top style="dashed">
        <color auto="1"/>
      </top>
      <bottom/>
      <diagonal/>
    </border>
    <border>
      <left style="double">
        <color auto="1"/>
      </left>
      <right style="hair">
        <color auto="1"/>
      </right>
      <top style="dashed">
        <color auto="1"/>
      </top>
      <bottom style="double">
        <color auto="1"/>
      </bottom>
      <diagonal/>
    </border>
    <border>
      <left style="double">
        <color auto="1"/>
      </left>
      <right/>
      <top style="dashed">
        <color auto="1"/>
      </top>
      <bottom/>
      <diagonal/>
    </border>
    <border>
      <left style="double">
        <color auto="1"/>
      </left>
      <right style="hair">
        <color auto="1"/>
      </right>
      <top style="double">
        <color auto="1"/>
      </top>
      <bottom style="dashed">
        <color auto="1"/>
      </bottom>
      <diagonal/>
    </border>
    <border>
      <left style="double">
        <color auto="1"/>
      </left>
      <right style="hair">
        <color auto="1"/>
      </right>
      <top style="dashed">
        <color auto="1"/>
      </top>
      <bottom/>
      <diagonal/>
    </border>
    <border>
      <left style="double">
        <color auto="1"/>
      </left>
      <right style="double">
        <color auto="1"/>
      </right>
      <top style="dashed">
        <color auto="1"/>
      </top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 style="hair">
        <color auto="1"/>
      </right>
      <top/>
      <bottom style="double">
        <color auto="1"/>
      </bottom>
      <diagonal/>
    </border>
    <border>
      <left style="hair">
        <color auto="1"/>
      </left>
      <right style="double">
        <color auto="1"/>
      </right>
      <top/>
      <bottom style="double">
        <color auto="1"/>
      </bottom>
      <diagonal/>
    </border>
    <border>
      <left style="hair">
        <color auto="1"/>
      </left>
      <right/>
      <top/>
      <bottom style="double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dotted">
        <color auto="1"/>
      </left>
      <right/>
      <top/>
      <bottom style="medium">
        <color auto="1"/>
      </bottom>
      <diagonal/>
    </border>
  </borders>
  <cellStyleXfs count="69">
    <xf numFmtId="0" fontId="0" fillId="0" borderId="0"/>
    <xf numFmtId="9" fontId="16" fillId="0" borderId="0" applyFont="0" applyFill="0" applyBorder="0" applyAlignment="0" applyProtection="0"/>
    <xf numFmtId="0" fontId="3" fillId="0" borderId="0"/>
    <xf numFmtId="9" fontId="3" fillId="0" borderId="0" applyFont="0" applyFill="0" applyBorder="0" applyAlignment="0" applyProtection="0"/>
    <xf numFmtId="170" fontId="9" fillId="0" borderId="0" applyFont="0" applyFill="0" applyBorder="0" applyAlignment="0" applyProtection="0"/>
    <xf numFmtId="9" fontId="3" fillId="0" borderId="0" applyFont="0" applyFill="0" applyBorder="0" applyAlignment="0" applyProtection="0"/>
    <xf numFmtId="171" fontId="3" fillId="0" borderId="0">
      <alignment vertical="center"/>
    </xf>
    <xf numFmtId="171" fontId="3" fillId="0" borderId="0">
      <alignment vertical="center"/>
    </xf>
    <xf numFmtId="0" fontId="19" fillId="0" borderId="0"/>
    <xf numFmtId="0" fontId="3" fillId="0" borderId="0" applyFont="0" applyFill="0" applyBorder="0" applyAlignment="0" applyProtection="0"/>
    <xf numFmtId="43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3" fillId="0" borderId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</cellStyleXfs>
  <cellXfs count="338">
    <xf numFmtId="0" fontId="0" fillId="0" borderId="0" xfId="0"/>
    <xf numFmtId="0" fontId="2" fillId="0" borderId="0" xfId="0" applyFont="1"/>
    <xf numFmtId="0" fontId="0" fillId="0" borderId="0" xfId="0" applyAlignment="1">
      <alignment horizontal="center" vertical="center"/>
    </xf>
    <xf numFmtId="0" fontId="3" fillId="3" borderId="1" xfId="0" applyFont="1" applyFill="1" applyBorder="1" applyAlignment="1">
      <alignment horizontal="left"/>
    </xf>
    <xf numFmtId="16" fontId="3" fillId="4" borderId="1" xfId="0" applyNumberFormat="1" applyFont="1" applyFill="1" applyBorder="1" applyAlignment="1">
      <alignment horizontal="left"/>
    </xf>
    <xf numFmtId="0" fontId="3" fillId="4" borderId="1" xfId="0" applyFont="1" applyFill="1" applyBorder="1" applyAlignment="1">
      <alignment horizontal="left"/>
    </xf>
    <xf numFmtId="0" fontId="3" fillId="4" borderId="2" xfId="0" applyFont="1" applyFill="1" applyBorder="1" applyAlignment="1">
      <alignment horizontal="left"/>
    </xf>
    <xf numFmtId="0" fontId="3" fillId="4" borderId="3" xfId="0" applyFont="1" applyFill="1" applyBorder="1" applyAlignment="1">
      <alignment horizontal="left"/>
    </xf>
    <xf numFmtId="166" fontId="0" fillId="2" borderId="0" xfId="0" applyNumberFormat="1" applyFill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7" fontId="0" fillId="0" borderId="0" xfId="0" applyNumberFormat="1"/>
    <xf numFmtId="49" fontId="5" fillId="0" borderId="5" xfId="0" applyNumberFormat="1" applyFont="1" applyBorder="1" applyAlignment="1">
      <alignment horizontal="center" vertical="center" wrapText="1"/>
    </xf>
    <xf numFmtId="49" fontId="5" fillId="0" borderId="8" xfId="0" applyNumberFormat="1" applyFont="1" applyBorder="1" applyAlignment="1">
      <alignment horizontal="center" vertical="center" wrapText="1"/>
    </xf>
    <xf numFmtId="167" fontId="2" fillId="0" borderId="13" xfId="0" applyNumberFormat="1" applyFont="1" applyBorder="1" applyAlignment="1">
      <alignment horizontal="center" vertical="center"/>
    </xf>
    <xf numFmtId="167" fontId="2" fillId="0" borderId="38" xfId="0" applyNumberFormat="1" applyFont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4" fontId="2" fillId="0" borderId="14" xfId="0" applyNumberFormat="1" applyFont="1" applyBorder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164" fontId="2" fillId="0" borderId="39" xfId="0" applyNumberFormat="1" applyFont="1" applyBorder="1" applyAlignment="1">
      <alignment horizontal="center" vertical="center"/>
    </xf>
    <xf numFmtId="0" fontId="2" fillId="0" borderId="0" xfId="0" applyNumberFormat="1" applyFont="1"/>
    <xf numFmtId="0" fontId="14" fillId="0" borderId="0" xfId="0" applyNumberFormat="1" applyFont="1"/>
    <xf numFmtId="0" fontId="14" fillId="0" borderId="0" xfId="0" applyFont="1"/>
    <xf numFmtId="0" fontId="0" fillId="0" borderId="0" xfId="0" applyFont="1" applyAlignment="1">
      <alignment horizontal="right" vertical="center"/>
    </xf>
    <xf numFmtId="1" fontId="2" fillId="0" borderId="0" xfId="0" applyNumberFormat="1" applyFont="1" applyAlignment="1">
      <alignment horizontal="right" vertical="center"/>
    </xf>
    <xf numFmtId="17" fontId="0" fillId="0" borderId="0" xfId="0" applyNumberFormat="1"/>
    <xf numFmtId="0" fontId="2" fillId="0" borderId="33" xfId="0" applyFont="1" applyBorder="1" applyAlignment="1">
      <alignment horizontal="center" vertical="center"/>
    </xf>
    <xf numFmtId="0" fontId="2" fillId="10" borderId="20" xfId="0" applyFont="1" applyFill="1" applyBorder="1" applyAlignment="1">
      <alignment horizontal="center" vertical="center"/>
    </xf>
    <xf numFmtId="0" fontId="2" fillId="0" borderId="34" xfId="0" applyFont="1" applyBorder="1" applyAlignment="1">
      <alignment horizontal="center" vertical="center"/>
    </xf>
    <xf numFmtId="0" fontId="2" fillId="10" borderId="30" xfId="0" applyFont="1" applyFill="1" applyBorder="1" applyAlignment="1">
      <alignment horizontal="center" vertical="center"/>
    </xf>
    <xf numFmtId="1" fontId="2" fillId="0" borderId="20" xfId="0" applyNumberFormat="1" applyFont="1" applyBorder="1" applyAlignment="1">
      <alignment horizontal="center" vertical="center"/>
    </xf>
    <xf numFmtId="1" fontId="2" fillId="0" borderId="30" xfId="0" applyNumberFormat="1" applyFont="1" applyBorder="1" applyAlignment="1">
      <alignment horizontal="center" vertical="center"/>
    </xf>
    <xf numFmtId="1" fontId="2" fillId="0" borderId="33" xfId="0" applyNumberFormat="1" applyFont="1" applyBorder="1" applyAlignment="1">
      <alignment horizontal="center" vertical="center"/>
    </xf>
    <xf numFmtId="1" fontId="2" fillId="0" borderId="34" xfId="0" applyNumberFormat="1" applyFont="1" applyBorder="1" applyAlignment="1">
      <alignment horizontal="center" vertical="center"/>
    </xf>
    <xf numFmtId="9" fontId="2" fillId="0" borderId="0" xfId="1" applyNumberFormat="1" applyFont="1" applyBorder="1" applyAlignment="1">
      <alignment horizontal="center" vertical="center"/>
    </xf>
    <xf numFmtId="9" fontId="2" fillId="0" borderId="11" xfId="1" applyFont="1" applyBorder="1" applyAlignment="1">
      <alignment horizontal="center" vertical="center"/>
    </xf>
    <xf numFmtId="9" fontId="2" fillId="0" borderId="26" xfId="1" applyFont="1" applyBorder="1" applyAlignment="1">
      <alignment horizontal="center" vertical="center"/>
    </xf>
    <xf numFmtId="0" fontId="5" fillId="0" borderId="0" xfId="2" applyFont="1"/>
    <xf numFmtId="0" fontId="11" fillId="0" borderId="0" xfId="2" applyFont="1"/>
    <xf numFmtId="0" fontId="3" fillId="0" borderId="0" xfId="2"/>
    <xf numFmtId="0" fontId="5" fillId="15" borderId="40" xfId="2" applyFont="1" applyFill="1" applyBorder="1" applyAlignment="1">
      <alignment horizontal="centerContinuous"/>
    </xf>
    <xf numFmtId="0" fontId="11" fillId="15" borderId="41" xfId="2" applyFont="1" applyFill="1" applyBorder="1" applyAlignment="1">
      <alignment horizontal="centerContinuous"/>
    </xf>
    <xf numFmtId="0" fontId="11" fillId="0" borderId="0" xfId="2" applyFont="1" applyAlignment="1">
      <alignment vertical="center"/>
    </xf>
    <xf numFmtId="0" fontId="17" fillId="15" borderId="40" xfId="2" applyFont="1" applyFill="1" applyBorder="1" applyAlignment="1">
      <alignment horizontal="centerContinuous" vertical="center"/>
    </xf>
    <xf numFmtId="0" fontId="17" fillId="15" borderId="45" xfId="2" applyFont="1" applyFill="1" applyBorder="1" applyAlignment="1">
      <alignment horizontal="centerContinuous" vertical="center"/>
    </xf>
    <xf numFmtId="0" fontId="17" fillId="15" borderId="41" xfId="2" applyFont="1" applyFill="1" applyBorder="1" applyAlignment="1">
      <alignment horizontal="centerContinuous" vertical="center"/>
    </xf>
    <xf numFmtId="0" fontId="17" fillId="15" borderId="40" xfId="2" applyFont="1" applyFill="1" applyBorder="1" applyAlignment="1">
      <alignment horizontal="center" vertical="center"/>
    </xf>
    <xf numFmtId="0" fontId="17" fillId="15" borderId="46" xfId="2" applyFont="1" applyFill="1" applyBorder="1" applyAlignment="1">
      <alignment horizontal="center" vertical="center"/>
    </xf>
    <xf numFmtId="0" fontId="11" fillId="0" borderId="0" xfId="2" applyFont="1" applyAlignment="1">
      <alignment horizontal="center" vertical="center"/>
    </xf>
    <xf numFmtId="0" fontId="11" fillId="15" borderId="40" xfId="2" applyFont="1" applyFill="1" applyBorder="1" applyAlignment="1">
      <alignment horizontal="center" vertical="center"/>
    </xf>
    <xf numFmtId="0" fontId="11" fillId="15" borderId="47" xfId="2" applyFont="1" applyFill="1" applyBorder="1" applyAlignment="1">
      <alignment horizontal="center" vertical="center"/>
    </xf>
    <xf numFmtId="0" fontId="11" fillId="15" borderId="48" xfId="2" applyFont="1" applyFill="1" applyBorder="1" applyAlignment="1">
      <alignment horizontal="center" vertical="center"/>
    </xf>
    <xf numFmtId="0" fontId="11" fillId="15" borderId="46" xfId="2" applyFont="1" applyFill="1" applyBorder="1" applyAlignment="1">
      <alignment horizontal="center" vertical="center"/>
    </xf>
    <xf numFmtId="0" fontId="5" fillId="7" borderId="46" xfId="2" applyFont="1" applyFill="1" applyBorder="1"/>
    <xf numFmtId="0" fontId="5" fillId="0" borderId="0" xfId="2" applyFont="1" applyFill="1" applyBorder="1"/>
    <xf numFmtId="0" fontId="11" fillId="7" borderId="40" xfId="2" applyFont="1" applyFill="1" applyBorder="1"/>
    <xf numFmtId="0" fontId="11" fillId="7" borderId="41" xfId="2" applyFont="1" applyFill="1" applyBorder="1"/>
    <xf numFmtId="0" fontId="11" fillId="7" borderId="45" xfId="2" applyFont="1" applyFill="1" applyBorder="1"/>
    <xf numFmtId="0" fontId="11" fillId="0" borderId="49" xfId="2" applyFont="1" applyBorder="1"/>
    <xf numFmtId="0" fontId="11" fillId="0" borderId="50" xfId="2" applyFont="1" applyFill="1" applyBorder="1"/>
    <xf numFmtId="3" fontId="11" fillId="0" borderId="49" xfId="2" applyNumberFormat="1" applyFont="1" applyBorder="1"/>
    <xf numFmtId="0" fontId="11" fillId="0" borderId="51" xfId="2" applyFont="1" applyBorder="1" applyAlignment="1">
      <alignment horizontal="center"/>
    </xf>
    <xf numFmtId="0" fontId="11" fillId="0" borderId="52" xfId="2" applyFont="1" applyBorder="1" applyAlignment="1">
      <alignment horizontal="center"/>
    </xf>
    <xf numFmtId="3" fontId="11" fillId="0" borderId="53" xfId="2" applyNumberFormat="1" applyFont="1" applyBorder="1"/>
    <xf numFmtId="0" fontId="11" fillId="0" borderId="50" xfId="2" applyFont="1" applyBorder="1"/>
    <xf numFmtId="3" fontId="11" fillId="0" borderId="50" xfId="2" applyNumberFormat="1" applyFont="1" applyBorder="1"/>
    <xf numFmtId="3" fontId="11" fillId="0" borderId="54" xfId="2" applyNumberFormat="1" applyFont="1" applyBorder="1"/>
    <xf numFmtId="3" fontId="11" fillId="0" borderId="55" xfId="2" applyNumberFormat="1" applyFont="1" applyBorder="1"/>
    <xf numFmtId="3" fontId="11" fillId="0" borderId="56" xfId="2" applyNumberFormat="1" applyFont="1" applyBorder="1"/>
    <xf numFmtId="0" fontId="9" fillId="0" borderId="50" xfId="2" applyFont="1" applyBorder="1"/>
    <xf numFmtId="0" fontId="9" fillId="0" borderId="50" xfId="2" applyFont="1" applyFill="1" applyBorder="1"/>
    <xf numFmtId="3" fontId="9" fillId="0" borderId="50" xfId="2" applyNumberFormat="1" applyFont="1" applyBorder="1"/>
    <xf numFmtId="3" fontId="9" fillId="0" borderId="54" xfId="2" applyNumberFormat="1" applyFont="1" applyBorder="1"/>
    <xf numFmtId="3" fontId="9" fillId="0" borderId="55" xfId="2" applyNumberFormat="1" applyFont="1" applyBorder="1"/>
    <xf numFmtId="3" fontId="9" fillId="0" borderId="56" xfId="2" applyNumberFormat="1" applyFont="1" applyBorder="1"/>
    <xf numFmtId="3" fontId="9" fillId="0" borderId="50" xfId="2" applyNumberFormat="1" applyFont="1" applyBorder="1" applyAlignment="1">
      <alignment horizontal="center"/>
    </xf>
    <xf numFmtId="0" fontId="9" fillId="16" borderId="50" xfId="2" applyFont="1" applyFill="1" applyBorder="1"/>
    <xf numFmtId="3" fontId="9" fillId="16" borderId="50" xfId="2" applyNumberFormat="1" applyFont="1" applyFill="1" applyBorder="1"/>
    <xf numFmtId="3" fontId="9" fillId="16" borderId="56" xfId="2" applyNumberFormat="1" applyFont="1" applyFill="1" applyBorder="1"/>
    <xf numFmtId="0" fontId="11" fillId="5" borderId="57" xfId="2" applyFont="1" applyFill="1" applyBorder="1"/>
    <xf numFmtId="3" fontId="11" fillId="5" borderId="57" xfId="2" applyNumberFormat="1" applyFont="1" applyFill="1" applyBorder="1"/>
    <xf numFmtId="3" fontId="11" fillId="5" borderId="58" xfId="2" applyNumberFormat="1" applyFont="1" applyFill="1" applyBorder="1"/>
    <xf numFmtId="3" fontId="11" fillId="5" borderId="59" xfId="2" applyNumberFormat="1" applyFont="1" applyFill="1" applyBorder="1"/>
    <xf numFmtId="3" fontId="11" fillId="5" borderId="60" xfId="2" applyNumberFormat="1" applyFont="1" applyFill="1" applyBorder="1"/>
    <xf numFmtId="0" fontId="11" fillId="0" borderId="0" xfId="2" applyFont="1" applyFill="1" applyBorder="1"/>
    <xf numFmtId="169" fontId="11" fillId="0" borderId="0" xfId="2" applyNumberFormat="1" applyFont="1" applyFill="1" applyBorder="1"/>
    <xf numFmtId="169" fontId="11" fillId="0" borderId="61" xfId="2" applyNumberFormat="1" applyFont="1" applyFill="1" applyBorder="1"/>
    <xf numFmtId="3" fontId="11" fillId="0" borderId="0" xfId="2" applyNumberFormat="1" applyFont="1"/>
    <xf numFmtId="3" fontId="11" fillId="0" borderId="0" xfId="2" applyNumberFormat="1" applyFont="1" applyBorder="1"/>
    <xf numFmtId="3" fontId="11" fillId="0" borderId="61" xfId="2" applyNumberFormat="1" applyFont="1" applyBorder="1"/>
    <xf numFmtId="3" fontId="11" fillId="7" borderId="40" xfId="2" applyNumberFormat="1" applyFont="1" applyFill="1" applyBorder="1"/>
    <xf numFmtId="3" fontId="11" fillId="7" borderId="41" xfId="2" applyNumberFormat="1" applyFont="1" applyFill="1" applyBorder="1"/>
    <xf numFmtId="3" fontId="11" fillId="7" borderId="46" xfId="2" applyNumberFormat="1" applyFont="1" applyFill="1" applyBorder="1"/>
    <xf numFmtId="0" fontId="9" fillId="0" borderId="62" xfId="2" applyFont="1" applyBorder="1"/>
    <xf numFmtId="3" fontId="9" fillId="0" borderId="63" xfId="2" applyNumberFormat="1" applyFont="1" applyBorder="1"/>
    <xf numFmtId="0" fontId="9" fillId="0" borderId="64" xfId="2" applyFont="1" applyBorder="1"/>
    <xf numFmtId="0" fontId="9" fillId="0" borderId="65" xfId="2" applyFont="1" applyBorder="1"/>
    <xf numFmtId="3" fontId="9" fillId="0" borderId="66" xfId="2" applyNumberFormat="1" applyFont="1" applyBorder="1"/>
    <xf numFmtId="3" fontId="9" fillId="0" borderId="67" xfId="2" applyNumberFormat="1" applyFont="1" applyBorder="1"/>
    <xf numFmtId="0" fontId="9" fillId="0" borderId="54" xfId="2" applyFont="1" applyBorder="1"/>
    <xf numFmtId="0" fontId="9" fillId="0" borderId="55" xfId="2" applyFont="1" applyBorder="1"/>
    <xf numFmtId="0" fontId="11" fillId="0" borderId="68" xfId="2" applyFont="1" applyBorder="1"/>
    <xf numFmtId="3" fontId="11" fillId="0" borderId="69" xfId="2" applyNumberFormat="1" applyFont="1" applyBorder="1"/>
    <xf numFmtId="0" fontId="11" fillId="0" borderId="70" xfId="2" applyFont="1" applyBorder="1" applyAlignment="1">
      <alignment horizontal="center"/>
    </xf>
    <xf numFmtId="0" fontId="11" fillId="0" borderId="71" xfId="2" applyFont="1" applyBorder="1" applyAlignment="1">
      <alignment horizontal="center"/>
    </xf>
    <xf numFmtId="3" fontId="11" fillId="0" borderId="72" xfId="2" applyNumberFormat="1" applyFont="1" applyBorder="1"/>
    <xf numFmtId="3" fontId="11" fillId="0" borderId="67" xfId="2" applyNumberFormat="1" applyFont="1" applyBorder="1"/>
    <xf numFmtId="3" fontId="11" fillId="0" borderId="73" xfId="2" applyNumberFormat="1" applyFont="1" applyBorder="1"/>
    <xf numFmtId="3" fontId="11" fillId="0" borderId="74" xfId="2" applyNumberFormat="1" applyFont="1" applyBorder="1"/>
    <xf numFmtId="3" fontId="11" fillId="5" borderId="75" xfId="2" applyNumberFormat="1" applyFont="1" applyFill="1" applyBorder="1"/>
    <xf numFmtId="3" fontId="11" fillId="0" borderId="0" xfId="2" applyNumberFormat="1" applyFont="1" applyFill="1" applyBorder="1"/>
    <xf numFmtId="3" fontId="11" fillId="0" borderId="61" xfId="2" applyNumberFormat="1" applyFont="1" applyFill="1" applyBorder="1"/>
    <xf numFmtId="0" fontId="11" fillId="15" borderId="46" xfId="2" applyFont="1" applyFill="1" applyBorder="1"/>
    <xf numFmtId="3" fontId="18" fillId="15" borderId="40" xfId="2" applyNumberFormat="1" applyFont="1" applyFill="1" applyBorder="1"/>
    <xf numFmtId="3" fontId="18" fillId="15" borderId="41" xfId="2" applyNumberFormat="1" applyFont="1" applyFill="1" applyBorder="1"/>
    <xf numFmtId="3" fontId="18" fillId="15" borderId="45" xfId="2" applyNumberFormat="1" applyFont="1" applyFill="1" applyBorder="1"/>
    <xf numFmtId="3" fontId="18" fillId="15" borderId="46" xfId="2" applyNumberFormat="1" applyFont="1" applyFill="1" applyBorder="1"/>
    <xf numFmtId="0" fontId="11" fillId="0" borderId="0" xfId="2" applyFont="1" applyBorder="1"/>
    <xf numFmtId="0" fontId="11" fillId="0" borderId="61" xfId="2" applyFont="1" applyBorder="1"/>
    <xf numFmtId="0" fontId="11" fillId="7" borderId="46" xfId="2" applyFont="1" applyFill="1" applyBorder="1"/>
    <xf numFmtId="0" fontId="9" fillId="0" borderId="66" xfId="2" applyFont="1" applyFill="1" applyBorder="1"/>
    <xf numFmtId="0" fontId="8" fillId="0" borderId="0" xfId="2" applyFont="1" applyFill="1" applyBorder="1"/>
    <xf numFmtId="3" fontId="9" fillId="0" borderId="63" xfId="2" applyNumberFormat="1" applyFont="1" applyFill="1" applyBorder="1"/>
    <xf numFmtId="0" fontId="9" fillId="0" borderId="64" xfId="2" applyFont="1" applyFill="1" applyBorder="1"/>
    <xf numFmtId="0" fontId="9" fillId="0" borderId="65" xfId="2" applyFont="1" applyFill="1" applyBorder="1"/>
    <xf numFmtId="3" fontId="9" fillId="0" borderId="66" xfId="2" applyNumberFormat="1" applyFont="1" applyFill="1" applyBorder="1"/>
    <xf numFmtId="3" fontId="3" fillId="0" borderId="0" xfId="2" applyNumberFormat="1"/>
    <xf numFmtId="9" fontId="11" fillId="0" borderId="54" xfId="2" applyNumberFormat="1" applyFont="1" applyBorder="1"/>
    <xf numFmtId="9" fontId="11" fillId="0" borderId="55" xfId="2" applyNumberFormat="1" applyFont="1" applyBorder="1"/>
    <xf numFmtId="2" fontId="11" fillId="0" borderId="0" xfId="2" applyNumberFormat="1" applyFont="1" applyFill="1" applyBorder="1"/>
    <xf numFmtId="2" fontId="11" fillId="0" borderId="61" xfId="2" applyNumberFormat="1" applyFont="1" applyFill="1" applyBorder="1"/>
    <xf numFmtId="3" fontId="11" fillId="0" borderId="76" xfId="2" applyNumberFormat="1" applyFont="1" applyBorder="1"/>
    <xf numFmtId="3" fontId="11" fillId="0" borderId="77" xfId="2" applyNumberFormat="1" applyFont="1" applyBorder="1"/>
    <xf numFmtId="9" fontId="11" fillId="0" borderId="51" xfId="2" applyNumberFormat="1" applyFont="1" applyBorder="1"/>
    <xf numFmtId="3" fontId="11" fillId="0" borderId="78" xfId="2" applyNumberFormat="1" applyFont="1" applyBorder="1"/>
    <xf numFmtId="9" fontId="11" fillId="0" borderId="73" xfId="2" applyNumberFormat="1" applyFont="1" applyBorder="1"/>
    <xf numFmtId="3" fontId="11" fillId="0" borderId="79" xfId="2" applyNumberFormat="1" applyFont="1" applyBorder="1"/>
    <xf numFmtId="0" fontId="11" fillId="0" borderId="56" xfId="2" applyFont="1" applyFill="1" applyBorder="1"/>
    <xf numFmtId="3" fontId="11" fillId="15" borderId="40" xfId="2" applyNumberFormat="1" applyFont="1" applyFill="1" applyBorder="1"/>
    <xf numFmtId="3" fontId="11" fillId="15" borderId="46" xfId="2" applyNumberFormat="1" applyFont="1" applyFill="1" applyBorder="1"/>
    <xf numFmtId="0" fontId="11" fillId="0" borderId="66" xfId="2" applyFont="1" applyBorder="1"/>
    <xf numFmtId="3" fontId="11" fillId="0" borderId="63" xfId="2" applyNumberFormat="1" applyFont="1" applyBorder="1"/>
    <xf numFmtId="0" fontId="11" fillId="0" borderId="64" xfId="2" applyFont="1" applyBorder="1"/>
    <xf numFmtId="0" fontId="11" fillId="0" borderId="65" xfId="2" applyFont="1" applyBorder="1"/>
    <xf numFmtId="3" fontId="11" fillId="0" borderId="66" xfId="2" applyNumberFormat="1" applyFont="1" applyBorder="1"/>
    <xf numFmtId="0" fontId="11" fillId="0" borderId="56" xfId="2" applyFont="1" applyBorder="1"/>
    <xf numFmtId="0" fontId="11" fillId="0" borderId="54" xfId="2" applyFont="1" applyBorder="1"/>
    <xf numFmtId="0" fontId="11" fillId="0" borderId="55" xfId="2" applyFont="1" applyBorder="1"/>
    <xf numFmtId="0" fontId="11" fillId="0" borderId="80" xfId="2" applyFont="1" applyBorder="1"/>
    <xf numFmtId="3" fontId="11" fillId="0" borderId="81" xfId="2" applyNumberFormat="1" applyFont="1" applyBorder="1"/>
    <xf numFmtId="0" fontId="11" fillId="0" borderId="82" xfId="2" applyFont="1" applyBorder="1"/>
    <xf numFmtId="0" fontId="11" fillId="0" borderId="83" xfId="2" applyFont="1" applyBorder="1"/>
    <xf numFmtId="3" fontId="11" fillId="0" borderId="80" xfId="2" applyNumberFormat="1" applyFont="1" applyBorder="1"/>
    <xf numFmtId="0" fontId="5" fillId="5" borderId="46" xfId="2" applyFont="1" applyFill="1" applyBorder="1"/>
    <xf numFmtId="0" fontId="5" fillId="0" borderId="50" xfId="2" applyFont="1" applyFill="1" applyBorder="1"/>
    <xf numFmtId="3" fontId="5" fillId="5" borderId="40" xfId="2" applyNumberFormat="1" applyFont="1" applyFill="1" applyBorder="1"/>
    <xf numFmtId="3" fontId="5" fillId="5" borderId="47" xfId="2" applyNumberFormat="1" applyFont="1" applyFill="1" applyBorder="1"/>
    <xf numFmtId="3" fontId="5" fillId="5" borderId="46" xfId="2" applyNumberFormat="1" applyFont="1" applyFill="1" applyBorder="1"/>
    <xf numFmtId="1" fontId="2" fillId="0" borderId="2" xfId="0" applyNumberFormat="1" applyFont="1" applyBorder="1" applyAlignment="1">
      <alignment horizontal="center" vertical="center"/>
    </xf>
    <xf numFmtId="1" fontId="2" fillId="0" borderId="35" xfId="0" applyNumberFormat="1" applyFont="1" applyBorder="1" applyAlignment="1">
      <alignment horizontal="center" vertical="center"/>
    </xf>
    <xf numFmtId="1" fontId="2" fillId="0" borderId="36" xfId="0" applyNumberFormat="1" applyFont="1" applyBorder="1" applyAlignment="1">
      <alignment horizontal="center" vertical="center"/>
    </xf>
    <xf numFmtId="1" fontId="1" fillId="2" borderId="0" xfId="0" applyNumberFormat="1" applyFont="1" applyFill="1" applyAlignment="1">
      <alignment horizontal="center" vertical="center"/>
    </xf>
    <xf numFmtId="1" fontId="2" fillId="0" borderId="84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9" fontId="0" fillId="0" borderId="1" xfId="1" applyNumberFormat="1" applyFont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169" fontId="0" fillId="0" borderId="0" xfId="1" applyNumberFormat="1" applyFont="1" applyBorder="1" applyAlignment="1">
      <alignment horizontal="center" vertical="center"/>
    </xf>
    <xf numFmtId="1" fontId="19" fillId="18" borderId="0" xfId="8" applyNumberFormat="1" applyFill="1"/>
    <xf numFmtId="1" fontId="19" fillId="0" borderId="0" xfId="8" applyNumberFormat="1"/>
    <xf numFmtId="1" fontId="19" fillId="19" borderId="0" xfId="8" applyNumberFormat="1" applyFill="1"/>
    <xf numFmtId="1" fontId="21" fillId="0" borderId="90" xfId="8" applyNumberFormat="1" applyFont="1" applyBorder="1"/>
    <xf numFmtId="1" fontId="21" fillId="0" borderId="91" xfId="8" applyNumberFormat="1" applyFont="1" applyBorder="1"/>
    <xf numFmtId="1" fontId="21" fillId="0" borderId="92" xfId="8" applyNumberFormat="1" applyFont="1" applyBorder="1"/>
    <xf numFmtId="1" fontId="21" fillId="0" borderId="93" xfId="8" applyNumberFormat="1" applyFont="1" applyBorder="1"/>
    <xf numFmtId="1" fontId="19" fillId="17" borderId="0" xfId="8" applyNumberFormat="1" applyFill="1"/>
    <xf numFmtId="1" fontId="21" fillId="0" borderId="94" xfId="8" applyNumberFormat="1" applyFont="1" applyBorder="1"/>
    <xf numFmtId="1" fontId="19" fillId="0" borderId="95" xfId="8" applyNumberFormat="1" applyBorder="1"/>
    <xf numFmtId="1" fontId="19" fillId="0" borderId="96" xfId="8" applyNumberFormat="1" applyBorder="1"/>
    <xf numFmtId="1" fontId="19" fillId="0" borderId="97" xfId="8" applyNumberFormat="1" applyBorder="1"/>
    <xf numFmtId="1" fontId="19" fillId="0" borderId="98" xfId="8" applyNumberFormat="1" applyBorder="1"/>
    <xf numFmtId="1" fontId="19" fillId="0" borderId="1" xfId="8" applyNumberFormat="1" applyBorder="1"/>
    <xf numFmtId="1" fontId="19" fillId="0" borderId="99" xfId="8" applyNumberFormat="1" applyBorder="1"/>
    <xf numFmtId="1" fontId="21" fillId="0" borderId="100" xfId="8" applyNumberFormat="1" applyFont="1" applyBorder="1"/>
    <xf numFmtId="1" fontId="19" fillId="0" borderId="101" xfId="8" applyNumberFormat="1" applyBorder="1"/>
    <xf numFmtId="1" fontId="19" fillId="0" borderId="102" xfId="8" applyNumberFormat="1" applyBorder="1"/>
    <xf numFmtId="1" fontId="19" fillId="0" borderId="103" xfId="8" applyNumberFormat="1" applyBorder="1"/>
    <xf numFmtId="169" fontId="11" fillId="0" borderId="0" xfId="5" applyNumberFormat="1" applyFont="1" applyFill="1" applyBorder="1"/>
    <xf numFmtId="9" fontId="11" fillId="0" borderId="50" xfId="5" applyFont="1" applyBorder="1"/>
    <xf numFmtId="9" fontId="11" fillId="0" borderId="50" xfId="5" applyFont="1" applyFill="1" applyBorder="1"/>
    <xf numFmtId="9" fontId="11" fillId="0" borderId="67" xfId="5" applyFont="1" applyBorder="1"/>
    <xf numFmtId="9" fontId="11" fillId="0" borderId="54" xfId="5" applyFont="1" applyBorder="1"/>
    <xf numFmtId="9" fontId="11" fillId="0" borderId="55" xfId="5" applyFont="1" applyBorder="1"/>
    <xf numFmtId="1" fontId="11" fillId="0" borderId="67" xfId="5" applyNumberFormat="1" applyFont="1" applyBorder="1"/>
    <xf numFmtId="1" fontId="11" fillId="0" borderId="56" xfId="5" applyNumberFormat="1" applyFont="1" applyBorder="1"/>
    <xf numFmtId="9" fontId="3" fillId="0" borderId="0" xfId="5"/>
    <xf numFmtId="169" fontId="11" fillId="0" borderId="54" xfId="5" applyNumberFormat="1" applyFont="1" applyBorder="1"/>
    <xf numFmtId="169" fontId="11" fillId="0" borderId="55" xfId="5" applyNumberFormat="1" applyFont="1" applyBorder="1"/>
    <xf numFmtId="169" fontId="9" fillId="0" borderId="54" xfId="5" applyNumberFormat="1" applyFont="1" applyBorder="1"/>
    <xf numFmtId="169" fontId="9" fillId="0" borderId="55" xfId="5" applyNumberFormat="1" applyFont="1" applyBorder="1"/>
    <xf numFmtId="169" fontId="11" fillId="5" borderId="58" xfId="5" applyNumberFormat="1" applyFont="1" applyFill="1" applyBorder="1"/>
    <xf numFmtId="169" fontId="11" fillId="5" borderId="59" xfId="5" applyNumberFormat="1" applyFont="1" applyFill="1" applyBorder="1"/>
    <xf numFmtId="2" fontId="11" fillId="0" borderId="0" xfId="5" applyNumberFormat="1" applyFont="1" applyFill="1" applyBorder="1"/>
    <xf numFmtId="169" fontId="11" fillId="0" borderId="73" xfId="5" applyNumberFormat="1" applyFont="1" applyBorder="1"/>
    <xf numFmtId="169" fontId="11" fillId="15" borderId="45" xfId="5" applyNumberFormat="1" applyFont="1" applyFill="1" applyBorder="1"/>
    <xf numFmtId="10" fontId="11" fillId="0" borderId="0" xfId="5" applyNumberFormat="1" applyFont="1"/>
    <xf numFmtId="169" fontId="11" fillId="0" borderId="0" xfId="5" applyNumberFormat="1" applyFont="1"/>
    <xf numFmtId="0" fontId="0" fillId="11" borderId="1" xfId="0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1" fontId="0" fillId="0" borderId="95" xfId="0" applyNumberFormat="1" applyBorder="1"/>
    <xf numFmtId="1" fontId="0" fillId="0" borderId="96" xfId="0" applyNumberFormat="1" applyBorder="1"/>
    <xf numFmtId="1" fontId="0" fillId="0" borderId="97" xfId="0" applyNumberFormat="1" applyBorder="1"/>
    <xf numFmtId="1" fontId="0" fillId="0" borderId="98" xfId="0" applyNumberFormat="1" applyBorder="1"/>
    <xf numFmtId="1" fontId="0" fillId="0" borderId="1" xfId="0" applyNumberFormat="1" applyBorder="1"/>
    <xf numFmtId="1" fontId="0" fillId="0" borderId="99" xfId="0" applyNumberFormat="1" applyBorder="1"/>
    <xf numFmtId="1" fontId="0" fillId="0" borderId="101" xfId="0" applyNumberFormat="1" applyBorder="1"/>
    <xf numFmtId="1" fontId="0" fillId="0" borderId="102" xfId="0" applyNumberFormat="1" applyBorder="1"/>
    <xf numFmtId="1" fontId="0" fillId="0" borderId="103" xfId="0" applyNumberFormat="1" applyBorder="1"/>
    <xf numFmtId="169" fontId="0" fillId="0" borderId="0" xfId="0" applyNumberFormat="1" applyAlignment="1">
      <alignment horizontal="center" vertical="center"/>
    </xf>
    <xf numFmtId="9" fontId="2" fillId="0" borderId="4" xfId="1" applyNumberFormat="1" applyFont="1" applyBorder="1" applyAlignment="1">
      <alignment horizontal="center" vertical="center"/>
    </xf>
    <xf numFmtId="9" fontId="2" fillId="0" borderId="104" xfId="1" applyNumberFormat="1" applyFont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" fontId="0" fillId="0" borderId="0" xfId="0" applyNumberFormat="1"/>
    <xf numFmtId="1" fontId="26" fillId="0" borderId="0" xfId="0" applyNumberFormat="1" applyFont="1" applyAlignment="1">
      <alignment horizontal="left" wrapText="1"/>
    </xf>
    <xf numFmtId="0" fontId="2" fillId="11" borderId="1" xfId="0" applyFont="1" applyFill="1" applyBorder="1" applyAlignment="1">
      <alignment horizontal="center" vertical="center"/>
    </xf>
    <xf numFmtId="3" fontId="22" fillId="0" borderId="1" xfId="0" applyNumberFormat="1" applyFont="1" applyBorder="1" applyAlignment="1">
      <alignment horizontal="center" vertical="center"/>
    </xf>
    <xf numFmtId="1" fontId="22" fillId="0" borderId="1" xfId="0" applyNumberFormat="1" applyFont="1" applyBorder="1" applyAlignment="1">
      <alignment horizontal="center" vertical="center"/>
    </xf>
    <xf numFmtId="1" fontId="2" fillId="0" borderId="1" xfId="0" applyNumberFormat="1" applyFont="1" applyBorder="1" applyAlignment="1">
      <alignment horizontal="center" vertical="center"/>
    </xf>
    <xf numFmtId="0" fontId="0" fillId="11" borderId="85" xfId="0" applyFill="1" applyBorder="1" applyAlignment="1">
      <alignment horizontal="center" vertical="center"/>
    </xf>
    <xf numFmtId="0" fontId="0" fillId="11" borderId="86" xfId="0" applyFill="1" applyBorder="1" applyAlignment="1">
      <alignment horizontal="center" vertical="center"/>
    </xf>
    <xf numFmtId="0" fontId="5" fillId="5" borderId="12" xfId="0" applyFont="1" applyFill="1" applyBorder="1" applyAlignment="1">
      <alignment horizontal="center" vertical="center" wrapText="1"/>
    </xf>
    <xf numFmtId="0" fontId="11" fillId="5" borderId="19" xfId="0" applyFont="1" applyFill="1" applyBorder="1" applyAlignment="1">
      <alignment horizontal="center" vertical="center" wrapText="1"/>
    </xf>
    <xf numFmtId="168" fontId="10" fillId="5" borderId="37" xfId="0" applyNumberFormat="1" applyFont="1" applyFill="1" applyBorder="1" applyAlignment="1">
      <alignment horizontal="center" vertical="center"/>
    </xf>
    <xf numFmtId="168" fontId="12" fillId="5" borderId="37" xfId="0" applyNumberFormat="1" applyFont="1" applyFill="1" applyBorder="1" applyAlignment="1">
      <alignment horizontal="center" vertical="center"/>
    </xf>
    <xf numFmtId="0" fontId="15" fillId="13" borderId="5" xfId="0" applyFont="1" applyFill="1" applyBorder="1" applyAlignment="1">
      <alignment horizontal="center" vertical="center"/>
    </xf>
    <xf numFmtId="0" fontId="15" fillId="13" borderId="7" xfId="0" applyFont="1" applyFill="1" applyBorder="1" applyAlignment="1">
      <alignment horizontal="center" vertical="center"/>
    </xf>
    <xf numFmtId="0" fontId="15" fillId="13" borderId="6" xfId="0" applyFont="1" applyFill="1" applyBorder="1" applyAlignment="1">
      <alignment horizontal="center" vertical="center"/>
    </xf>
    <xf numFmtId="0" fontId="15" fillId="13" borderId="8" xfId="0" applyFont="1" applyFill="1" applyBorder="1" applyAlignment="1">
      <alignment horizontal="center" vertical="center"/>
    </xf>
    <xf numFmtId="0" fontId="15" fillId="13" borderId="10" xfId="0" applyFont="1" applyFill="1" applyBorder="1" applyAlignment="1">
      <alignment horizontal="center" vertical="center"/>
    </xf>
    <xf numFmtId="0" fontId="15" fillId="13" borderId="9" xfId="0" applyFont="1" applyFill="1" applyBorder="1" applyAlignment="1">
      <alignment horizontal="center" vertical="center"/>
    </xf>
    <xf numFmtId="0" fontId="8" fillId="0" borderId="31" xfId="0" applyFont="1" applyBorder="1" applyAlignment="1">
      <alignment horizontal="center" vertical="center" wrapText="1"/>
    </xf>
    <xf numFmtId="0" fontId="8" fillId="0" borderId="32" xfId="0" applyFont="1" applyBorder="1" applyAlignment="1">
      <alignment horizontal="center" vertical="center" wrapText="1"/>
    </xf>
    <xf numFmtId="0" fontId="8" fillId="0" borderId="17" xfId="0" applyFont="1" applyBorder="1" applyAlignment="1">
      <alignment horizontal="center" vertical="center" wrapText="1"/>
    </xf>
    <xf numFmtId="0" fontId="8" fillId="0" borderId="9" xfId="0" applyFont="1" applyBorder="1" applyAlignment="1">
      <alignment horizontal="center" vertical="center" wrapText="1"/>
    </xf>
    <xf numFmtId="0" fontId="8" fillId="7" borderId="18" xfId="0" applyFont="1" applyFill="1" applyBorder="1" applyAlignment="1">
      <alignment horizontal="center" vertical="center" wrapText="1"/>
    </xf>
    <xf numFmtId="0" fontId="8" fillId="7" borderId="17" xfId="0" applyFont="1" applyFill="1" applyBorder="1" applyAlignment="1">
      <alignment horizontal="center" vertical="center" wrapText="1"/>
    </xf>
    <xf numFmtId="0" fontId="8" fillId="7" borderId="22" xfId="0" applyFont="1" applyFill="1" applyBorder="1" applyAlignment="1">
      <alignment horizontal="center" vertical="center" wrapText="1"/>
    </xf>
    <xf numFmtId="0" fontId="8" fillId="7" borderId="9" xfId="0" applyFont="1" applyFill="1" applyBorder="1" applyAlignment="1">
      <alignment horizontal="center" vertical="center" wrapText="1"/>
    </xf>
    <xf numFmtId="0" fontId="13" fillId="0" borderId="16" xfId="0" applyFont="1" applyBorder="1" applyAlignment="1">
      <alignment horizontal="center" vertical="center" wrapText="1"/>
    </xf>
    <xf numFmtId="0" fontId="13" fillId="0" borderId="0" xfId="0" applyFont="1" applyBorder="1" applyAlignment="1">
      <alignment horizontal="center" vertical="center" wrapText="1"/>
    </xf>
    <xf numFmtId="0" fontId="13" fillId="0" borderId="23" xfId="0" applyFont="1" applyBorder="1" applyAlignment="1">
      <alignment horizontal="center" vertical="center" wrapText="1"/>
    </xf>
    <xf numFmtId="0" fontId="13" fillId="0" borderId="24" xfId="0" applyFont="1" applyBorder="1" applyAlignment="1">
      <alignment horizontal="center" vertical="center" wrapText="1"/>
    </xf>
    <xf numFmtId="0" fontId="8" fillId="0" borderId="15" xfId="0" applyFont="1" applyBorder="1" applyAlignment="1">
      <alignment horizontal="center" vertical="center" wrapText="1"/>
    </xf>
    <xf numFmtId="0" fontId="8" fillId="0" borderId="21" xfId="0" applyFont="1" applyBorder="1" applyAlignment="1">
      <alignment horizontal="center" vertical="center" wrapText="1"/>
    </xf>
    <xf numFmtId="0" fontId="8" fillId="0" borderId="16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8" fillId="0" borderId="15" xfId="0" applyFont="1" applyFill="1" applyBorder="1" applyAlignment="1">
      <alignment horizontal="center" vertical="center" wrapText="1"/>
    </xf>
    <xf numFmtId="0" fontId="9" fillId="0" borderId="21" xfId="0" applyFont="1" applyFill="1" applyBorder="1" applyAlignment="1">
      <alignment horizontal="center" vertical="center" wrapText="1"/>
    </xf>
    <xf numFmtId="0" fontId="8" fillId="8" borderId="18" xfId="0" applyFont="1" applyFill="1" applyBorder="1" applyAlignment="1">
      <alignment horizontal="center" vertical="center" wrapText="1"/>
    </xf>
    <xf numFmtId="0" fontId="8" fillId="8" borderId="17" xfId="0" applyFont="1" applyFill="1" applyBorder="1" applyAlignment="1">
      <alignment horizontal="center" vertical="center" wrapText="1"/>
    </xf>
    <xf numFmtId="0" fontId="8" fillId="8" borderId="22" xfId="0" applyFont="1" applyFill="1" applyBorder="1" applyAlignment="1">
      <alignment horizontal="center" vertical="center" wrapText="1"/>
    </xf>
    <xf numFmtId="0" fontId="8" fillId="8" borderId="9" xfId="0" applyFont="1" applyFill="1" applyBorder="1" applyAlignment="1">
      <alignment horizontal="center" vertical="center" wrapText="1"/>
    </xf>
    <xf numFmtId="0" fontId="15" fillId="14" borderId="5" xfId="0" applyFont="1" applyFill="1" applyBorder="1" applyAlignment="1">
      <alignment horizontal="center" vertical="center" wrapText="1"/>
    </xf>
    <xf numFmtId="0" fontId="15" fillId="14" borderId="7" xfId="0" applyFont="1" applyFill="1" applyBorder="1" applyAlignment="1">
      <alignment horizontal="center" vertical="center" wrapText="1"/>
    </xf>
    <xf numFmtId="0" fontId="15" fillId="14" borderId="6" xfId="0" applyFont="1" applyFill="1" applyBorder="1" applyAlignment="1">
      <alignment horizontal="center" vertical="center" wrapText="1"/>
    </xf>
    <xf numFmtId="0" fontId="15" fillId="14" borderId="8" xfId="0" applyFont="1" applyFill="1" applyBorder="1" applyAlignment="1">
      <alignment horizontal="center" vertical="center" wrapText="1"/>
    </xf>
    <xf numFmtId="0" fontId="15" fillId="14" borderId="10" xfId="0" applyFont="1" applyFill="1" applyBorder="1" applyAlignment="1">
      <alignment horizontal="center" vertical="center" wrapText="1"/>
    </xf>
    <xf numFmtId="0" fontId="15" fillId="14" borderId="9" xfId="0" applyFont="1" applyFill="1" applyBorder="1" applyAlignment="1">
      <alignment horizontal="center" vertical="center" wrapText="1"/>
    </xf>
    <xf numFmtId="0" fontId="15" fillId="8" borderId="5" xfId="0" applyFont="1" applyFill="1" applyBorder="1" applyAlignment="1">
      <alignment horizontal="center" vertical="center" wrapText="1"/>
    </xf>
    <xf numFmtId="0" fontId="15" fillId="8" borderId="7" xfId="0" applyFont="1" applyFill="1" applyBorder="1" applyAlignment="1">
      <alignment horizontal="center" vertical="center" wrapText="1"/>
    </xf>
    <xf numFmtId="0" fontId="15" fillId="8" borderId="6" xfId="0" applyFont="1" applyFill="1" applyBorder="1" applyAlignment="1">
      <alignment horizontal="center" vertical="center" wrapText="1"/>
    </xf>
    <xf numFmtId="0" fontId="15" fillId="8" borderId="8" xfId="0" applyFont="1" applyFill="1" applyBorder="1" applyAlignment="1">
      <alignment horizontal="center" vertical="center" wrapText="1"/>
    </xf>
    <xf numFmtId="0" fontId="15" fillId="8" borderId="10" xfId="0" applyFont="1" applyFill="1" applyBorder="1" applyAlignment="1">
      <alignment horizontal="center" vertical="center" wrapText="1"/>
    </xf>
    <xf numFmtId="0" fontId="15" fillId="8" borderId="9" xfId="0" applyFont="1" applyFill="1" applyBorder="1" applyAlignment="1">
      <alignment horizontal="center" vertical="center" wrapText="1"/>
    </xf>
    <xf numFmtId="0" fontId="15" fillId="12" borderId="5" xfId="0" applyFont="1" applyFill="1" applyBorder="1" applyAlignment="1">
      <alignment horizontal="center" vertical="center" wrapText="1"/>
    </xf>
    <xf numFmtId="0" fontId="15" fillId="12" borderId="7" xfId="0" applyFont="1" applyFill="1" applyBorder="1" applyAlignment="1">
      <alignment horizontal="center" vertical="center" wrapText="1"/>
    </xf>
    <xf numFmtId="0" fontId="15" fillId="12" borderId="6" xfId="0" applyFont="1" applyFill="1" applyBorder="1" applyAlignment="1">
      <alignment horizontal="center" vertical="center" wrapText="1"/>
    </xf>
    <xf numFmtId="0" fontId="15" fillId="12" borderId="8" xfId="0" applyFont="1" applyFill="1" applyBorder="1" applyAlignment="1">
      <alignment horizontal="center" vertical="center" wrapText="1"/>
    </xf>
    <xf numFmtId="0" fontId="15" fillId="12" borderId="10" xfId="0" applyFont="1" applyFill="1" applyBorder="1" applyAlignment="1">
      <alignment horizontal="center" vertical="center" wrapText="1"/>
    </xf>
    <xf numFmtId="0" fontId="15" fillId="12" borderId="9" xfId="0" applyFont="1" applyFill="1" applyBorder="1" applyAlignment="1">
      <alignment horizontal="center" vertical="center" wrapText="1"/>
    </xf>
    <xf numFmtId="0" fontId="8" fillId="9" borderId="16" xfId="0" applyFont="1" applyFill="1" applyBorder="1" applyAlignment="1">
      <alignment horizontal="center" vertical="center" wrapText="1"/>
    </xf>
    <xf numFmtId="0" fontId="9" fillId="9" borderId="17" xfId="0" applyFont="1" applyFill="1" applyBorder="1" applyAlignment="1">
      <alignment horizontal="center" vertical="center" wrapText="1"/>
    </xf>
    <xf numFmtId="0" fontId="9" fillId="9" borderId="10" xfId="0" applyFont="1" applyFill="1" applyBorder="1" applyAlignment="1">
      <alignment horizontal="center" vertical="center" wrapText="1"/>
    </xf>
    <xf numFmtId="0" fontId="9" fillId="9" borderId="9" xfId="0" applyFont="1" applyFill="1" applyBorder="1" applyAlignment="1">
      <alignment horizontal="center" vertical="center" wrapText="1"/>
    </xf>
    <xf numFmtId="17" fontId="4" fillId="0" borderId="4" xfId="0" applyNumberFormat="1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25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26" xfId="0" applyFont="1" applyBorder="1" applyAlignment="1">
      <alignment horizontal="center" vertical="center"/>
    </xf>
    <xf numFmtId="0" fontId="5" fillId="5" borderId="13" xfId="0" applyFont="1" applyFill="1" applyBorder="1" applyAlignment="1">
      <alignment horizontal="center" vertical="center" wrapText="1"/>
    </xf>
    <xf numFmtId="0" fontId="5" fillId="5" borderId="19" xfId="0" applyFont="1" applyFill="1" applyBorder="1" applyAlignment="1">
      <alignment horizontal="center" vertical="center" wrapText="1"/>
    </xf>
    <xf numFmtId="1" fontId="7" fillId="5" borderId="27" xfId="0" applyNumberFormat="1" applyFont="1" applyFill="1" applyBorder="1" applyAlignment="1">
      <alignment horizontal="center" vertical="center"/>
    </xf>
    <xf numFmtId="0" fontId="7" fillId="5" borderId="28" xfId="0" applyFont="1" applyFill="1" applyBorder="1" applyAlignment="1">
      <alignment horizontal="center" vertical="center"/>
    </xf>
    <xf numFmtId="0" fontId="7" fillId="5" borderId="29" xfId="0" applyFont="1" applyFill="1" applyBorder="1" applyAlignment="1">
      <alignment horizontal="center" vertical="center"/>
    </xf>
    <xf numFmtId="0" fontId="15" fillId="11" borderId="5" xfId="0" applyFont="1" applyFill="1" applyBorder="1" applyAlignment="1">
      <alignment horizontal="center" vertical="center"/>
    </xf>
    <xf numFmtId="0" fontId="15" fillId="11" borderId="7" xfId="0" applyFont="1" applyFill="1" applyBorder="1" applyAlignment="1">
      <alignment horizontal="center" vertical="center"/>
    </xf>
    <xf numFmtId="0" fontId="15" fillId="11" borderId="6" xfId="0" applyFont="1" applyFill="1" applyBorder="1" applyAlignment="1">
      <alignment horizontal="center" vertical="center"/>
    </xf>
    <xf numFmtId="0" fontId="15" fillId="11" borderId="8" xfId="0" applyFont="1" applyFill="1" applyBorder="1" applyAlignment="1">
      <alignment horizontal="center" vertical="center"/>
    </xf>
    <xf numFmtId="0" fontId="15" fillId="11" borderId="10" xfId="0" applyFont="1" applyFill="1" applyBorder="1" applyAlignment="1">
      <alignment horizontal="center" vertical="center"/>
    </xf>
    <xf numFmtId="0" fontId="15" fillId="11" borderId="9" xfId="0" applyFont="1" applyFill="1" applyBorder="1" applyAlignment="1">
      <alignment horizontal="center" vertical="center"/>
    </xf>
    <xf numFmtId="0" fontId="8" fillId="8" borderId="15" xfId="0" applyFont="1" applyFill="1" applyBorder="1" applyAlignment="1">
      <alignment horizontal="center" vertical="center" wrapText="1"/>
    </xf>
    <xf numFmtId="0" fontId="8" fillId="8" borderId="21" xfId="0" applyFont="1" applyFill="1" applyBorder="1" applyAlignment="1">
      <alignment horizontal="center" vertical="center" wrapText="1"/>
    </xf>
    <xf numFmtId="0" fontId="8" fillId="9" borderId="15" xfId="0" applyFont="1" applyFill="1" applyBorder="1" applyAlignment="1">
      <alignment horizontal="center" vertical="center" wrapText="1"/>
    </xf>
    <xf numFmtId="0" fontId="9" fillId="9" borderId="21" xfId="0" applyFont="1" applyFill="1" applyBorder="1" applyAlignment="1">
      <alignment horizontal="center" vertical="center" wrapText="1"/>
    </xf>
    <xf numFmtId="0" fontId="8" fillId="6" borderId="15" xfId="0" applyFont="1" applyFill="1" applyBorder="1" applyAlignment="1">
      <alignment horizontal="center" vertical="center" wrapText="1"/>
    </xf>
    <xf numFmtId="0" fontId="8" fillId="6" borderId="21" xfId="0" applyFont="1" applyFill="1" applyBorder="1" applyAlignment="1">
      <alignment horizontal="center" vertical="center" wrapText="1"/>
    </xf>
    <xf numFmtId="0" fontId="8" fillId="7" borderId="15" xfId="0" applyFont="1" applyFill="1" applyBorder="1" applyAlignment="1">
      <alignment horizontal="center" vertical="center" wrapText="1"/>
    </xf>
    <xf numFmtId="0" fontId="8" fillId="7" borderId="21" xfId="0" applyFont="1" applyFill="1" applyBorder="1" applyAlignment="1">
      <alignment horizontal="center" vertical="center" wrapText="1"/>
    </xf>
    <xf numFmtId="0" fontId="15" fillId="3" borderId="5" xfId="0" applyFont="1" applyFill="1" applyBorder="1" applyAlignment="1">
      <alignment horizontal="center" vertical="center"/>
    </xf>
    <xf numFmtId="0" fontId="15" fillId="3" borderId="7" xfId="0" applyFont="1" applyFill="1" applyBorder="1" applyAlignment="1">
      <alignment horizontal="center" vertical="center"/>
    </xf>
    <xf numFmtId="0" fontId="15" fillId="3" borderId="8" xfId="0" applyFont="1" applyFill="1" applyBorder="1" applyAlignment="1">
      <alignment horizontal="center" vertical="center"/>
    </xf>
    <xf numFmtId="0" fontId="15" fillId="3" borderId="10" xfId="0" applyFont="1" applyFill="1" applyBorder="1" applyAlignment="1">
      <alignment horizontal="center" vertical="center"/>
    </xf>
    <xf numFmtId="0" fontId="8" fillId="11" borderId="15" xfId="0" applyFont="1" applyFill="1" applyBorder="1" applyAlignment="1">
      <alignment horizontal="center" vertical="center" wrapText="1"/>
    </xf>
    <xf numFmtId="0" fontId="9" fillId="11" borderId="20" xfId="0" applyFont="1" applyFill="1" applyBorder="1" applyAlignment="1">
      <alignment horizontal="center" vertical="center" wrapText="1"/>
    </xf>
    <xf numFmtId="0" fontId="8" fillId="3" borderId="15" xfId="0" applyFont="1" applyFill="1" applyBorder="1" applyAlignment="1">
      <alignment horizontal="center" vertical="center" wrapText="1"/>
    </xf>
    <xf numFmtId="0" fontId="9" fillId="3" borderId="20" xfId="0" applyFont="1" applyFill="1" applyBorder="1" applyAlignment="1">
      <alignment horizontal="center" vertical="center" wrapText="1"/>
    </xf>
    <xf numFmtId="0" fontId="8" fillId="11" borderId="16" xfId="0" applyFont="1" applyFill="1" applyBorder="1" applyAlignment="1">
      <alignment horizontal="center" vertical="center" wrapText="1"/>
    </xf>
    <xf numFmtId="0" fontId="9" fillId="11" borderId="17" xfId="0" applyFont="1" applyFill="1" applyBorder="1" applyAlignment="1">
      <alignment horizontal="center" vertical="center" wrapText="1"/>
    </xf>
    <xf numFmtId="0" fontId="9" fillId="11" borderId="0" xfId="0" applyFont="1" applyFill="1" applyBorder="1" applyAlignment="1">
      <alignment horizontal="center" vertical="center" wrapText="1"/>
    </xf>
    <xf numFmtId="0" fontId="9" fillId="11" borderId="11" xfId="0" applyFont="1" applyFill="1" applyBorder="1" applyAlignment="1">
      <alignment horizontal="center" vertical="center" wrapText="1"/>
    </xf>
    <xf numFmtId="0" fontId="8" fillId="3" borderId="16" xfId="0" applyFont="1" applyFill="1" applyBorder="1" applyAlignment="1">
      <alignment horizontal="center" vertical="center" wrapText="1"/>
    </xf>
    <xf numFmtId="0" fontId="9" fillId="3" borderId="16" xfId="0" applyFont="1" applyFill="1" applyBorder="1" applyAlignment="1">
      <alignment horizontal="center" vertical="center" wrapText="1"/>
    </xf>
    <xf numFmtId="0" fontId="9" fillId="3" borderId="0" xfId="0" applyFont="1" applyFill="1" applyBorder="1" applyAlignment="1">
      <alignment horizontal="center" vertical="center" wrapText="1"/>
    </xf>
    <xf numFmtId="0" fontId="8" fillId="6" borderId="18" xfId="0" applyFont="1" applyFill="1" applyBorder="1" applyAlignment="1">
      <alignment horizontal="center" vertical="center" wrapText="1"/>
    </xf>
    <xf numFmtId="0" fontId="8" fillId="6" borderId="17" xfId="0" applyFont="1" applyFill="1" applyBorder="1" applyAlignment="1">
      <alignment horizontal="center" vertical="center" wrapText="1"/>
    </xf>
    <xf numFmtId="0" fontId="8" fillId="6" borderId="22" xfId="0" applyFont="1" applyFill="1" applyBorder="1" applyAlignment="1">
      <alignment horizontal="center" vertical="center" wrapText="1"/>
    </xf>
    <xf numFmtId="0" fontId="8" fillId="6" borderId="9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1" fontId="10" fillId="5" borderId="37" xfId="0" applyNumberFormat="1" applyFont="1" applyFill="1" applyBorder="1" applyAlignment="1">
      <alignment horizontal="center" vertical="center"/>
    </xf>
    <xf numFmtId="1" fontId="12" fillId="5" borderId="37" xfId="0" applyNumberFormat="1" applyFont="1" applyFill="1" applyBorder="1" applyAlignment="1">
      <alignment horizontal="center" vertical="center"/>
    </xf>
    <xf numFmtId="1" fontId="21" fillId="0" borderId="87" xfId="8" applyNumberFormat="1" applyFont="1" applyBorder="1" applyAlignment="1">
      <alignment horizontal="center"/>
    </xf>
    <xf numFmtId="1" fontId="21" fillId="0" borderId="88" xfId="8" applyNumberFormat="1" applyFont="1" applyBorder="1" applyAlignment="1">
      <alignment horizontal="center"/>
    </xf>
    <xf numFmtId="1" fontId="21" fillId="0" borderId="89" xfId="8" applyNumberFormat="1" applyFont="1" applyBorder="1" applyAlignment="1">
      <alignment horizontal="center"/>
    </xf>
    <xf numFmtId="0" fontId="5" fillId="15" borderId="42" xfId="2" applyFont="1" applyFill="1" applyBorder="1" applyAlignment="1">
      <alignment horizontal="center"/>
    </xf>
    <xf numFmtId="0" fontId="5" fillId="15" borderId="43" xfId="2" applyFont="1" applyFill="1" applyBorder="1" applyAlignment="1">
      <alignment horizontal="center"/>
    </xf>
    <xf numFmtId="0" fontId="5" fillId="15" borderId="44" xfId="2" applyFont="1" applyFill="1" applyBorder="1" applyAlignment="1">
      <alignment horizontal="center"/>
    </xf>
  </cellXfs>
  <cellStyles count="69">
    <cellStyle name="Euro" xfId="4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Milliers 2" xfId="10"/>
    <cellStyle name="Milliers 3" xfId="9"/>
    <cellStyle name="Normal" xfId="0" builtinId="0"/>
    <cellStyle name="Normal 2" xfId="8"/>
    <cellStyle name="Normal 3" xfId="12"/>
    <cellStyle name="Normal_Essai" xfId="2"/>
    <cellStyle name="Pourcentage" xfId="1" builtinId="5"/>
    <cellStyle name="Pourcentage 2" xfId="5"/>
    <cellStyle name="Pourcentage 3" xfId="3"/>
    <cellStyle name="Pourcentage 4" xfId="11"/>
    <cellStyle name="YN" xfId="6"/>
    <cellStyle name="YN 2" xfId="7"/>
  </cellStyles>
  <dxfs count="19">
    <dxf>
      <font>
        <color theme="0"/>
      </font>
      <fill>
        <patternFill patternType="solid">
          <bgColor theme="0"/>
        </patternFill>
      </fill>
    </dxf>
    <dxf>
      <font>
        <b val="0"/>
        <i val="0"/>
        <color theme="0"/>
      </font>
      <fill>
        <patternFill>
          <bgColor rgb="FFFF6699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FF6699"/>
      </font>
      <fill>
        <patternFill>
          <bgColor rgb="FFFF6699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 patternType="solid">
          <bgColor theme="0"/>
        </patternFill>
      </fill>
    </dxf>
    <dxf>
      <font>
        <b val="0"/>
        <i val="0"/>
        <color theme="0"/>
      </font>
      <fill>
        <patternFill>
          <bgColor rgb="FFFF6699"/>
        </patternFill>
      </fill>
    </dxf>
    <dxf>
      <font>
        <color theme="0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FF6699"/>
      </font>
      <fill>
        <patternFill>
          <bgColor rgb="FFFF6699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font>
        <color theme="0"/>
      </font>
    </dxf>
  </dxfs>
  <tableStyles count="0" defaultTableStyle="TableStyleMedium2" defaultPivotStyle="PivotStyleLight16"/>
  <colors>
    <mruColors>
      <color rgb="FFFFFFFF"/>
      <color rgb="FFFFFFCC"/>
      <color rgb="FF0099FF"/>
      <color rgb="FF66FFFF"/>
      <color rgb="FFCCFFCC"/>
      <color rgb="FFFFCC99"/>
      <color rgb="FF99CCFF"/>
      <color rgb="FFCCCCFF"/>
      <color rgb="FFFF6699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calcChain" Target="calcChain.xml"/><Relationship Id="rId12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theme" Target="theme/theme1.xml"/><Relationship Id="rId9" Type="http://schemas.openxmlformats.org/officeDocument/2006/relationships/styles" Target="styles.xml"/><Relationship Id="rId10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A</a:t>
            </a:r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'CA Jour'!$C$61</c:f>
              <c:strCache>
                <c:ptCount val="1"/>
                <c:pt idx="0">
                  <c:v>Objectif</c:v>
                </c:pt>
              </c:strCache>
            </c:strRef>
          </c:tx>
          <c:marker>
            <c:symbol val="none"/>
          </c:marker>
          <c:cat>
            <c:numRef>
              <c:f>'CA Jour'!$B$62:$B$82</c:f>
              <c:numCache>
                <c:formatCode>General</c:formatCode>
                <c:ptCount val="21"/>
                <c:pt idx="0">
                  <c:v>1.0</c:v>
                </c:pt>
                <c:pt idx="1">
                  <c:v>2.0</c:v>
                </c:pt>
                <c:pt idx="2">
                  <c:v>3.0</c:v>
                </c:pt>
                <c:pt idx="3">
                  <c:v>4.0</c:v>
                </c:pt>
                <c:pt idx="4">
                  <c:v>5.0</c:v>
                </c:pt>
                <c:pt idx="5">
                  <c:v>6.0</c:v>
                </c:pt>
                <c:pt idx="6">
                  <c:v>7.0</c:v>
                </c:pt>
                <c:pt idx="7">
                  <c:v>8.0</c:v>
                </c:pt>
                <c:pt idx="8">
                  <c:v>9.0</c:v>
                </c:pt>
                <c:pt idx="9">
                  <c:v>10.0</c:v>
                </c:pt>
                <c:pt idx="10">
                  <c:v>11.0</c:v>
                </c:pt>
                <c:pt idx="11">
                  <c:v>12.0</c:v>
                </c:pt>
                <c:pt idx="12">
                  <c:v>13.0</c:v>
                </c:pt>
                <c:pt idx="13">
                  <c:v>14.0</c:v>
                </c:pt>
                <c:pt idx="14">
                  <c:v>15.0</c:v>
                </c:pt>
                <c:pt idx="15">
                  <c:v>16.0</c:v>
                </c:pt>
                <c:pt idx="16">
                  <c:v>17.0</c:v>
                </c:pt>
                <c:pt idx="17">
                  <c:v>18.0</c:v>
                </c:pt>
                <c:pt idx="18">
                  <c:v>19.0</c:v>
                </c:pt>
                <c:pt idx="19">
                  <c:v>20.0</c:v>
                </c:pt>
                <c:pt idx="20">
                  <c:v>21.0</c:v>
                </c:pt>
              </c:numCache>
            </c:numRef>
          </c:cat>
          <c:val>
            <c:numRef>
              <c:f>'CA Jour'!$C$62:$C$82</c:f>
              <c:numCache>
                <c:formatCode>0</c:formatCode>
                <c:ptCount val="21"/>
                <c:pt idx="0">
                  <c:v>3000.0</c:v>
                </c:pt>
                <c:pt idx="1">
                  <c:v>6000.0</c:v>
                </c:pt>
                <c:pt idx="2">
                  <c:v>9000.0</c:v>
                </c:pt>
                <c:pt idx="3">
                  <c:v>12000.0</c:v>
                </c:pt>
                <c:pt idx="4">
                  <c:v>15000.0</c:v>
                </c:pt>
                <c:pt idx="5">
                  <c:v>18000.0</c:v>
                </c:pt>
                <c:pt idx="6">
                  <c:v>21000.0</c:v>
                </c:pt>
                <c:pt idx="7">
                  <c:v>24000.0</c:v>
                </c:pt>
                <c:pt idx="8">
                  <c:v>27000.0</c:v>
                </c:pt>
                <c:pt idx="9">
                  <c:v>30000.0</c:v>
                </c:pt>
                <c:pt idx="10">
                  <c:v>33000.0</c:v>
                </c:pt>
                <c:pt idx="11">
                  <c:v>36000.0</c:v>
                </c:pt>
                <c:pt idx="12">
                  <c:v>39000.0</c:v>
                </c:pt>
                <c:pt idx="13">
                  <c:v>42000.0</c:v>
                </c:pt>
                <c:pt idx="14">
                  <c:v>45000.0</c:v>
                </c:pt>
                <c:pt idx="15">
                  <c:v>48000.0</c:v>
                </c:pt>
                <c:pt idx="16">
                  <c:v>51000.0</c:v>
                </c:pt>
                <c:pt idx="17">
                  <c:v>54000.0</c:v>
                </c:pt>
                <c:pt idx="18">
                  <c:v>57000.0</c:v>
                </c:pt>
                <c:pt idx="19">
                  <c:v>60000.0</c:v>
                </c:pt>
                <c:pt idx="20">
                  <c:v>63000.0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'CA Jour'!$D$61</c:f>
              <c:strCache>
                <c:ptCount val="1"/>
                <c:pt idx="0">
                  <c:v>R_alis_</c:v>
                </c:pt>
              </c:strCache>
            </c:strRef>
          </c:tx>
          <c:marker>
            <c:symbol val="none"/>
          </c:marker>
          <c:cat>
            <c:numRef>
              <c:f>'CA Jour'!$B$62:$B$82</c:f>
              <c:numCache>
                <c:formatCode>General</c:formatCode>
                <c:ptCount val="21"/>
                <c:pt idx="0">
                  <c:v>1.0</c:v>
                </c:pt>
                <c:pt idx="1">
                  <c:v>2.0</c:v>
                </c:pt>
                <c:pt idx="2">
                  <c:v>3.0</c:v>
                </c:pt>
                <c:pt idx="3">
                  <c:v>4.0</c:v>
                </c:pt>
                <c:pt idx="4">
                  <c:v>5.0</c:v>
                </c:pt>
                <c:pt idx="5">
                  <c:v>6.0</c:v>
                </c:pt>
                <c:pt idx="6">
                  <c:v>7.0</c:v>
                </c:pt>
                <c:pt idx="7">
                  <c:v>8.0</c:v>
                </c:pt>
                <c:pt idx="8">
                  <c:v>9.0</c:v>
                </c:pt>
                <c:pt idx="9">
                  <c:v>10.0</c:v>
                </c:pt>
                <c:pt idx="10">
                  <c:v>11.0</c:v>
                </c:pt>
                <c:pt idx="11">
                  <c:v>12.0</c:v>
                </c:pt>
                <c:pt idx="12">
                  <c:v>13.0</c:v>
                </c:pt>
                <c:pt idx="13">
                  <c:v>14.0</c:v>
                </c:pt>
                <c:pt idx="14">
                  <c:v>15.0</c:v>
                </c:pt>
                <c:pt idx="15">
                  <c:v>16.0</c:v>
                </c:pt>
                <c:pt idx="16">
                  <c:v>17.0</c:v>
                </c:pt>
                <c:pt idx="17">
                  <c:v>18.0</c:v>
                </c:pt>
                <c:pt idx="18">
                  <c:v>19.0</c:v>
                </c:pt>
                <c:pt idx="19">
                  <c:v>20.0</c:v>
                </c:pt>
                <c:pt idx="20">
                  <c:v>21.0</c:v>
                </c:pt>
              </c:numCache>
            </c:numRef>
          </c:cat>
          <c:val>
            <c:numRef>
              <c:f>'CA Jour'!$D$62:$D$82</c:f>
              <c:numCache>
                <c:formatCode>General</c:formatCode>
                <c:ptCount val="21"/>
                <c:pt idx="0">
                  <c:v>1159.0</c:v>
                </c:pt>
                <c:pt idx="1">
                  <c:v>3536.0</c:v>
                </c:pt>
                <c:pt idx="2">
                  <c:v>3653.0</c:v>
                </c:pt>
                <c:pt idx="3">
                  <c:v>7396.0</c:v>
                </c:pt>
                <c:pt idx="4">
                  <c:v>10191.0</c:v>
                </c:pt>
                <c:pt idx="5">
                  <c:v>11459.0</c:v>
                </c:pt>
                <c:pt idx="6">
                  <c:v>14631.0</c:v>
                </c:pt>
                <c:pt idx="7">
                  <c:v>0.0</c:v>
                </c:pt>
                <c:pt idx="8">
                  <c:v>0.0</c:v>
                </c:pt>
                <c:pt idx="9">
                  <c:v>0.0</c:v>
                </c:pt>
                <c:pt idx="10">
                  <c:v>0.0</c:v>
                </c:pt>
                <c:pt idx="11">
                  <c:v>0.0</c:v>
                </c:pt>
                <c:pt idx="12">
                  <c:v>0.0</c:v>
                </c:pt>
                <c:pt idx="13">
                  <c:v>0.0</c:v>
                </c:pt>
                <c:pt idx="14">
                  <c:v>0.0</c:v>
                </c:pt>
                <c:pt idx="15">
                  <c:v>0.0</c:v>
                </c:pt>
                <c:pt idx="16">
                  <c:v>0.0</c:v>
                </c:pt>
                <c:pt idx="17">
                  <c:v>0.0</c:v>
                </c:pt>
                <c:pt idx="18">
                  <c:v>0.0</c:v>
                </c:pt>
                <c:pt idx="19">
                  <c:v>0.0</c:v>
                </c:pt>
                <c:pt idx="20">
                  <c:v>0.0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117337016"/>
        <c:axId val="2117339080"/>
      </c:lineChart>
      <c:catAx>
        <c:axId val="211733701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2117339080"/>
        <c:crosses val="autoZero"/>
        <c:auto val="1"/>
        <c:lblAlgn val="ctr"/>
        <c:lblOffset val="100"/>
        <c:noMultiLvlLbl val="0"/>
      </c:catAx>
      <c:valAx>
        <c:axId val="2117339080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2117337016"/>
        <c:crosses val="autoZero"/>
        <c:crossBetween val="between"/>
      </c:valAx>
      <c:dTable>
        <c:showHorzBorder val="1"/>
        <c:showVertBorder val="1"/>
        <c:showOutline val="1"/>
        <c:showKeys val="1"/>
      </c:dTable>
    </c:plotArea>
    <c:plotVisOnly val="1"/>
    <c:dispBlanksAs val="gap"/>
    <c:showDLblsOverMax val="0"/>
  </c:chart>
  <c:spPr>
    <a:solidFill>
      <a:srgbClr val="FFFFCC"/>
    </a:solidFill>
  </c:spPr>
  <c:printSettings>
    <c:headerFooter/>
    <c:pageMargins b="1.0" l="0.75" r="0.75" t="1.0" header="0.5" footer="0.5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B</a:t>
            </a:r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'CA Jour'!$F$61</c:f>
              <c:strCache>
                <c:ptCount val="1"/>
                <c:pt idx="0">
                  <c:v>Objectif</c:v>
                </c:pt>
              </c:strCache>
            </c:strRef>
          </c:tx>
          <c:marker>
            <c:symbol val="none"/>
          </c:marker>
          <c:cat>
            <c:numRef>
              <c:f>'CA Jour'!$E$62:$E$82</c:f>
              <c:numCache>
                <c:formatCode>General</c:formatCode>
                <c:ptCount val="21"/>
                <c:pt idx="0">
                  <c:v>1.0</c:v>
                </c:pt>
                <c:pt idx="1">
                  <c:v>2.0</c:v>
                </c:pt>
                <c:pt idx="2">
                  <c:v>3.0</c:v>
                </c:pt>
                <c:pt idx="3">
                  <c:v>4.0</c:v>
                </c:pt>
                <c:pt idx="4">
                  <c:v>5.0</c:v>
                </c:pt>
                <c:pt idx="5">
                  <c:v>6.0</c:v>
                </c:pt>
                <c:pt idx="6">
                  <c:v>7.0</c:v>
                </c:pt>
                <c:pt idx="7">
                  <c:v>8.0</c:v>
                </c:pt>
                <c:pt idx="8">
                  <c:v>9.0</c:v>
                </c:pt>
                <c:pt idx="9">
                  <c:v>10.0</c:v>
                </c:pt>
                <c:pt idx="10">
                  <c:v>11.0</c:v>
                </c:pt>
                <c:pt idx="11">
                  <c:v>12.0</c:v>
                </c:pt>
                <c:pt idx="12">
                  <c:v>13.0</c:v>
                </c:pt>
                <c:pt idx="13">
                  <c:v>14.0</c:v>
                </c:pt>
                <c:pt idx="14">
                  <c:v>15.0</c:v>
                </c:pt>
                <c:pt idx="15">
                  <c:v>16.0</c:v>
                </c:pt>
                <c:pt idx="16">
                  <c:v>17.0</c:v>
                </c:pt>
                <c:pt idx="17">
                  <c:v>18.0</c:v>
                </c:pt>
                <c:pt idx="18">
                  <c:v>19.0</c:v>
                </c:pt>
                <c:pt idx="19">
                  <c:v>20.0</c:v>
                </c:pt>
                <c:pt idx="20">
                  <c:v>21.0</c:v>
                </c:pt>
              </c:numCache>
            </c:numRef>
          </c:cat>
          <c:val>
            <c:numRef>
              <c:f>'CA Jour'!$F$62:$F$82</c:f>
              <c:numCache>
                <c:formatCode>0</c:formatCode>
                <c:ptCount val="21"/>
                <c:pt idx="0">
                  <c:v>456.0</c:v>
                </c:pt>
                <c:pt idx="1">
                  <c:v>912.0</c:v>
                </c:pt>
                <c:pt idx="2">
                  <c:v>1368.0</c:v>
                </c:pt>
                <c:pt idx="3">
                  <c:v>1824.0</c:v>
                </c:pt>
                <c:pt idx="4">
                  <c:v>2280.0</c:v>
                </c:pt>
                <c:pt idx="5">
                  <c:v>2736.0</c:v>
                </c:pt>
                <c:pt idx="6">
                  <c:v>3192.0</c:v>
                </c:pt>
                <c:pt idx="7">
                  <c:v>3648.0</c:v>
                </c:pt>
                <c:pt idx="8">
                  <c:v>4104.0</c:v>
                </c:pt>
                <c:pt idx="9">
                  <c:v>4560.0</c:v>
                </c:pt>
                <c:pt idx="10">
                  <c:v>5016.0</c:v>
                </c:pt>
                <c:pt idx="11">
                  <c:v>5472.0</c:v>
                </c:pt>
                <c:pt idx="12">
                  <c:v>5928.0</c:v>
                </c:pt>
                <c:pt idx="13">
                  <c:v>6384.0</c:v>
                </c:pt>
                <c:pt idx="14">
                  <c:v>6840.0</c:v>
                </c:pt>
                <c:pt idx="15">
                  <c:v>7296.0</c:v>
                </c:pt>
                <c:pt idx="16">
                  <c:v>7752.0</c:v>
                </c:pt>
                <c:pt idx="17">
                  <c:v>8208.0</c:v>
                </c:pt>
                <c:pt idx="18">
                  <c:v>8664.0</c:v>
                </c:pt>
                <c:pt idx="19">
                  <c:v>9120.0</c:v>
                </c:pt>
                <c:pt idx="20">
                  <c:v>9576.0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'CA Jour'!$G$61</c:f>
              <c:strCache>
                <c:ptCount val="1"/>
                <c:pt idx="0">
                  <c:v>R_alis_</c:v>
                </c:pt>
              </c:strCache>
            </c:strRef>
          </c:tx>
          <c:marker>
            <c:symbol val="none"/>
          </c:marker>
          <c:cat>
            <c:numRef>
              <c:f>'CA Jour'!$E$62:$E$82</c:f>
              <c:numCache>
                <c:formatCode>General</c:formatCode>
                <c:ptCount val="21"/>
                <c:pt idx="0">
                  <c:v>1.0</c:v>
                </c:pt>
                <c:pt idx="1">
                  <c:v>2.0</c:v>
                </c:pt>
                <c:pt idx="2">
                  <c:v>3.0</c:v>
                </c:pt>
                <c:pt idx="3">
                  <c:v>4.0</c:v>
                </c:pt>
                <c:pt idx="4">
                  <c:v>5.0</c:v>
                </c:pt>
                <c:pt idx="5">
                  <c:v>6.0</c:v>
                </c:pt>
                <c:pt idx="6">
                  <c:v>7.0</c:v>
                </c:pt>
                <c:pt idx="7">
                  <c:v>8.0</c:v>
                </c:pt>
                <c:pt idx="8">
                  <c:v>9.0</c:v>
                </c:pt>
                <c:pt idx="9">
                  <c:v>10.0</c:v>
                </c:pt>
                <c:pt idx="10">
                  <c:v>11.0</c:v>
                </c:pt>
                <c:pt idx="11">
                  <c:v>12.0</c:v>
                </c:pt>
                <c:pt idx="12">
                  <c:v>13.0</c:v>
                </c:pt>
                <c:pt idx="13">
                  <c:v>14.0</c:v>
                </c:pt>
                <c:pt idx="14">
                  <c:v>15.0</c:v>
                </c:pt>
                <c:pt idx="15">
                  <c:v>16.0</c:v>
                </c:pt>
                <c:pt idx="16">
                  <c:v>17.0</c:v>
                </c:pt>
                <c:pt idx="17">
                  <c:v>18.0</c:v>
                </c:pt>
                <c:pt idx="18">
                  <c:v>19.0</c:v>
                </c:pt>
                <c:pt idx="19">
                  <c:v>20.0</c:v>
                </c:pt>
                <c:pt idx="20">
                  <c:v>21.0</c:v>
                </c:pt>
              </c:numCache>
            </c:numRef>
          </c:cat>
          <c:val>
            <c:numRef>
              <c:f>'CA Jour'!$G$62:$G$82</c:f>
              <c:numCache>
                <c:formatCode>General</c:formatCode>
                <c:ptCount val="21"/>
                <c:pt idx="0">
                  <c:v>0.0</c:v>
                </c:pt>
                <c:pt idx="1">
                  <c:v>0.0</c:v>
                </c:pt>
                <c:pt idx="2">
                  <c:v>0.0</c:v>
                </c:pt>
                <c:pt idx="3">
                  <c:v>0.0</c:v>
                </c:pt>
                <c:pt idx="4">
                  <c:v>0.0</c:v>
                </c:pt>
                <c:pt idx="5">
                  <c:v>2.0</c:v>
                </c:pt>
                <c:pt idx="6">
                  <c:v>2.0</c:v>
                </c:pt>
                <c:pt idx="7">
                  <c:v>0.0</c:v>
                </c:pt>
                <c:pt idx="8">
                  <c:v>0.0</c:v>
                </c:pt>
                <c:pt idx="9">
                  <c:v>0.0</c:v>
                </c:pt>
                <c:pt idx="10">
                  <c:v>0.0</c:v>
                </c:pt>
                <c:pt idx="11">
                  <c:v>0.0</c:v>
                </c:pt>
                <c:pt idx="12">
                  <c:v>0.0</c:v>
                </c:pt>
                <c:pt idx="13">
                  <c:v>0.0</c:v>
                </c:pt>
                <c:pt idx="14">
                  <c:v>0.0</c:v>
                </c:pt>
                <c:pt idx="15">
                  <c:v>0.0</c:v>
                </c:pt>
                <c:pt idx="16">
                  <c:v>0.0</c:v>
                </c:pt>
                <c:pt idx="17">
                  <c:v>0.0</c:v>
                </c:pt>
                <c:pt idx="18">
                  <c:v>0.0</c:v>
                </c:pt>
                <c:pt idx="19">
                  <c:v>0.0</c:v>
                </c:pt>
                <c:pt idx="20">
                  <c:v>0.0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117422504"/>
        <c:axId val="2117425384"/>
      </c:lineChart>
      <c:catAx>
        <c:axId val="211742250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2117425384"/>
        <c:crosses val="autoZero"/>
        <c:auto val="1"/>
        <c:lblAlgn val="ctr"/>
        <c:lblOffset val="100"/>
        <c:noMultiLvlLbl val="0"/>
      </c:catAx>
      <c:valAx>
        <c:axId val="2117425384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2117422504"/>
        <c:crosses val="autoZero"/>
        <c:crossBetween val="between"/>
      </c:valAx>
      <c:dTable>
        <c:showHorzBorder val="1"/>
        <c:showVertBorder val="1"/>
        <c:showOutline val="1"/>
        <c:showKeys val="1"/>
      </c:dTable>
    </c:plotArea>
    <c:plotVisOnly val="1"/>
    <c:dispBlanksAs val="gap"/>
    <c:showDLblsOverMax val="0"/>
  </c:chart>
  <c:spPr>
    <a:solidFill>
      <a:srgbClr val="99CCFF"/>
    </a:solidFill>
  </c:spPr>
  <c:printSettings>
    <c:headerFooter/>
    <c:pageMargins b="1.0" l="0.75" r="0.75" t="1.0" header="0.5" footer="0.5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</a:t>
            </a:r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'CA Jour'!$I$61</c:f>
              <c:strCache>
                <c:ptCount val="1"/>
                <c:pt idx="0">
                  <c:v>Objectif</c:v>
                </c:pt>
              </c:strCache>
            </c:strRef>
          </c:tx>
          <c:marker>
            <c:symbol val="none"/>
          </c:marker>
          <c:cat>
            <c:numRef>
              <c:f>'CA Jour'!$H$62:$H$82</c:f>
              <c:numCache>
                <c:formatCode>General</c:formatCode>
                <c:ptCount val="21"/>
                <c:pt idx="0">
                  <c:v>1.0</c:v>
                </c:pt>
                <c:pt idx="1">
                  <c:v>2.0</c:v>
                </c:pt>
                <c:pt idx="2">
                  <c:v>3.0</c:v>
                </c:pt>
                <c:pt idx="3">
                  <c:v>4.0</c:v>
                </c:pt>
                <c:pt idx="4">
                  <c:v>5.0</c:v>
                </c:pt>
                <c:pt idx="5">
                  <c:v>6.0</c:v>
                </c:pt>
                <c:pt idx="6">
                  <c:v>7.0</c:v>
                </c:pt>
                <c:pt idx="7">
                  <c:v>8.0</c:v>
                </c:pt>
                <c:pt idx="8">
                  <c:v>9.0</c:v>
                </c:pt>
                <c:pt idx="9">
                  <c:v>10.0</c:v>
                </c:pt>
                <c:pt idx="10">
                  <c:v>11.0</c:v>
                </c:pt>
                <c:pt idx="11">
                  <c:v>12.0</c:v>
                </c:pt>
                <c:pt idx="12">
                  <c:v>13.0</c:v>
                </c:pt>
                <c:pt idx="13">
                  <c:v>14.0</c:v>
                </c:pt>
                <c:pt idx="14">
                  <c:v>15.0</c:v>
                </c:pt>
                <c:pt idx="15">
                  <c:v>16.0</c:v>
                </c:pt>
                <c:pt idx="16">
                  <c:v>17.0</c:v>
                </c:pt>
                <c:pt idx="17">
                  <c:v>18.0</c:v>
                </c:pt>
                <c:pt idx="18">
                  <c:v>19.0</c:v>
                </c:pt>
                <c:pt idx="19">
                  <c:v>20.0</c:v>
                </c:pt>
                <c:pt idx="20">
                  <c:v>21.0</c:v>
                </c:pt>
              </c:numCache>
            </c:numRef>
          </c:cat>
          <c:val>
            <c:numRef>
              <c:f>'CA Jour'!$I$62:$I$82</c:f>
              <c:numCache>
                <c:formatCode>0</c:formatCode>
                <c:ptCount val="21"/>
                <c:pt idx="0">
                  <c:v>3840.0</c:v>
                </c:pt>
                <c:pt idx="1">
                  <c:v>7680.0</c:v>
                </c:pt>
                <c:pt idx="2">
                  <c:v>11520.0</c:v>
                </c:pt>
                <c:pt idx="3">
                  <c:v>15360.0</c:v>
                </c:pt>
                <c:pt idx="4">
                  <c:v>19200.0</c:v>
                </c:pt>
                <c:pt idx="5">
                  <c:v>23040.0</c:v>
                </c:pt>
                <c:pt idx="6">
                  <c:v>26880.0</c:v>
                </c:pt>
                <c:pt idx="7">
                  <c:v>30720.0</c:v>
                </c:pt>
                <c:pt idx="8">
                  <c:v>34560.0</c:v>
                </c:pt>
                <c:pt idx="9">
                  <c:v>38400.0</c:v>
                </c:pt>
                <c:pt idx="10">
                  <c:v>42240.0</c:v>
                </c:pt>
                <c:pt idx="11">
                  <c:v>46080.0</c:v>
                </c:pt>
                <c:pt idx="12">
                  <c:v>49920.0</c:v>
                </c:pt>
                <c:pt idx="13">
                  <c:v>53760.0</c:v>
                </c:pt>
                <c:pt idx="14">
                  <c:v>57600.0</c:v>
                </c:pt>
                <c:pt idx="15">
                  <c:v>61440.0</c:v>
                </c:pt>
                <c:pt idx="16">
                  <c:v>65280.0</c:v>
                </c:pt>
                <c:pt idx="17">
                  <c:v>69120.0</c:v>
                </c:pt>
                <c:pt idx="18">
                  <c:v>72960.0</c:v>
                </c:pt>
                <c:pt idx="19">
                  <c:v>76800.0</c:v>
                </c:pt>
                <c:pt idx="20">
                  <c:v>80640.0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'CA Jour'!$J$61</c:f>
              <c:strCache>
                <c:ptCount val="1"/>
                <c:pt idx="0">
                  <c:v>R_alis_</c:v>
                </c:pt>
              </c:strCache>
            </c:strRef>
          </c:tx>
          <c:marker>
            <c:symbol val="none"/>
          </c:marker>
          <c:cat>
            <c:numRef>
              <c:f>'CA Jour'!$H$62:$H$82</c:f>
              <c:numCache>
                <c:formatCode>General</c:formatCode>
                <c:ptCount val="21"/>
                <c:pt idx="0">
                  <c:v>1.0</c:v>
                </c:pt>
                <c:pt idx="1">
                  <c:v>2.0</c:v>
                </c:pt>
                <c:pt idx="2">
                  <c:v>3.0</c:v>
                </c:pt>
                <c:pt idx="3">
                  <c:v>4.0</c:v>
                </c:pt>
                <c:pt idx="4">
                  <c:v>5.0</c:v>
                </c:pt>
                <c:pt idx="5">
                  <c:v>6.0</c:v>
                </c:pt>
                <c:pt idx="6">
                  <c:v>7.0</c:v>
                </c:pt>
                <c:pt idx="7">
                  <c:v>8.0</c:v>
                </c:pt>
                <c:pt idx="8">
                  <c:v>9.0</c:v>
                </c:pt>
                <c:pt idx="9">
                  <c:v>10.0</c:v>
                </c:pt>
                <c:pt idx="10">
                  <c:v>11.0</c:v>
                </c:pt>
                <c:pt idx="11">
                  <c:v>12.0</c:v>
                </c:pt>
                <c:pt idx="12">
                  <c:v>13.0</c:v>
                </c:pt>
                <c:pt idx="13">
                  <c:v>14.0</c:v>
                </c:pt>
                <c:pt idx="14">
                  <c:v>15.0</c:v>
                </c:pt>
                <c:pt idx="15">
                  <c:v>16.0</c:v>
                </c:pt>
                <c:pt idx="16">
                  <c:v>17.0</c:v>
                </c:pt>
                <c:pt idx="17">
                  <c:v>18.0</c:v>
                </c:pt>
                <c:pt idx="18">
                  <c:v>19.0</c:v>
                </c:pt>
                <c:pt idx="19">
                  <c:v>20.0</c:v>
                </c:pt>
                <c:pt idx="20">
                  <c:v>21.0</c:v>
                </c:pt>
              </c:numCache>
            </c:numRef>
          </c:cat>
          <c:val>
            <c:numRef>
              <c:f>'CA Jour'!$J$62:$J$82</c:f>
              <c:numCache>
                <c:formatCode>General</c:formatCode>
                <c:ptCount val="21"/>
                <c:pt idx="0">
                  <c:v>30.0</c:v>
                </c:pt>
                <c:pt idx="1">
                  <c:v>361.0</c:v>
                </c:pt>
                <c:pt idx="2">
                  <c:v>6525.0</c:v>
                </c:pt>
                <c:pt idx="3">
                  <c:v>8237.0</c:v>
                </c:pt>
                <c:pt idx="4">
                  <c:v>16108.0</c:v>
                </c:pt>
                <c:pt idx="5">
                  <c:v>16602.0</c:v>
                </c:pt>
                <c:pt idx="6">
                  <c:v>19934.0</c:v>
                </c:pt>
                <c:pt idx="7">
                  <c:v>0.0</c:v>
                </c:pt>
                <c:pt idx="8">
                  <c:v>0.0</c:v>
                </c:pt>
                <c:pt idx="9">
                  <c:v>0.0</c:v>
                </c:pt>
                <c:pt idx="10">
                  <c:v>0.0</c:v>
                </c:pt>
                <c:pt idx="11">
                  <c:v>0.0</c:v>
                </c:pt>
                <c:pt idx="12">
                  <c:v>0.0</c:v>
                </c:pt>
                <c:pt idx="13">
                  <c:v>0.0</c:v>
                </c:pt>
                <c:pt idx="14">
                  <c:v>0.0</c:v>
                </c:pt>
                <c:pt idx="15">
                  <c:v>0.0</c:v>
                </c:pt>
                <c:pt idx="16">
                  <c:v>0.0</c:v>
                </c:pt>
                <c:pt idx="17">
                  <c:v>0.0</c:v>
                </c:pt>
                <c:pt idx="18">
                  <c:v>0.0</c:v>
                </c:pt>
                <c:pt idx="19">
                  <c:v>0.0</c:v>
                </c:pt>
                <c:pt idx="20">
                  <c:v>0.0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117458120"/>
        <c:axId val="2117461000"/>
      </c:lineChart>
      <c:catAx>
        <c:axId val="211745812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2117461000"/>
        <c:crosses val="autoZero"/>
        <c:auto val="1"/>
        <c:lblAlgn val="ctr"/>
        <c:lblOffset val="100"/>
        <c:noMultiLvlLbl val="0"/>
      </c:catAx>
      <c:valAx>
        <c:axId val="2117461000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2117458120"/>
        <c:crosses val="autoZero"/>
        <c:crossBetween val="between"/>
      </c:valAx>
      <c:dTable>
        <c:showHorzBorder val="1"/>
        <c:showVertBorder val="1"/>
        <c:showOutline val="1"/>
        <c:showKeys val="1"/>
      </c:dTable>
    </c:plotArea>
    <c:plotVisOnly val="1"/>
    <c:dispBlanksAs val="gap"/>
    <c:showDLblsOverMax val="0"/>
  </c:chart>
  <c:spPr>
    <a:solidFill>
      <a:srgbClr val="FFCC99"/>
    </a:solidFill>
  </c:spPr>
  <c:printSettings>
    <c:headerFooter/>
    <c:pageMargins b="1.0" l="0.75" r="0.75" t="1.0" header="0.5" footer="0.5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D</a:t>
            </a:r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'CA Jour'!$L$61</c:f>
              <c:strCache>
                <c:ptCount val="1"/>
                <c:pt idx="0">
                  <c:v>Objectif</c:v>
                </c:pt>
              </c:strCache>
            </c:strRef>
          </c:tx>
          <c:marker>
            <c:symbol val="none"/>
          </c:marker>
          <c:cat>
            <c:numRef>
              <c:f>'CA Jour'!$K$62:$K$82</c:f>
              <c:numCache>
                <c:formatCode>General</c:formatCode>
                <c:ptCount val="21"/>
                <c:pt idx="0">
                  <c:v>1.0</c:v>
                </c:pt>
                <c:pt idx="1">
                  <c:v>2.0</c:v>
                </c:pt>
                <c:pt idx="2">
                  <c:v>3.0</c:v>
                </c:pt>
                <c:pt idx="3">
                  <c:v>4.0</c:v>
                </c:pt>
                <c:pt idx="4">
                  <c:v>5.0</c:v>
                </c:pt>
                <c:pt idx="5">
                  <c:v>6.0</c:v>
                </c:pt>
                <c:pt idx="6">
                  <c:v>7.0</c:v>
                </c:pt>
                <c:pt idx="7">
                  <c:v>8.0</c:v>
                </c:pt>
                <c:pt idx="8">
                  <c:v>9.0</c:v>
                </c:pt>
                <c:pt idx="9">
                  <c:v>10.0</c:v>
                </c:pt>
                <c:pt idx="10">
                  <c:v>11.0</c:v>
                </c:pt>
                <c:pt idx="11">
                  <c:v>12.0</c:v>
                </c:pt>
                <c:pt idx="12">
                  <c:v>13.0</c:v>
                </c:pt>
                <c:pt idx="13">
                  <c:v>14.0</c:v>
                </c:pt>
                <c:pt idx="14">
                  <c:v>15.0</c:v>
                </c:pt>
                <c:pt idx="15">
                  <c:v>16.0</c:v>
                </c:pt>
                <c:pt idx="16">
                  <c:v>17.0</c:v>
                </c:pt>
                <c:pt idx="17">
                  <c:v>18.0</c:v>
                </c:pt>
                <c:pt idx="18">
                  <c:v>19.0</c:v>
                </c:pt>
                <c:pt idx="19">
                  <c:v>20.0</c:v>
                </c:pt>
                <c:pt idx="20">
                  <c:v>21.0</c:v>
                </c:pt>
              </c:numCache>
            </c:numRef>
          </c:cat>
          <c:val>
            <c:numRef>
              <c:f>'CA Jour'!$L$62:$L$82</c:f>
              <c:numCache>
                <c:formatCode>0</c:formatCode>
                <c:ptCount val="21"/>
                <c:pt idx="0">
                  <c:v>4800.0</c:v>
                </c:pt>
                <c:pt idx="1">
                  <c:v>9600.0</c:v>
                </c:pt>
                <c:pt idx="2">
                  <c:v>14400.0</c:v>
                </c:pt>
                <c:pt idx="3">
                  <c:v>19200.0</c:v>
                </c:pt>
                <c:pt idx="4">
                  <c:v>24000.0</c:v>
                </c:pt>
                <c:pt idx="5">
                  <c:v>28800.0</c:v>
                </c:pt>
                <c:pt idx="6">
                  <c:v>33600.0</c:v>
                </c:pt>
                <c:pt idx="7">
                  <c:v>38400.0</c:v>
                </c:pt>
                <c:pt idx="8">
                  <c:v>43200.0</c:v>
                </c:pt>
                <c:pt idx="9">
                  <c:v>48000.0</c:v>
                </c:pt>
                <c:pt idx="10">
                  <c:v>52800.0</c:v>
                </c:pt>
                <c:pt idx="11">
                  <c:v>57600.0</c:v>
                </c:pt>
                <c:pt idx="12">
                  <c:v>62400.0</c:v>
                </c:pt>
                <c:pt idx="13">
                  <c:v>67200.0</c:v>
                </c:pt>
                <c:pt idx="14">
                  <c:v>72000.0</c:v>
                </c:pt>
                <c:pt idx="15">
                  <c:v>76800.0</c:v>
                </c:pt>
                <c:pt idx="16">
                  <c:v>81600.0</c:v>
                </c:pt>
                <c:pt idx="17">
                  <c:v>86400.0</c:v>
                </c:pt>
                <c:pt idx="18">
                  <c:v>91200.0</c:v>
                </c:pt>
                <c:pt idx="19">
                  <c:v>96000.0</c:v>
                </c:pt>
                <c:pt idx="20">
                  <c:v>100800.0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'CA Jour'!$M$61</c:f>
              <c:strCache>
                <c:ptCount val="1"/>
                <c:pt idx="0">
                  <c:v>R_alis_</c:v>
                </c:pt>
              </c:strCache>
            </c:strRef>
          </c:tx>
          <c:marker>
            <c:symbol val="none"/>
          </c:marker>
          <c:cat>
            <c:numRef>
              <c:f>'CA Jour'!$K$62:$K$82</c:f>
              <c:numCache>
                <c:formatCode>General</c:formatCode>
                <c:ptCount val="21"/>
                <c:pt idx="0">
                  <c:v>1.0</c:v>
                </c:pt>
                <c:pt idx="1">
                  <c:v>2.0</c:v>
                </c:pt>
                <c:pt idx="2">
                  <c:v>3.0</c:v>
                </c:pt>
                <c:pt idx="3">
                  <c:v>4.0</c:v>
                </c:pt>
                <c:pt idx="4">
                  <c:v>5.0</c:v>
                </c:pt>
                <c:pt idx="5">
                  <c:v>6.0</c:v>
                </c:pt>
                <c:pt idx="6">
                  <c:v>7.0</c:v>
                </c:pt>
                <c:pt idx="7">
                  <c:v>8.0</c:v>
                </c:pt>
                <c:pt idx="8">
                  <c:v>9.0</c:v>
                </c:pt>
                <c:pt idx="9">
                  <c:v>10.0</c:v>
                </c:pt>
                <c:pt idx="10">
                  <c:v>11.0</c:v>
                </c:pt>
                <c:pt idx="11">
                  <c:v>12.0</c:v>
                </c:pt>
                <c:pt idx="12">
                  <c:v>13.0</c:v>
                </c:pt>
                <c:pt idx="13">
                  <c:v>14.0</c:v>
                </c:pt>
                <c:pt idx="14">
                  <c:v>15.0</c:v>
                </c:pt>
                <c:pt idx="15">
                  <c:v>16.0</c:v>
                </c:pt>
                <c:pt idx="16">
                  <c:v>17.0</c:v>
                </c:pt>
                <c:pt idx="17">
                  <c:v>18.0</c:v>
                </c:pt>
                <c:pt idx="18">
                  <c:v>19.0</c:v>
                </c:pt>
                <c:pt idx="19">
                  <c:v>20.0</c:v>
                </c:pt>
                <c:pt idx="20">
                  <c:v>21.0</c:v>
                </c:pt>
              </c:numCache>
            </c:numRef>
          </c:cat>
          <c:val>
            <c:numRef>
              <c:f>'CA Jour'!$M$62:$M$82</c:f>
              <c:numCache>
                <c:formatCode>General</c:formatCode>
                <c:ptCount val="21"/>
                <c:pt idx="0">
                  <c:v>4439.0</c:v>
                </c:pt>
                <c:pt idx="1">
                  <c:v>10678.0</c:v>
                </c:pt>
                <c:pt idx="2">
                  <c:v>14756.0</c:v>
                </c:pt>
                <c:pt idx="3">
                  <c:v>19710.0</c:v>
                </c:pt>
                <c:pt idx="4">
                  <c:v>27709.0</c:v>
                </c:pt>
                <c:pt idx="5">
                  <c:v>31613.0</c:v>
                </c:pt>
                <c:pt idx="6">
                  <c:v>36180.0</c:v>
                </c:pt>
                <c:pt idx="7">
                  <c:v>0.0</c:v>
                </c:pt>
                <c:pt idx="8">
                  <c:v>0.0</c:v>
                </c:pt>
                <c:pt idx="9">
                  <c:v>0.0</c:v>
                </c:pt>
                <c:pt idx="10">
                  <c:v>0.0</c:v>
                </c:pt>
                <c:pt idx="11">
                  <c:v>0.0</c:v>
                </c:pt>
                <c:pt idx="12">
                  <c:v>0.0</c:v>
                </c:pt>
                <c:pt idx="13">
                  <c:v>0.0</c:v>
                </c:pt>
                <c:pt idx="14">
                  <c:v>0.0</c:v>
                </c:pt>
                <c:pt idx="15">
                  <c:v>0.0</c:v>
                </c:pt>
                <c:pt idx="16">
                  <c:v>0.0</c:v>
                </c:pt>
                <c:pt idx="17">
                  <c:v>0.0</c:v>
                </c:pt>
                <c:pt idx="18">
                  <c:v>0.0</c:v>
                </c:pt>
                <c:pt idx="19">
                  <c:v>0.0</c:v>
                </c:pt>
                <c:pt idx="20">
                  <c:v>0.0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117494232"/>
        <c:axId val="2117497112"/>
      </c:lineChart>
      <c:catAx>
        <c:axId val="211749423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2117497112"/>
        <c:crosses val="autoZero"/>
        <c:auto val="1"/>
        <c:lblAlgn val="ctr"/>
        <c:lblOffset val="100"/>
        <c:noMultiLvlLbl val="0"/>
      </c:catAx>
      <c:valAx>
        <c:axId val="2117497112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2117494232"/>
        <c:crosses val="autoZero"/>
        <c:crossBetween val="between"/>
      </c:valAx>
      <c:dTable>
        <c:showHorzBorder val="1"/>
        <c:showVertBorder val="1"/>
        <c:showOutline val="1"/>
        <c:showKeys val="1"/>
      </c:dTable>
    </c:plotArea>
    <c:plotVisOnly val="1"/>
    <c:dispBlanksAs val="gap"/>
    <c:showDLblsOverMax val="0"/>
  </c:chart>
  <c:spPr>
    <a:solidFill>
      <a:srgbClr val="CCFFCC"/>
    </a:solidFill>
  </c:spPr>
  <c:printSettings>
    <c:headerFooter/>
    <c:pageMargins b="1.0" l="0.75" r="0.75" t="1.0" header="0.5" footer="0.5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TOTAL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'CA Jour'!$R$61</c:f>
              <c:strCache>
                <c:ptCount val="1"/>
                <c:pt idx="0">
                  <c:v>Objectif</c:v>
                </c:pt>
              </c:strCache>
            </c:strRef>
          </c:tx>
          <c:marker>
            <c:symbol val="none"/>
          </c:marker>
          <c:cat>
            <c:numRef>
              <c:f>'CA Jour'!$Q$62:$Q$82</c:f>
              <c:numCache>
                <c:formatCode>General</c:formatCode>
                <c:ptCount val="21"/>
                <c:pt idx="0">
                  <c:v>1.0</c:v>
                </c:pt>
                <c:pt idx="1">
                  <c:v>2.0</c:v>
                </c:pt>
                <c:pt idx="2">
                  <c:v>3.0</c:v>
                </c:pt>
                <c:pt idx="3">
                  <c:v>4.0</c:v>
                </c:pt>
                <c:pt idx="4">
                  <c:v>5.0</c:v>
                </c:pt>
                <c:pt idx="5">
                  <c:v>6.0</c:v>
                </c:pt>
                <c:pt idx="6">
                  <c:v>7.0</c:v>
                </c:pt>
                <c:pt idx="7">
                  <c:v>8.0</c:v>
                </c:pt>
                <c:pt idx="8">
                  <c:v>9.0</c:v>
                </c:pt>
                <c:pt idx="9">
                  <c:v>10.0</c:v>
                </c:pt>
                <c:pt idx="10">
                  <c:v>11.0</c:v>
                </c:pt>
                <c:pt idx="11">
                  <c:v>12.0</c:v>
                </c:pt>
                <c:pt idx="12">
                  <c:v>13.0</c:v>
                </c:pt>
                <c:pt idx="13">
                  <c:v>14.0</c:v>
                </c:pt>
                <c:pt idx="14">
                  <c:v>15.0</c:v>
                </c:pt>
                <c:pt idx="15">
                  <c:v>16.0</c:v>
                </c:pt>
                <c:pt idx="16">
                  <c:v>17.0</c:v>
                </c:pt>
                <c:pt idx="17">
                  <c:v>18.0</c:v>
                </c:pt>
                <c:pt idx="18">
                  <c:v>19.0</c:v>
                </c:pt>
                <c:pt idx="19">
                  <c:v>20.0</c:v>
                </c:pt>
                <c:pt idx="20">
                  <c:v>21.0</c:v>
                </c:pt>
              </c:numCache>
            </c:numRef>
          </c:cat>
          <c:val>
            <c:numRef>
              <c:f>'CA Jour'!$R$62:$R$82</c:f>
              <c:numCache>
                <c:formatCode>0</c:formatCode>
                <c:ptCount val="21"/>
                <c:pt idx="0">
                  <c:v>12096.0</c:v>
                </c:pt>
                <c:pt idx="1">
                  <c:v>24192.0</c:v>
                </c:pt>
                <c:pt idx="2">
                  <c:v>36288.0</c:v>
                </c:pt>
                <c:pt idx="3">
                  <c:v>48384.0</c:v>
                </c:pt>
                <c:pt idx="4">
                  <c:v>60480.0</c:v>
                </c:pt>
                <c:pt idx="5">
                  <c:v>72576.0</c:v>
                </c:pt>
                <c:pt idx="6">
                  <c:v>84672.0</c:v>
                </c:pt>
                <c:pt idx="7">
                  <c:v>96768.0</c:v>
                </c:pt>
                <c:pt idx="8">
                  <c:v>108864.0</c:v>
                </c:pt>
                <c:pt idx="9">
                  <c:v>120960.0</c:v>
                </c:pt>
                <c:pt idx="10">
                  <c:v>133056.0</c:v>
                </c:pt>
                <c:pt idx="11">
                  <c:v>145152.0</c:v>
                </c:pt>
                <c:pt idx="12">
                  <c:v>157248.0</c:v>
                </c:pt>
                <c:pt idx="13">
                  <c:v>169344.0</c:v>
                </c:pt>
                <c:pt idx="14">
                  <c:v>181440.0</c:v>
                </c:pt>
                <c:pt idx="15">
                  <c:v>193536.0</c:v>
                </c:pt>
                <c:pt idx="16">
                  <c:v>205632.0</c:v>
                </c:pt>
                <c:pt idx="17">
                  <c:v>217728.0</c:v>
                </c:pt>
                <c:pt idx="18">
                  <c:v>229824.0</c:v>
                </c:pt>
                <c:pt idx="19">
                  <c:v>241920.0</c:v>
                </c:pt>
                <c:pt idx="20">
                  <c:v>254016.0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'CA Jour'!$S$61</c:f>
              <c:strCache>
                <c:ptCount val="1"/>
                <c:pt idx="0">
                  <c:v>R_alis_</c:v>
                </c:pt>
              </c:strCache>
            </c:strRef>
          </c:tx>
          <c:marker>
            <c:symbol val="none"/>
          </c:marker>
          <c:cat>
            <c:numRef>
              <c:f>'CA Jour'!$Q$62:$Q$82</c:f>
              <c:numCache>
                <c:formatCode>General</c:formatCode>
                <c:ptCount val="21"/>
                <c:pt idx="0">
                  <c:v>1.0</c:v>
                </c:pt>
                <c:pt idx="1">
                  <c:v>2.0</c:v>
                </c:pt>
                <c:pt idx="2">
                  <c:v>3.0</c:v>
                </c:pt>
                <c:pt idx="3">
                  <c:v>4.0</c:v>
                </c:pt>
                <c:pt idx="4">
                  <c:v>5.0</c:v>
                </c:pt>
                <c:pt idx="5">
                  <c:v>6.0</c:v>
                </c:pt>
                <c:pt idx="6">
                  <c:v>7.0</c:v>
                </c:pt>
                <c:pt idx="7">
                  <c:v>8.0</c:v>
                </c:pt>
                <c:pt idx="8">
                  <c:v>9.0</c:v>
                </c:pt>
                <c:pt idx="9">
                  <c:v>10.0</c:v>
                </c:pt>
                <c:pt idx="10">
                  <c:v>11.0</c:v>
                </c:pt>
                <c:pt idx="11">
                  <c:v>12.0</c:v>
                </c:pt>
                <c:pt idx="12">
                  <c:v>13.0</c:v>
                </c:pt>
                <c:pt idx="13">
                  <c:v>14.0</c:v>
                </c:pt>
                <c:pt idx="14">
                  <c:v>15.0</c:v>
                </c:pt>
                <c:pt idx="15">
                  <c:v>16.0</c:v>
                </c:pt>
                <c:pt idx="16">
                  <c:v>17.0</c:v>
                </c:pt>
                <c:pt idx="17">
                  <c:v>18.0</c:v>
                </c:pt>
                <c:pt idx="18">
                  <c:v>19.0</c:v>
                </c:pt>
                <c:pt idx="19">
                  <c:v>20.0</c:v>
                </c:pt>
                <c:pt idx="20">
                  <c:v>21.0</c:v>
                </c:pt>
              </c:numCache>
            </c:numRef>
          </c:cat>
          <c:val>
            <c:numRef>
              <c:f>'CA Jour'!$S$62:$S$82</c:f>
              <c:numCache>
                <c:formatCode>General</c:formatCode>
                <c:ptCount val="21"/>
                <c:pt idx="0">
                  <c:v>5628.0</c:v>
                </c:pt>
                <c:pt idx="1">
                  <c:v>14575.0</c:v>
                </c:pt>
                <c:pt idx="2">
                  <c:v>24934.0</c:v>
                </c:pt>
                <c:pt idx="3">
                  <c:v>35343.0</c:v>
                </c:pt>
                <c:pt idx="4">
                  <c:v>54008.0</c:v>
                </c:pt>
                <c:pt idx="5">
                  <c:v>59676.0</c:v>
                </c:pt>
                <c:pt idx="6">
                  <c:v>70747.0</c:v>
                </c:pt>
                <c:pt idx="7">
                  <c:v>0.0</c:v>
                </c:pt>
                <c:pt idx="8">
                  <c:v>0.0</c:v>
                </c:pt>
                <c:pt idx="9">
                  <c:v>0.0</c:v>
                </c:pt>
                <c:pt idx="10">
                  <c:v>0.0</c:v>
                </c:pt>
                <c:pt idx="11">
                  <c:v>0.0</c:v>
                </c:pt>
                <c:pt idx="12">
                  <c:v>0.0</c:v>
                </c:pt>
                <c:pt idx="13">
                  <c:v>0.0</c:v>
                </c:pt>
                <c:pt idx="14">
                  <c:v>0.0</c:v>
                </c:pt>
                <c:pt idx="15">
                  <c:v>0.0</c:v>
                </c:pt>
                <c:pt idx="16">
                  <c:v>0.0</c:v>
                </c:pt>
                <c:pt idx="17">
                  <c:v>0.0</c:v>
                </c:pt>
                <c:pt idx="18">
                  <c:v>0.0</c:v>
                </c:pt>
                <c:pt idx="19">
                  <c:v>0.0</c:v>
                </c:pt>
                <c:pt idx="20">
                  <c:v>0.0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117530344"/>
        <c:axId val="2117533224"/>
      </c:lineChart>
      <c:catAx>
        <c:axId val="211753034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2117533224"/>
        <c:crosses val="autoZero"/>
        <c:auto val="1"/>
        <c:lblAlgn val="ctr"/>
        <c:lblOffset val="100"/>
        <c:noMultiLvlLbl val="0"/>
      </c:catAx>
      <c:valAx>
        <c:axId val="2117533224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2117530344"/>
        <c:crosses val="autoZero"/>
        <c:crossBetween val="between"/>
      </c:valAx>
      <c:dTable>
        <c:showHorzBorder val="1"/>
        <c:showVertBorder val="1"/>
        <c:showOutline val="1"/>
        <c:showKeys val="1"/>
      </c:dTable>
    </c:plotArea>
    <c:plotVisOnly val="1"/>
    <c:dispBlanksAs val="gap"/>
    <c:showDLblsOverMax val="0"/>
  </c:chart>
  <c:spPr>
    <a:solidFill>
      <a:srgbClr val="CCCCFF"/>
    </a:solidFill>
  </c:spPr>
  <c:printSettings>
    <c:headerFooter/>
    <c:pageMargins b="1.0" l="0.75" r="0.75" t="1.0" header="0.5" footer="0.5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A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'HEC Jour'!$C$61</c:f>
              <c:strCache>
                <c:ptCount val="1"/>
                <c:pt idx="0">
                  <c:v>Objectif</c:v>
                </c:pt>
              </c:strCache>
            </c:strRef>
          </c:tx>
          <c:marker>
            <c:symbol val="none"/>
          </c:marker>
          <c:cat>
            <c:numRef>
              <c:f>'HEC Jour'!$B$62:$B$82</c:f>
              <c:numCache>
                <c:formatCode>General</c:formatCode>
                <c:ptCount val="21"/>
                <c:pt idx="0">
                  <c:v>1.0</c:v>
                </c:pt>
                <c:pt idx="1">
                  <c:v>2.0</c:v>
                </c:pt>
                <c:pt idx="2">
                  <c:v>3.0</c:v>
                </c:pt>
                <c:pt idx="3">
                  <c:v>4.0</c:v>
                </c:pt>
                <c:pt idx="4">
                  <c:v>5.0</c:v>
                </c:pt>
                <c:pt idx="5">
                  <c:v>6.0</c:v>
                </c:pt>
                <c:pt idx="6">
                  <c:v>7.0</c:v>
                </c:pt>
                <c:pt idx="7">
                  <c:v>8.0</c:v>
                </c:pt>
                <c:pt idx="8">
                  <c:v>9.0</c:v>
                </c:pt>
                <c:pt idx="9">
                  <c:v>10.0</c:v>
                </c:pt>
                <c:pt idx="10">
                  <c:v>11.0</c:v>
                </c:pt>
                <c:pt idx="11">
                  <c:v>12.0</c:v>
                </c:pt>
                <c:pt idx="12">
                  <c:v>13.0</c:v>
                </c:pt>
                <c:pt idx="13">
                  <c:v>14.0</c:v>
                </c:pt>
                <c:pt idx="14">
                  <c:v>15.0</c:v>
                </c:pt>
                <c:pt idx="15">
                  <c:v>16.0</c:v>
                </c:pt>
                <c:pt idx="16">
                  <c:v>17.0</c:v>
                </c:pt>
                <c:pt idx="17">
                  <c:v>18.0</c:v>
                </c:pt>
                <c:pt idx="18">
                  <c:v>19.0</c:v>
                </c:pt>
                <c:pt idx="19">
                  <c:v>20.0</c:v>
                </c:pt>
                <c:pt idx="20">
                  <c:v>21.0</c:v>
                </c:pt>
              </c:numCache>
            </c:numRef>
          </c:cat>
          <c:val>
            <c:numRef>
              <c:f>'HEC Jour'!$C$62:$C$82</c:f>
              <c:numCache>
                <c:formatCode>0</c:formatCode>
                <c:ptCount val="21"/>
                <c:pt idx="0">
                  <c:v>27.28571428571428</c:v>
                </c:pt>
                <c:pt idx="1">
                  <c:v>54.57142857142857</c:v>
                </c:pt>
                <c:pt idx="2">
                  <c:v>81.85714285714285</c:v>
                </c:pt>
                <c:pt idx="3">
                  <c:v>109.1428571428571</c:v>
                </c:pt>
                <c:pt idx="4">
                  <c:v>136.4285714285714</c:v>
                </c:pt>
                <c:pt idx="5">
                  <c:v>163.7142857142857</c:v>
                </c:pt>
                <c:pt idx="6">
                  <c:v>191</c:v>
                </c:pt>
                <c:pt idx="7">
                  <c:v>218.2857142857143</c:v>
                </c:pt>
                <c:pt idx="8">
                  <c:v>245.5714285714286</c:v>
                </c:pt>
                <c:pt idx="9">
                  <c:v>272.8571428571428</c:v>
                </c:pt>
                <c:pt idx="10">
                  <c:v>300.1428571428571</c:v>
                </c:pt>
                <c:pt idx="11">
                  <c:v>327.4285714285714</c:v>
                </c:pt>
                <c:pt idx="12">
                  <c:v>354.7142857142857</c:v>
                </c:pt>
                <c:pt idx="13">
                  <c:v>381.9999999999999</c:v>
                </c:pt>
                <c:pt idx="14">
                  <c:v>409.2857142857143</c:v>
                </c:pt>
                <c:pt idx="15">
                  <c:v>436.5714285714286</c:v>
                </c:pt>
                <c:pt idx="16">
                  <c:v>463.8571428571428</c:v>
                </c:pt>
                <c:pt idx="17">
                  <c:v>491.1428571428571</c:v>
                </c:pt>
                <c:pt idx="18">
                  <c:v>518.4285714285714</c:v>
                </c:pt>
                <c:pt idx="19">
                  <c:v>545.7142857142857</c:v>
                </c:pt>
                <c:pt idx="20">
                  <c:v>573.0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'HEC Jour'!$D$61</c:f>
              <c:strCache>
                <c:ptCount val="1"/>
                <c:pt idx="0">
                  <c:v>R_alis_</c:v>
                </c:pt>
              </c:strCache>
            </c:strRef>
          </c:tx>
          <c:marker>
            <c:symbol val="none"/>
          </c:marker>
          <c:cat>
            <c:numRef>
              <c:f>'HEC Jour'!$B$62:$B$82</c:f>
              <c:numCache>
                <c:formatCode>General</c:formatCode>
                <c:ptCount val="21"/>
                <c:pt idx="0">
                  <c:v>1.0</c:v>
                </c:pt>
                <c:pt idx="1">
                  <c:v>2.0</c:v>
                </c:pt>
                <c:pt idx="2">
                  <c:v>3.0</c:v>
                </c:pt>
                <c:pt idx="3">
                  <c:v>4.0</c:v>
                </c:pt>
                <c:pt idx="4">
                  <c:v>5.0</c:v>
                </c:pt>
                <c:pt idx="5">
                  <c:v>6.0</c:v>
                </c:pt>
                <c:pt idx="6">
                  <c:v>7.0</c:v>
                </c:pt>
                <c:pt idx="7">
                  <c:v>8.0</c:v>
                </c:pt>
                <c:pt idx="8">
                  <c:v>9.0</c:v>
                </c:pt>
                <c:pt idx="9">
                  <c:v>10.0</c:v>
                </c:pt>
                <c:pt idx="10">
                  <c:v>11.0</c:v>
                </c:pt>
                <c:pt idx="11">
                  <c:v>12.0</c:v>
                </c:pt>
                <c:pt idx="12">
                  <c:v>13.0</c:v>
                </c:pt>
                <c:pt idx="13">
                  <c:v>14.0</c:v>
                </c:pt>
                <c:pt idx="14">
                  <c:v>15.0</c:v>
                </c:pt>
                <c:pt idx="15">
                  <c:v>16.0</c:v>
                </c:pt>
                <c:pt idx="16">
                  <c:v>17.0</c:v>
                </c:pt>
                <c:pt idx="17">
                  <c:v>18.0</c:v>
                </c:pt>
                <c:pt idx="18">
                  <c:v>19.0</c:v>
                </c:pt>
                <c:pt idx="19">
                  <c:v>20.0</c:v>
                </c:pt>
                <c:pt idx="20">
                  <c:v>21.0</c:v>
                </c:pt>
              </c:numCache>
            </c:numRef>
          </c:cat>
          <c:val>
            <c:numRef>
              <c:f>'HEC Jour'!$D$62:$D$82</c:f>
              <c:numCache>
                <c:formatCode>General</c:formatCode>
                <c:ptCount val="21"/>
                <c:pt idx="0">
                  <c:v>11.0</c:v>
                </c:pt>
                <c:pt idx="1">
                  <c:v>32.0</c:v>
                </c:pt>
                <c:pt idx="2">
                  <c:v>34.0</c:v>
                </c:pt>
                <c:pt idx="3">
                  <c:v>59.0</c:v>
                </c:pt>
                <c:pt idx="4">
                  <c:v>90.0</c:v>
                </c:pt>
                <c:pt idx="5">
                  <c:v>100.0</c:v>
                </c:pt>
                <c:pt idx="6">
                  <c:v>125.0</c:v>
                </c:pt>
                <c:pt idx="7">
                  <c:v>0.0</c:v>
                </c:pt>
                <c:pt idx="8">
                  <c:v>0.0</c:v>
                </c:pt>
                <c:pt idx="9">
                  <c:v>0.0</c:v>
                </c:pt>
                <c:pt idx="10">
                  <c:v>0.0</c:v>
                </c:pt>
                <c:pt idx="11">
                  <c:v>0.0</c:v>
                </c:pt>
                <c:pt idx="12">
                  <c:v>0.0</c:v>
                </c:pt>
                <c:pt idx="13">
                  <c:v>0.0</c:v>
                </c:pt>
                <c:pt idx="14">
                  <c:v>0.0</c:v>
                </c:pt>
                <c:pt idx="15">
                  <c:v>0.0</c:v>
                </c:pt>
                <c:pt idx="16">
                  <c:v>0.0</c:v>
                </c:pt>
                <c:pt idx="17">
                  <c:v>0.0</c:v>
                </c:pt>
                <c:pt idx="18">
                  <c:v>0.0</c:v>
                </c:pt>
                <c:pt idx="19">
                  <c:v>0.0</c:v>
                </c:pt>
                <c:pt idx="20">
                  <c:v>0.0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120039672"/>
        <c:axId val="2120042552"/>
      </c:lineChart>
      <c:catAx>
        <c:axId val="212003967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2120042552"/>
        <c:crosses val="autoZero"/>
        <c:auto val="1"/>
        <c:lblAlgn val="ctr"/>
        <c:lblOffset val="100"/>
        <c:noMultiLvlLbl val="0"/>
      </c:catAx>
      <c:valAx>
        <c:axId val="2120042552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2120039672"/>
        <c:crosses val="autoZero"/>
        <c:crossBetween val="between"/>
      </c:valAx>
      <c:dTable>
        <c:showHorzBorder val="1"/>
        <c:showVertBorder val="1"/>
        <c:showOutline val="1"/>
        <c:showKeys val="1"/>
      </c:dTable>
    </c:plotArea>
    <c:plotVisOnly val="1"/>
    <c:dispBlanksAs val="gap"/>
    <c:showDLblsOverMax val="0"/>
  </c:chart>
  <c:spPr>
    <a:solidFill>
      <a:srgbClr val="FFFFCC"/>
    </a:solidFill>
  </c:spPr>
  <c:printSettings>
    <c:headerFooter/>
    <c:pageMargins b="1.0" l="0.75" r="0.75" t="1.0" header="0.5" footer="0.5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B</a:t>
            </a:r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'HEC Jour'!$F$61</c:f>
              <c:strCache>
                <c:ptCount val="1"/>
                <c:pt idx="0">
                  <c:v>Objectif</c:v>
                </c:pt>
              </c:strCache>
            </c:strRef>
          </c:tx>
          <c:marker>
            <c:symbol val="none"/>
          </c:marker>
          <c:cat>
            <c:numRef>
              <c:f>'HEC Jour'!$E$62:$E$82</c:f>
              <c:numCache>
                <c:formatCode>General</c:formatCode>
                <c:ptCount val="21"/>
                <c:pt idx="0">
                  <c:v>1.0</c:v>
                </c:pt>
                <c:pt idx="1">
                  <c:v>2.0</c:v>
                </c:pt>
                <c:pt idx="2">
                  <c:v>3.0</c:v>
                </c:pt>
                <c:pt idx="3">
                  <c:v>4.0</c:v>
                </c:pt>
                <c:pt idx="4">
                  <c:v>5.0</c:v>
                </c:pt>
                <c:pt idx="5">
                  <c:v>6.0</c:v>
                </c:pt>
                <c:pt idx="6">
                  <c:v>7.0</c:v>
                </c:pt>
                <c:pt idx="7">
                  <c:v>8.0</c:v>
                </c:pt>
                <c:pt idx="8">
                  <c:v>9.0</c:v>
                </c:pt>
                <c:pt idx="9">
                  <c:v>10.0</c:v>
                </c:pt>
                <c:pt idx="10">
                  <c:v>11.0</c:v>
                </c:pt>
                <c:pt idx="11">
                  <c:v>12.0</c:v>
                </c:pt>
                <c:pt idx="12">
                  <c:v>13.0</c:v>
                </c:pt>
                <c:pt idx="13">
                  <c:v>14.0</c:v>
                </c:pt>
                <c:pt idx="14">
                  <c:v>15.0</c:v>
                </c:pt>
                <c:pt idx="15">
                  <c:v>16.0</c:v>
                </c:pt>
                <c:pt idx="16">
                  <c:v>17.0</c:v>
                </c:pt>
                <c:pt idx="17">
                  <c:v>18.0</c:v>
                </c:pt>
                <c:pt idx="18">
                  <c:v>19.0</c:v>
                </c:pt>
                <c:pt idx="19">
                  <c:v>20.0</c:v>
                </c:pt>
                <c:pt idx="20">
                  <c:v>21.0</c:v>
                </c:pt>
              </c:numCache>
            </c:numRef>
          </c:cat>
          <c:val>
            <c:numRef>
              <c:f>'HEC Jour'!$F$62:$F$82</c:f>
              <c:numCache>
                <c:formatCode>0</c:formatCode>
                <c:ptCount val="21"/>
                <c:pt idx="0">
                  <c:v>4.547619047619047</c:v>
                </c:pt>
                <c:pt idx="1">
                  <c:v>9.095238095238094</c:v>
                </c:pt>
                <c:pt idx="2">
                  <c:v>13.64285714285714</c:v>
                </c:pt>
                <c:pt idx="3">
                  <c:v>18.19047619047619</c:v>
                </c:pt>
                <c:pt idx="4">
                  <c:v>22.73809523809524</c:v>
                </c:pt>
                <c:pt idx="5">
                  <c:v>27.28571428571428</c:v>
                </c:pt>
                <c:pt idx="6">
                  <c:v>31.83333333333333</c:v>
                </c:pt>
                <c:pt idx="7">
                  <c:v>36.38095238095238</c:v>
                </c:pt>
                <c:pt idx="8">
                  <c:v>40.92857142857143</c:v>
                </c:pt>
                <c:pt idx="9">
                  <c:v>45.47619047619048</c:v>
                </c:pt>
                <c:pt idx="10">
                  <c:v>50.02380952380953</c:v>
                </c:pt>
                <c:pt idx="11">
                  <c:v>54.57142857142857</c:v>
                </c:pt>
                <c:pt idx="12">
                  <c:v>59.11904761904762</c:v>
                </c:pt>
                <c:pt idx="13">
                  <c:v>63.66666666666666</c:v>
                </c:pt>
                <c:pt idx="14">
                  <c:v>68.2142857142857</c:v>
                </c:pt>
                <c:pt idx="15">
                  <c:v>72.76190476190475</c:v>
                </c:pt>
                <c:pt idx="16">
                  <c:v>77.30952380952381</c:v>
                </c:pt>
                <c:pt idx="17">
                  <c:v>81.85714285714286</c:v>
                </c:pt>
                <c:pt idx="18">
                  <c:v>86.40476190476191</c:v>
                </c:pt>
                <c:pt idx="19">
                  <c:v>90.95238095238096</c:v>
                </c:pt>
                <c:pt idx="20">
                  <c:v>95.5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'HEC Jour'!$G$61</c:f>
              <c:strCache>
                <c:ptCount val="1"/>
                <c:pt idx="0">
                  <c:v>R_alis_</c:v>
                </c:pt>
              </c:strCache>
            </c:strRef>
          </c:tx>
          <c:marker>
            <c:symbol val="none"/>
          </c:marker>
          <c:cat>
            <c:numRef>
              <c:f>'HEC Jour'!$E$62:$E$82</c:f>
              <c:numCache>
                <c:formatCode>General</c:formatCode>
                <c:ptCount val="21"/>
                <c:pt idx="0">
                  <c:v>1.0</c:v>
                </c:pt>
                <c:pt idx="1">
                  <c:v>2.0</c:v>
                </c:pt>
                <c:pt idx="2">
                  <c:v>3.0</c:v>
                </c:pt>
                <c:pt idx="3">
                  <c:v>4.0</c:v>
                </c:pt>
                <c:pt idx="4">
                  <c:v>5.0</c:v>
                </c:pt>
                <c:pt idx="5">
                  <c:v>6.0</c:v>
                </c:pt>
                <c:pt idx="6">
                  <c:v>7.0</c:v>
                </c:pt>
                <c:pt idx="7">
                  <c:v>8.0</c:v>
                </c:pt>
                <c:pt idx="8">
                  <c:v>9.0</c:v>
                </c:pt>
                <c:pt idx="9">
                  <c:v>10.0</c:v>
                </c:pt>
                <c:pt idx="10">
                  <c:v>11.0</c:v>
                </c:pt>
                <c:pt idx="11">
                  <c:v>12.0</c:v>
                </c:pt>
                <c:pt idx="12">
                  <c:v>13.0</c:v>
                </c:pt>
                <c:pt idx="13">
                  <c:v>14.0</c:v>
                </c:pt>
                <c:pt idx="14">
                  <c:v>15.0</c:v>
                </c:pt>
                <c:pt idx="15">
                  <c:v>16.0</c:v>
                </c:pt>
                <c:pt idx="16">
                  <c:v>17.0</c:v>
                </c:pt>
                <c:pt idx="17">
                  <c:v>18.0</c:v>
                </c:pt>
                <c:pt idx="18">
                  <c:v>19.0</c:v>
                </c:pt>
                <c:pt idx="19">
                  <c:v>20.0</c:v>
                </c:pt>
                <c:pt idx="20">
                  <c:v>21.0</c:v>
                </c:pt>
              </c:numCache>
            </c:numRef>
          </c:cat>
          <c:val>
            <c:numRef>
              <c:f>'HEC Jour'!$G$62:$G$82</c:f>
              <c:numCache>
                <c:formatCode>General</c:formatCode>
                <c:ptCount val="21"/>
                <c:pt idx="0">
                  <c:v>0.0</c:v>
                </c:pt>
                <c:pt idx="1">
                  <c:v>0.0</c:v>
                </c:pt>
                <c:pt idx="2">
                  <c:v>0.0</c:v>
                </c:pt>
                <c:pt idx="3">
                  <c:v>0.0</c:v>
                </c:pt>
                <c:pt idx="4">
                  <c:v>0.0</c:v>
                </c:pt>
                <c:pt idx="5">
                  <c:v>0.0</c:v>
                </c:pt>
                <c:pt idx="6">
                  <c:v>0.0</c:v>
                </c:pt>
                <c:pt idx="7">
                  <c:v>0.0</c:v>
                </c:pt>
                <c:pt idx="8">
                  <c:v>0.0</c:v>
                </c:pt>
                <c:pt idx="9">
                  <c:v>0.0</c:v>
                </c:pt>
                <c:pt idx="10">
                  <c:v>0.0</c:v>
                </c:pt>
                <c:pt idx="11">
                  <c:v>0.0</c:v>
                </c:pt>
                <c:pt idx="12">
                  <c:v>0.0</c:v>
                </c:pt>
                <c:pt idx="13">
                  <c:v>0.0</c:v>
                </c:pt>
                <c:pt idx="14">
                  <c:v>0.0</c:v>
                </c:pt>
                <c:pt idx="15">
                  <c:v>0.0</c:v>
                </c:pt>
                <c:pt idx="16">
                  <c:v>0.0</c:v>
                </c:pt>
                <c:pt idx="17">
                  <c:v>0.0</c:v>
                </c:pt>
                <c:pt idx="18">
                  <c:v>0.0</c:v>
                </c:pt>
                <c:pt idx="19">
                  <c:v>0.0</c:v>
                </c:pt>
                <c:pt idx="20">
                  <c:v>0.0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120076376"/>
        <c:axId val="2120079256"/>
      </c:lineChart>
      <c:catAx>
        <c:axId val="212007637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2120079256"/>
        <c:crosses val="autoZero"/>
        <c:auto val="1"/>
        <c:lblAlgn val="ctr"/>
        <c:lblOffset val="100"/>
        <c:noMultiLvlLbl val="0"/>
      </c:catAx>
      <c:valAx>
        <c:axId val="2120079256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2120076376"/>
        <c:crosses val="autoZero"/>
        <c:crossBetween val="between"/>
      </c:valAx>
      <c:dTable>
        <c:showHorzBorder val="1"/>
        <c:showVertBorder val="1"/>
        <c:showOutline val="1"/>
        <c:showKeys val="1"/>
      </c:dTable>
    </c:plotArea>
    <c:plotVisOnly val="1"/>
    <c:dispBlanksAs val="gap"/>
    <c:showDLblsOverMax val="0"/>
  </c:chart>
  <c:spPr>
    <a:solidFill>
      <a:srgbClr val="99CCFF"/>
    </a:solidFill>
  </c:spPr>
  <c:printSettings>
    <c:headerFooter/>
    <c:pageMargins b="1.0" l="0.75" r="0.75" t="1.0" header="0.5" footer="0.5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</a:t>
            </a:r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'HEC Jour'!$I$61</c:f>
              <c:strCache>
                <c:ptCount val="1"/>
                <c:pt idx="0">
                  <c:v>Objectif</c:v>
                </c:pt>
              </c:strCache>
            </c:strRef>
          </c:tx>
          <c:marker>
            <c:symbol val="none"/>
          </c:marker>
          <c:cat>
            <c:numRef>
              <c:f>'HEC Jour'!$H$62:$H$82</c:f>
              <c:numCache>
                <c:formatCode>General</c:formatCode>
                <c:ptCount val="21"/>
                <c:pt idx="0">
                  <c:v>1.0</c:v>
                </c:pt>
                <c:pt idx="1">
                  <c:v>2.0</c:v>
                </c:pt>
                <c:pt idx="2">
                  <c:v>3.0</c:v>
                </c:pt>
                <c:pt idx="3">
                  <c:v>4.0</c:v>
                </c:pt>
                <c:pt idx="4">
                  <c:v>5.0</c:v>
                </c:pt>
                <c:pt idx="5">
                  <c:v>6.0</c:v>
                </c:pt>
                <c:pt idx="6">
                  <c:v>7.0</c:v>
                </c:pt>
                <c:pt idx="7">
                  <c:v>8.0</c:v>
                </c:pt>
                <c:pt idx="8">
                  <c:v>9.0</c:v>
                </c:pt>
                <c:pt idx="9">
                  <c:v>10.0</c:v>
                </c:pt>
                <c:pt idx="10">
                  <c:v>11.0</c:v>
                </c:pt>
                <c:pt idx="11">
                  <c:v>12.0</c:v>
                </c:pt>
                <c:pt idx="12">
                  <c:v>13.0</c:v>
                </c:pt>
                <c:pt idx="13">
                  <c:v>14.0</c:v>
                </c:pt>
                <c:pt idx="14">
                  <c:v>15.0</c:v>
                </c:pt>
                <c:pt idx="15">
                  <c:v>16.0</c:v>
                </c:pt>
                <c:pt idx="16">
                  <c:v>17.0</c:v>
                </c:pt>
                <c:pt idx="17">
                  <c:v>18.0</c:v>
                </c:pt>
                <c:pt idx="18">
                  <c:v>19.0</c:v>
                </c:pt>
                <c:pt idx="19">
                  <c:v>20.0</c:v>
                </c:pt>
                <c:pt idx="20">
                  <c:v>21.0</c:v>
                </c:pt>
              </c:numCache>
            </c:numRef>
          </c:cat>
          <c:val>
            <c:numRef>
              <c:f>'HEC Jour'!$I$62:$I$82</c:f>
              <c:numCache>
                <c:formatCode>0</c:formatCode>
                <c:ptCount val="21"/>
                <c:pt idx="0">
                  <c:v>30.92380952380952</c:v>
                </c:pt>
                <c:pt idx="1">
                  <c:v>61.84761904761905</c:v>
                </c:pt>
                <c:pt idx="2">
                  <c:v>92.77142857142857</c:v>
                </c:pt>
                <c:pt idx="3">
                  <c:v>123.6952380952381</c:v>
                </c:pt>
                <c:pt idx="4">
                  <c:v>154.6190476190476</c:v>
                </c:pt>
                <c:pt idx="5">
                  <c:v>185.5428571428571</c:v>
                </c:pt>
                <c:pt idx="6">
                  <c:v>216.4666666666667</c:v>
                </c:pt>
                <c:pt idx="7">
                  <c:v>247.3904761904762</c:v>
                </c:pt>
                <c:pt idx="8">
                  <c:v>278.3142857142857</c:v>
                </c:pt>
                <c:pt idx="9">
                  <c:v>309.2380952380952</c:v>
                </c:pt>
                <c:pt idx="10">
                  <c:v>340.1619047619048</c:v>
                </c:pt>
                <c:pt idx="11">
                  <c:v>371.0857142857143</c:v>
                </c:pt>
                <c:pt idx="12">
                  <c:v>402.0095238095238</c:v>
                </c:pt>
                <c:pt idx="13">
                  <c:v>432.9333333333333</c:v>
                </c:pt>
                <c:pt idx="14">
                  <c:v>463.8571428571429</c:v>
                </c:pt>
                <c:pt idx="15">
                  <c:v>494.7809523809524</c:v>
                </c:pt>
                <c:pt idx="16">
                  <c:v>525.7047619047618</c:v>
                </c:pt>
                <c:pt idx="17">
                  <c:v>556.6285714285714</c:v>
                </c:pt>
                <c:pt idx="18">
                  <c:v>587.552380952381</c:v>
                </c:pt>
                <c:pt idx="19">
                  <c:v>618.4761904761904</c:v>
                </c:pt>
                <c:pt idx="20">
                  <c:v>649.4000000000001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'HEC Jour'!$J$61</c:f>
              <c:strCache>
                <c:ptCount val="1"/>
                <c:pt idx="0">
                  <c:v>R_alis_</c:v>
                </c:pt>
              </c:strCache>
            </c:strRef>
          </c:tx>
          <c:marker>
            <c:symbol val="none"/>
          </c:marker>
          <c:cat>
            <c:numRef>
              <c:f>'HEC Jour'!$H$62:$H$82</c:f>
              <c:numCache>
                <c:formatCode>General</c:formatCode>
                <c:ptCount val="21"/>
                <c:pt idx="0">
                  <c:v>1.0</c:v>
                </c:pt>
                <c:pt idx="1">
                  <c:v>2.0</c:v>
                </c:pt>
                <c:pt idx="2">
                  <c:v>3.0</c:v>
                </c:pt>
                <c:pt idx="3">
                  <c:v>4.0</c:v>
                </c:pt>
                <c:pt idx="4">
                  <c:v>5.0</c:v>
                </c:pt>
                <c:pt idx="5">
                  <c:v>6.0</c:v>
                </c:pt>
                <c:pt idx="6">
                  <c:v>7.0</c:v>
                </c:pt>
                <c:pt idx="7">
                  <c:v>8.0</c:v>
                </c:pt>
                <c:pt idx="8">
                  <c:v>9.0</c:v>
                </c:pt>
                <c:pt idx="9">
                  <c:v>10.0</c:v>
                </c:pt>
                <c:pt idx="10">
                  <c:v>11.0</c:v>
                </c:pt>
                <c:pt idx="11">
                  <c:v>12.0</c:v>
                </c:pt>
                <c:pt idx="12">
                  <c:v>13.0</c:v>
                </c:pt>
                <c:pt idx="13">
                  <c:v>14.0</c:v>
                </c:pt>
                <c:pt idx="14">
                  <c:v>15.0</c:v>
                </c:pt>
                <c:pt idx="15">
                  <c:v>16.0</c:v>
                </c:pt>
                <c:pt idx="16">
                  <c:v>17.0</c:v>
                </c:pt>
                <c:pt idx="17">
                  <c:v>18.0</c:v>
                </c:pt>
                <c:pt idx="18">
                  <c:v>19.0</c:v>
                </c:pt>
                <c:pt idx="19">
                  <c:v>20.0</c:v>
                </c:pt>
                <c:pt idx="20">
                  <c:v>21.0</c:v>
                </c:pt>
              </c:numCache>
            </c:numRef>
          </c:cat>
          <c:val>
            <c:numRef>
              <c:f>'HEC Jour'!$J$62:$J$82</c:f>
              <c:numCache>
                <c:formatCode>General</c:formatCode>
                <c:ptCount val="21"/>
                <c:pt idx="0">
                  <c:v>0.0</c:v>
                </c:pt>
                <c:pt idx="1">
                  <c:v>0.0</c:v>
                </c:pt>
                <c:pt idx="2">
                  <c:v>52.0</c:v>
                </c:pt>
                <c:pt idx="3">
                  <c:v>59.0</c:v>
                </c:pt>
                <c:pt idx="4">
                  <c:v>104.0</c:v>
                </c:pt>
                <c:pt idx="5">
                  <c:v>106.0</c:v>
                </c:pt>
                <c:pt idx="6">
                  <c:v>132.0</c:v>
                </c:pt>
                <c:pt idx="7">
                  <c:v>0.0</c:v>
                </c:pt>
                <c:pt idx="8">
                  <c:v>0.0</c:v>
                </c:pt>
                <c:pt idx="9">
                  <c:v>0.0</c:v>
                </c:pt>
                <c:pt idx="10">
                  <c:v>0.0</c:v>
                </c:pt>
                <c:pt idx="11">
                  <c:v>0.0</c:v>
                </c:pt>
                <c:pt idx="12">
                  <c:v>0.0</c:v>
                </c:pt>
                <c:pt idx="13">
                  <c:v>0.0</c:v>
                </c:pt>
                <c:pt idx="14">
                  <c:v>0.0</c:v>
                </c:pt>
                <c:pt idx="15">
                  <c:v>0.0</c:v>
                </c:pt>
                <c:pt idx="16">
                  <c:v>0.0</c:v>
                </c:pt>
                <c:pt idx="17">
                  <c:v>0.0</c:v>
                </c:pt>
                <c:pt idx="18">
                  <c:v>0.0</c:v>
                </c:pt>
                <c:pt idx="19">
                  <c:v>0.0</c:v>
                </c:pt>
                <c:pt idx="20">
                  <c:v>0.0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120112712"/>
        <c:axId val="2120115656"/>
      </c:lineChart>
      <c:catAx>
        <c:axId val="212011271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2120115656"/>
        <c:crosses val="autoZero"/>
        <c:auto val="1"/>
        <c:lblAlgn val="ctr"/>
        <c:lblOffset val="100"/>
        <c:noMultiLvlLbl val="0"/>
      </c:catAx>
      <c:valAx>
        <c:axId val="2120115656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2120112712"/>
        <c:crosses val="autoZero"/>
        <c:crossBetween val="between"/>
      </c:valAx>
      <c:dTable>
        <c:showHorzBorder val="1"/>
        <c:showVertBorder val="1"/>
        <c:showOutline val="1"/>
        <c:showKeys val="1"/>
      </c:dTable>
    </c:plotArea>
    <c:plotVisOnly val="1"/>
    <c:dispBlanksAs val="gap"/>
    <c:showDLblsOverMax val="0"/>
  </c:chart>
  <c:spPr>
    <a:solidFill>
      <a:srgbClr val="FFCC99"/>
    </a:solidFill>
  </c:spPr>
  <c:printSettings>
    <c:headerFooter/>
    <c:pageMargins b="1.0" l="0.75" r="0.75" t="1.0" header="0.5" footer="0.5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D</a:t>
            </a:r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'HEC Jour'!$L$61</c:f>
              <c:strCache>
                <c:ptCount val="1"/>
                <c:pt idx="0">
                  <c:v>Objectif</c:v>
                </c:pt>
              </c:strCache>
            </c:strRef>
          </c:tx>
          <c:marker>
            <c:symbol val="none"/>
          </c:marker>
          <c:cat>
            <c:numRef>
              <c:f>'HEC Jour'!$K$62:$K$82</c:f>
              <c:numCache>
                <c:formatCode>General</c:formatCode>
                <c:ptCount val="21"/>
                <c:pt idx="0">
                  <c:v>1.0</c:v>
                </c:pt>
                <c:pt idx="1">
                  <c:v>2.0</c:v>
                </c:pt>
                <c:pt idx="2">
                  <c:v>3.0</c:v>
                </c:pt>
                <c:pt idx="3">
                  <c:v>4.0</c:v>
                </c:pt>
                <c:pt idx="4">
                  <c:v>5.0</c:v>
                </c:pt>
                <c:pt idx="5">
                  <c:v>6.0</c:v>
                </c:pt>
                <c:pt idx="6">
                  <c:v>7.0</c:v>
                </c:pt>
                <c:pt idx="7">
                  <c:v>8.0</c:v>
                </c:pt>
                <c:pt idx="8">
                  <c:v>9.0</c:v>
                </c:pt>
                <c:pt idx="9">
                  <c:v>10.0</c:v>
                </c:pt>
                <c:pt idx="10">
                  <c:v>11.0</c:v>
                </c:pt>
                <c:pt idx="11">
                  <c:v>12.0</c:v>
                </c:pt>
                <c:pt idx="12">
                  <c:v>13.0</c:v>
                </c:pt>
                <c:pt idx="13">
                  <c:v>14.0</c:v>
                </c:pt>
                <c:pt idx="14">
                  <c:v>15.0</c:v>
                </c:pt>
                <c:pt idx="15">
                  <c:v>16.0</c:v>
                </c:pt>
                <c:pt idx="16">
                  <c:v>17.0</c:v>
                </c:pt>
                <c:pt idx="17">
                  <c:v>18.0</c:v>
                </c:pt>
                <c:pt idx="18">
                  <c:v>19.0</c:v>
                </c:pt>
                <c:pt idx="19">
                  <c:v>20.0</c:v>
                </c:pt>
                <c:pt idx="20">
                  <c:v>21.0</c:v>
                </c:pt>
              </c:numCache>
            </c:numRef>
          </c:cat>
          <c:val>
            <c:numRef>
              <c:f>'HEC Jour'!$L$62:$L$82</c:f>
              <c:numCache>
                <c:formatCode>0</c:formatCode>
                <c:ptCount val="21"/>
                <c:pt idx="0">
                  <c:v>29.1047619047619</c:v>
                </c:pt>
                <c:pt idx="1">
                  <c:v>58.2095238095238</c:v>
                </c:pt>
                <c:pt idx="2">
                  <c:v>87.3142857142857</c:v>
                </c:pt>
                <c:pt idx="3">
                  <c:v>116.4190476190476</c:v>
                </c:pt>
                <c:pt idx="4">
                  <c:v>145.5238095238095</c:v>
                </c:pt>
                <c:pt idx="5">
                  <c:v>174.6285714285714</c:v>
                </c:pt>
                <c:pt idx="6">
                  <c:v>203.7333333333333</c:v>
                </c:pt>
                <c:pt idx="7">
                  <c:v>232.8380952380952</c:v>
                </c:pt>
                <c:pt idx="8">
                  <c:v>261.9428571428571</c:v>
                </c:pt>
                <c:pt idx="9">
                  <c:v>291.047619047619</c:v>
                </c:pt>
                <c:pt idx="10">
                  <c:v>320.152380952381</c:v>
                </c:pt>
                <c:pt idx="11">
                  <c:v>349.2571428571428</c:v>
                </c:pt>
                <c:pt idx="12">
                  <c:v>378.3619047619047</c:v>
                </c:pt>
                <c:pt idx="13">
                  <c:v>407.4666666666666</c:v>
                </c:pt>
                <c:pt idx="14">
                  <c:v>436.5714285714286</c:v>
                </c:pt>
                <c:pt idx="15">
                  <c:v>465.6761904761905</c:v>
                </c:pt>
                <c:pt idx="16">
                  <c:v>494.7809523809524</c:v>
                </c:pt>
                <c:pt idx="17">
                  <c:v>523.8857142857142</c:v>
                </c:pt>
                <c:pt idx="18">
                  <c:v>552.9904761904762</c:v>
                </c:pt>
                <c:pt idx="19">
                  <c:v>582.0952380952381</c:v>
                </c:pt>
                <c:pt idx="20">
                  <c:v>611.2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'HEC Jour'!$M$61</c:f>
              <c:strCache>
                <c:ptCount val="1"/>
                <c:pt idx="0">
                  <c:v>R_alis_</c:v>
                </c:pt>
              </c:strCache>
            </c:strRef>
          </c:tx>
          <c:marker>
            <c:symbol val="none"/>
          </c:marker>
          <c:cat>
            <c:numRef>
              <c:f>'HEC Jour'!$K$62:$K$82</c:f>
              <c:numCache>
                <c:formatCode>General</c:formatCode>
                <c:ptCount val="21"/>
                <c:pt idx="0">
                  <c:v>1.0</c:v>
                </c:pt>
                <c:pt idx="1">
                  <c:v>2.0</c:v>
                </c:pt>
                <c:pt idx="2">
                  <c:v>3.0</c:v>
                </c:pt>
                <c:pt idx="3">
                  <c:v>4.0</c:v>
                </c:pt>
                <c:pt idx="4">
                  <c:v>5.0</c:v>
                </c:pt>
                <c:pt idx="5">
                  <c:v>6.0</c:v>
                </c:pt>
                <c:pt idx="6">
                  <c:v>7.0</c:v>
                </c:pt>
                <c:pt idx="7">
                  <c:v>8.0</c:v>
                </c:pt>
                <c:pt idx="8">
                  <c:v>9.0</c:v>
                </c:pt>
                <c:pt idx="9">
                  <c:v>10.0</c:v>
                </c:pt>
                <c:pt idx="10">
                  <c:v>11.0</c:v>
                </c:pt>
                <c:pt idx="11">
                  <c:v>12.0</c:v>
                </c:pt>
                <c:pt idx="12">
                  <c:v>13.0</c:v>
                </c:pt>
                <c:pt idx="13">
                  <c:v>14.0</c:v>
                </c:pt>
                <c:pt idx="14">
                  <c:v>15.0</c:v>
                </c:pt>
                <c:pt idx="15">
                  <c:v>16.0</c:v>
                </c:pt>
                <c:pt idx="16">
                  <c:v>17.0</c:v>
                </c:pt>
                <c:pt idx="17">
                  <c:v>18.0</c:v>
                </c:pt>
                <c:pt idx="18">
                  <c:v>19.0</c:v>
                </c:pt>
                <c:pt idx="19">
                  <c:v>20.0</c:v>
                </c:pt>
                <c:pt idx="20">
                  <c:v>21.0</c:v>
                </c:pt>
              </c:numCache>
            </c:numRef>
          </c:cat>
          <c:val>
            <c:numRef>
              <c:f>'HEC Jour'!$M$62:$M$82</c:f>
              <c:numCache>
                <c:formatCode>General</c:formatCode>
                <c:ptCount val="21"/>
                <c:pt idx="0">
                  <c:v>29.0</c:v>
                </c:pt>
                <c:pt idx="1">
                  <c:v>67.0</c:v>
                </c:pt>
                <c:pt idx="2">
                  <c:v>94.0</c:v>
                </c:pt>
                <c:pt idx="3">
                  <c:v>122.0</c:v>
                </c:pt>
                <c:pt idx="4">
                  <c:v>172.0</c:v>
                </c:pt>
                <c:pt idx="5">
                  <c:v>196.0</c:v>
                </c:pt>
                <c:pt idx="6">
                  <c:v>228.0</c:v>
                </c:pt>
                <c:pt idx="7">
                  <c:v>0.0</c:v>
                </c:pt>
                <c:pt idx="8">
                  <c:v>0.0</c:v>
                </c:pt>
                <c:pt idx="9">
                  <c:v>0.0</c:v>
                </c:pt>
                <c:pt idx="10">
                  <c:v>0.0</c:v>
                </c:pt>
                <c:pt idx="11">
                  <c:v>0.0</c:v>
                </c:pt>
                <c:pt idx="12">
                  <c:v>0.0</c:v>
                </c:pt>
                <c:pt idx="13">
                  <c:v>0.0</c:v>
                </c:pt>
                <c:pt idx="14">
                  <c:v>0.0</c:v>
                </c:pt>
                <c:pt idx="15">
                  <c:v>0.0</c:v>
                </c:pt>
                <c:pt idx="16">
                  <c:v>0.0</c:v>
                </c:pt>
                <c:pt idx="17">
                  <c:v>0.0</c:v>
                </c:pt>
                <c:pt idx="18">
                  <c:v>0.0</c:v>
                </c:pt>
                <c:pt idx="19">
                  <c:v>0.0</c:v>
                </c:pt>
                <c:pt idx="20">
                  <c:v>0.0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120149064"/>
        <c:axId val="2120152008"/>
      </c:lineChart>
      <c:catAx>
        <c:axId val="212014906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2120152008"/>
        <c:crosses val="autoZero"/>
        <c:auto val="1"/>
        <c:lblAlgn val="ctr"/>
        <c:lblOffset val="100"/>
        <c:noMultiLvlLbl val="0"/>
      </c:catAx>
      <c:valAx>
        <c:axId val="2120152008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2120149064"/>
        <c:crosses val="autoZero"/>
        <c:crossBetween val="between"/>
      </c:valAx>
      <c:dTable>
        <c:showHorzBorder val="1"/>
        <c:showVertBorder val="1"/>
        <c:showOutline val="1"/>
        <c:showKeys val="1"/>
      </c:dTable>
    </c:plotArea>
    <c:plotVisOnly val="1"/>
    <c:dispBlanksAs val="gap"/>
    <c:showDLblsOverMax val="0"/>
  </c:chart>
  <c:spPr>
    <a:solidFill>
      <a:srgbClr val="CCFFCC"/>
    </a:solidFill>
  </c:spPr>
  <c:printSettings>
    <c:headerFooter/>
    <c:pageMargins b="1.0" l="0.75" r="0.75" t="1.0" header="0.5" footer="0.5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TOTAL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'HEC Jour'!$R$61</c:f>
              <c:strCache>
                <c:ptCount val="1"/>
                <c:pt idx="0">
                  <c:v>Objectif</c:v>
                </c:pt>
              </c:strCache>
            </c:strRef>
          </c:tx>
          <c:marker>
            <c:symbol val="none"/>
          </c:marker>
          <c:cat>
            <c:numRef>
              <c:f>'HEC Jour'!$Q$62:$Q$82</c:f>
              <c:numCache>
                <c:formatCode>General</c:formatCode>
                <c:ptCount val="21"/>
                <c:pt idx="0">
                  <c:v>1.0</c:v>
                </c:pt>
                <c:pt idx="1">
                  <c:v>2.0</c:v>
                </c:pt>
                <c:pt idx="2">
                  <c:v>3.0</c:v>
                </c:pt>
                <c:pt idx="3">
                  <c:v>4.0</c:v>
                </c:pt>
                <c:pt idx="4">
                  <c:v>5.0</c:v>
                </c:pt>
                <c:pt idx="5">
                  <c:v>6.0</c:v>
                </c:pt>
                <c:pt idx="6">
                  <c:v>7.0</c:v>
                </c:pt>
                <c:pt idx="7">
                  <c:v>8.0</c:v>
                </c:pt>
                <c:pt idx="8">
                  <c:v>9.0</c:v>
                </c:pt>
                <c:pt idx="9">
                  <c:v>10.0</c:v>
                </c:pt>
                <c:pt idx="10">
                  <c:v>11.0</c:v>
                </c:pt>
                <c:pt idx="11">
                  <c:v>12.0</c:v>
                </c:pt>
                <c:pt idx="12">
                  <c:v>13.0</c:v>
                </c:pt>
                <c:pt idx="13">
                  <c:v>14.0</c:v>
                </c:pt>
                <c:pt idx="14">
                  <c:v>15.0</c:v>
                </c:pt>
                <c:pt idx="15">
                  <c:v>16.0</c:v>
                </c:pt>
                <c:pt idx="16">
                  <c:v>17.0</c:v>
                </c:pt>
                <c:pt idx="17">
                  <c:v>18.0</c:v>
                </c:pt>
                <c:pt idx="18">
                  <c:v>19.0</c:v>
                </c:pt>
                <c:pt idx="19">
                  <c:v>20.0</c:v>
                </c:pt>
                <c:pt idx="20">
                  <c:v>21.0</c:v>
                </c:pt>
              </c:numCache>
            </c:numRef>
          </c:cat>
          <c:val>
            <c:numRef>
              <c:f>'HEC Jour'!$R$62:$R$82</c:f>
              <c:numCache>
                <c:formatCode>0</c:formatCode>
                <c:ptCount val="21"/>
                <c:pt idx="0">
                  <c:v>91.86190476190475</c:v>
                </c:pt>
                <c:pt idx="1">
                  <c:v>183.7238095238095</c:v>
                </c:pt>
                <c:pt idx="2">
                  <c:v>275.5857142857142</c:v>
                </c:pt>
                <c:pt idx="3">
                  <c:v>367.447619047619</c:v>
                </c:pt>
                <c:pt idx="4">
                  <c:v>459.3095238095238</c:v>
                </c:pt>
                <c:pt idx="5">
                  <c:v>551.1714285714284</c:v>
                </c:pt>
                <c:pt idx="6">
                  <c:v>643.0333333333333</c:v>
                </c:pt>
                <c:pt idx="7">
                  <c:v>734.895238095238</c:v>
                </c:pt>
                <c:pt idx="8">
                  <c:v>826.7571428571427</c:v>
                </c:pt>
                <c:pt idx="9">
                  <c:v>918.6190476190475</c:v>
                </c:pt>
                <c:pt idx="10">
                  <c:v>1010.480952380952</c:v>
                </c:pt>
                <c:pt idx="11">
                  <c:v>1102.342857142857</c:v>
                </c:pt>
                <c:pt idx="12">
                  <c:v>1194.204761904762</c:v>
                </c:pt>
                <c:pt idx="13">
                  <c:v>1286.066666666667</c:v>
                </c:pt>
                <c:pt idx="14">
                  <c:v>1377.928571428572</c:v>
                </c:pt>
                <c:pt idx="15">
                  <c:v>1469.790476190476</c:v>
                </c:pt>
                <c:pt idx="16">
                  <c:v>1561.652380952381</c:v>
                </c:pt>
                <c:pt idx="17">
                  <c:v>1653.514285714286</c:v>
                </c:pt>
                <c:pt idx="18">
                  <c:v>1745.37619047619</c:v>
                </c:pt>
                <c:pt idx="19">
                  <c:v>1837.238095238095</c:v>
                </c:pt>
                <c:pt idx="20">
                  <c:v>1929.1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'HEC Jour'!$S$61</c:f>
              <c:strCache>
                <c:ptCount val="1"/>
                <c:pt idx="0">
                  <c:v>R_alis_</c:v>
                </c:pt>
              </c:strCache>
            </c:strRef>
          </c:tx>
          <c:marker>
            <c:symbol val="none"/>
          </c:marker>
          <c:cat>
            <c:numRef>
              <c:f>'HEC Jour'!$Q$62:$Q$82</c:f>
              <c:numCache>
                <c:formatCode>General</c:formatCode>
                <c:ptCount val="21"/>
                <c:pt idx="0">
                  <c:v>1.0</c:v>
                </c:pt>
                <c:pt idx="1">
                  <c:v>2.0</c:v>
                </c:pt>
                <c:pt idx="2">
                  <c:v>3.0</c:v>
                </c:pt>
                <c:pt idx="3">
                  <c:v>4.0</c:v>
                </c:pt>
                <c:pt idx="4">
                  <c:v>5.0</c:v>
                </c:pt>
                <c:pt idx="5">
                  <c:v>6.0</c:v>
                </c:pt>
                <c:pt idx="6">
                  <c:v>7.0</c:v>
                </c:pt>
                <c:pt idx="7">
                  <c:v>8.0</c:v>
                </c:pt>
                <c:pt idx="8">
                  <c:v>9.0</c:v>
                </c:pt>
                <c:pt idx="9">
                  <c:v>10.0</c:v>
                </c:pt>
                <c:pt idx="10">
                  <c:v>11.0</c:v>
                </c:pt>
                <c:pt idx="11">
                  <c:v>12.0</c:v>
                </c:pt>
                <c:pt idx="12">
                  <c:v>13.0</c:v>
                </c:pt>
                <c:pt idx="13">
                  <c:v>14.0</c:v>
                </c:pt>
                <c:pt idx="14">
                  <c:v>15.0</c:v>
                </c:pt>
                <c:pt idx="15">
                  <c:v>16.0</c:v>
                </c:pt>
                <c:pt idx="16">
                  <c:v>17.0</c:v>
                </c:pt>
                <c:pt idx="17">
                  <c:v>18.0</c:v>
                </c:pt>
                <c:pt idx="18">
                  <c:v>19.0</c:v>
                </c:pt>
                <c:pt idx="19">
                  <c:v>20.0</c:v>
                </c:pt>
                <c:pt idx="20">
                  <c:v>21.0</c:v>
                </c:pt>
              </c:numCache>
            </c:numRef>
          </c:cat>
          <c:val>
            <c:numRef>
              <c:f>'HEC Jour'!$S$62:$S$82</c:f>
              <c:numCache>
                <c:formatCode>General</c:formatCode>
                <c:ptCount val="21"/>
                <c:pt idx="0">
                  <c:v>40.0</c:v>
                </c:pt>
                <c:pt idx="1">
                  <c:v>99.0</c:v>
                </c:pt>
                <c:pt idx="2">
                  <c:v>180.0</c:v>
                </c:pt>
                <c:pt idx="3">
                  <c:v>240.0</c:v>
                </c:pt>
                <c:pt idx="4">
                  <c:v>366.0</c:v>
                </c:pt>
                <c:pt idx="5">
                  <c:v>402.0</c:v>
                </c:pt>
                <c:pt idx="6">
                  <c:v>485.0</c:v>
                </c:pt>
                <c:pt idx="7">
                  <c:v>0.0</c:v>
                </c:pt>
                <c:pt idx="8">
                  <c:v>0.0</c:v>
                </c:pt>
                <c:pt idx="9">
                  <c:v>0.0</c:v>
                </c:pt>
                <c:pt idx="10">
                  <c:v>0.0</c:v>
                </c:pt>
                <c:pt idx="11">
                  <c:v>0.0</c:v>
                </c:pt>
                <c:pt idx="12">
                  <c:v>0.0</c:v>
                </c:pt>
                <c:pt idx="13">
                  <c:v>0.0</c:v>
                </c:pt>
                <c:pt idx="14">
                  <c:v>0.0</c:v>
                </c:pt>
                <c:pt idx="15">
                  <c:v>0.0</c:v>
                </c:pt>
                <c:pt idx="16">
                  <c:v>0.0</c:v>
                </c:pt>
                <c:pt idx="17">
                  <c:v>0.0</c:v>
                </c:pt>
                <c:pt idx="18">
                  <c:v>0.0</c:v>
                </c:pt>
                <c:pt idx="19">
                  <c:v>0.0</c:v>
                </c:pt>
                <c:pt idx="20">
                  <c:v>0.0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120186392"/>
        <c:axId val="2120189336"/>
      </c:lineChart>
      <c:catAx>
        <c:axId val="212018639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2120189336"/>
        <c:crosses val="autoZero"/>
        <c:auto val="1"/>
        <c:lblAlgn val="ctr"/>
        <c:lblOffset val="100"/>
        <c:noMultiLvlLbl val="0"/>
      </c:catAx>
      <c:valAx>
        <c:axId val="2120189336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2120186392"/>
        <c:crosses val="autoZero"/>
        <c:crossBetween val="between"/>
      </c:valAx>
      <c:dTable>
        <c:showHorzBorder val="1"/>
        <c:showVertBorder val="1"/>
        <c:showOutline val="1"/>
        <c:showKeys val="1"/>
      </c:dTable>
    </c:plotArea>
    <c:plotVisOnly val="1"/>
    <c:dispBlanksAs val="gap"/>
    <c:showDLblsOverMax val="0"/>
  </c:chart>
  <c:spPr>
    <a:solidFill>
      <a:srgbClr val="CCCCFF"/>
    </a:solidFill>
  </c:spPr>
  <c:printSettings>
    <c:headerFooter/>
    <c:pageMargins b="1.0" l="0.75" r="0.75" t="1.0" header="0.5" footer="0.5"/>
    <c:pageSetup/>
  </c:printSettings>
</c:chartSpace>
</file>

<file path=xl/ctrlProps/ctrlProp1.xml><?xml version="1.0" encoding="utf-8"?>
<formControlPr xmlns="http://schemas.microsoft.com/office/spreadsheetml/2009/9/main" objectType="Spin" dx="16" fmlaLink="$C$3" max="9999" min="1900" page="10" val="2015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4" Type="http://schemas.openxmlformats.org/officeDocument/2006/relationships/chart" Target="../charts/chart4.xml"/><Relationship Id="rId5" Type="http://schemas.openxmlformats.org/officeDocument/2006/relationships/chart" Target="../charts/chart5.xml"/><Relationship Id="rId1" Type="http://schemas.openxmlformats.org/officeDocument/2006/relationships/chart" Target="../charts/chart1.xml"/><Relationship Id="rId2" Type="http://schemas.openxmlformats.org/officeDocument/2006/relationships/chart" Target="../charts/chart2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8.xml"/><Relationship Id="rId4" Type="http://schemas.openxmlformats.org/officeDocument/2006/relationships/chart" Target="../charts/chart9.xml"/><Relationship Id="rId5" Type="http://schemas.openxmlformats.org/officeDocument/2006/relationships/chart" Target="../charts/chart10.xml"/><Relationship Id="rId1" Type="http://schemas.openxmlformats.org/officeDocument/2006/relationships/chart" Target="../charts/chart6.xml"/><Relationship Id="rId2" Type="http://schemas.openxmlformats.org/officeDocument/2006/relationships/chart" Target="../charts/chart7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254000</xdr:colOff>
          <xdr:row>2</xdr:row>
          <xdr:rowOff>0</xdr:rowOff>
        </xdr:from>
        <xdr:to>
          <xdr:col>0</xdr:col>
          <xdr:colOff>596900</xdr:colOff>
          <xdr:row>4</xdr:row>
          <xdr:rowOff>0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24</xdr:col>
      <xdr:colOff>349250</xdr:colOff>
      <xdr:row>9</xdr:row>
      <xdr:rowOff>158750</xdr:rowOff>
    </xdr:from>
    <xdr:to>
      <xdr:col>32</xdr:col>
      <xdr:colOff>47625</xdr:colOff>
      <xdr:row>17</xdr:row>
      <xdr:rowOff>79375</xdr:rowOff>
    </xdr:to>
    <xdr:sp macro="[0]!Graph" textlink="">
      <xdr:nvSpPr>
        <xdr:cNvPr id="22" name="Rectangle 21"/>
        <xdr:cNvSpPr/>
      </xdr:nvSpPr>
      <xdr:spPr>
        <a:xfrm>
          <a:off x="17700625" y="2270125"/>
          <a:ext cx="2857500" cy="1016000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500" b="1" baseline="0">
              <a:solidFill>
                <a:schemeClr val="bg1"/>
              </a:solidFill>
            </a:rPr>
            <a:t>Mise à Jour des Graphiques</a:t>
          </a:r>
        </a:p>
      </xdr:txBody>
    </xdr:sp>
    <xdr:clientData/>
  </xdr:twoCellAnchor>
  <xdr:twoCellAnchor>
    <xdr:from>
      <xdr:col>1</xdr:col>
      <xdr:colOff>0</xdr:colOff>
      <xdr:row>60</xdr:row>
      <xdr:rowOff>0</xdr:rowOff>
    </xdr:from>
    <xdr:to>
      <xdr:col>21</xdr:col>
      <xdr:colOff>0</xdr:colOff>
      <xdr:row>78</xdr:row>
      <xdr:rowOff>0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78</xdr:row>
      <xdr:rowOff>0</xdr:rowOff>
    </xdr:from>
    <xdr:to>
      <xdr:col>21</xdr:col>
      <xdr:colOff>0</xdr:colOff>
      <xdr:row>96</xdr:row>
      <xdr:rowOff>0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0</xdr:colOff>
      <xdr:row>96</xdr:row>
      <xdr:rowOff>0</xdr:rowOff>
    </xdr:from>
    <xdr:to>
      <xdr:col>21</xdr:col>
      <xdr:colOff>0</xdr:colOff>
      <xdr:row>114</xdr:row>
      <xdr:rowOff>0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</xdr:col>
      <xdr:colOff>0</xdr:colOff>
      <xdr:row>114</xdr:row>
      <xdr:rowOff>0</xdr:rowOff>
    </xdr:from>
    <xdr:to>
      <xdr:col>21</xdr:col>
      <xdr:colOff>0</xdr:colOff>
      <xdr:row>132</xdr:row>
      <xdr:rowOff>0</xdr:rowOff>
    </xdr:to>
    <xdr:graphicFrame macro="">
      <xdr:nvGraphicFramePr>
        <xdr:cNvPr id="10" name="Graphique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</xdr:col>
      <xdr:colOff>0</xdr:colOff>
      <xdr:row>42</xdr:row>
      <xdr:rowOff>0</xdr:rowOff>
    </xdr:from>
    <xdr:to>
      <xdr:col>21</xdr:col>
      <xdr:colOff>0</xdr:colOff>
      <xdr:row>60</xdr:row>
      <xdr:rowOff>0</xdr:rowOff>
    </xdr:to>
    <xdr:graphicFrame macro="">
      <xdr:nvGraphicFramePr>
        <xdr:cNvPr id="11" name="Graphique 1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60</xdr:row>
      <xdr:rowOff>0</xdr:rowOff>
    </xdr:from>
    <xdr:to>
      <xdr:col>21</xdr:col>
      <xdr:colOff>0</xdr:colOff>
      <xdr:row>78</xdr:row>
      <xdr:rowOff>0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78</xdr:row>
      <xdr:rowOff>0</xdr:rowOff>
    </xdr:from>
    <xdr:to>
      <xdr:col>21</xdr:col>
      <xdr:colOff>0</xdr:colOff>
      <xdr:row>96</xdr:row>
      <xdr:rowOff>0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0</xdr:colOff>
      <xdr:row>96</xdr:row>
      <xdr:rowOff>0</xdr:rowOff>
    </xdr:from>
    <xdr:to>
      <xdr:col>21</xdr:col>
      <xdr:colOff>0</xdr:colOff>
      <xdr:row>114</xdr:row>
      <xdr:rowOff>0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</xdr:col>
      <xdr:colOff>0</xdr:colOff>
      <xdr:row>114</xdr:row>
      <xdr:rowOff>0</xdr:rowOff>
    </xdr:from>
    <xdr:to>
      <xdr:col>21</xdr:col>
      <xdr:colOff>0</xdr:colOff>
      <xdr:row>132</xdr:row>
      <xdr:rowOff>0</xdr:rowOff>
    </xdr:to>
    <xdr:graphicFrame macro="">
      <xdr:nvGraphicFramePr>
        <xdr:cNvPr id="10" name="Graphique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</xdr:col>
      <xdr:colOff>0</xdr:colOff>
      <xdr:row>42</xdr:row>
      <xdr:rowOff>0</xdr:rowOff>
    </xdr:from>
    <xdr:to>
      <xdr:col>21</xdr:col>
      <xdr:colOff>0</xdr:colOff>
      <xdr:row>60</xdr:row>
      <xdr:rowOff>0</xdr:rowOff>
    </xdr:to>
    <xdr:graphicFrame macro="">
      <xdr:nvGraphicFramePr>
        <xdr:cNvPr id="11" name="Graphique 1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Relationship Id="rId3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 enableFormatConditionsCalculation="0">
    <tabColor rgb="FF66FFFF"/>
  </sheetPr>
  <dimension ref="A1:Y84"/>
  <sheetViews>
    <sheetView showGridLines="0" showZeros="0" tabSelected="1" zoomScale="75" zoomScaleNormal="75" zoomScalePageLayoutView="75" workbookViewId="0">
      <selection activeCell="B3" sqref="B3"/>
    </sheetView>
  </sheetViews>
  <sheetFormatPr baseColWidth="10" defaultColWidth="5.6640625" defaultRowHeight="14" x14ac:dyDescent="0"/>
  <cols>
    <col min="1" max="1" width="10" style="21" customWidth="1"/>
    <col min="2" max="2" width="13.6640625" style="2" customWidth="1"/>
    <col min="3" max="3" width="11.33203125" style="2" bestFit="1" customWidth="1"/>
    <col min="4" max="4" width="12.83203125" bestFit="1" customWidth="1"/>
    <col min="5" max="6" width="9.6640625" customWidth="1"/>
    <col min="7" max="7" width="12.83203125" bestFit="1" customWidth="1"/>
    <col min="8" max="9" width="9.6640625" customWidth="1"/>
    <col min="10" max="10" width="12.83203125" bestFit="1" customWidth="1"/>
    <col min="11" max="12" width="9.6640625" customWidth="1"/>
    <col min="13" max="13" width="12.83203125" bestFit="1" customWidth="1"/>
    <col min="14" max="15" width="9.6640625" customWidth="1"/>
    <col min="16" max="16" width="12.83203125" bestFit="1" customWidth="1"/>
    <col min="17" max="18" width="9.6640625" customWidth="1"/>
    <col min="19" max="19" width="16.33203125" customWidth="1"/>
    <col min="20" max="20" width="9.6640625" customWidth="1"/>
    <col min="21" max="21" width="12.33203125" bestFit="1" customWidth="1"/>
    <col min="23" max="23" width="10.33203125" bestFit="1" customWidth="1"/>
    <col min="24" max="24" width="8" bestFit="1" customWidth="1"/>
    <col min="25" max="25" width="7.33203125" bestFit="1" customWidth="1"/>
  </cols>
  <sheetData>
    <row r="1" spans="1:25">
      <c r="A1" s="20"/>
      <c r="C1" s="15"/>
      <c r="T1" s="24"/>
    </row>
    <row r="2" spans="1:25" ht="27" thickBot="1">
      <c r="A2" s="20"/>
      <c r="B2" s="284" t="s">
        <v>175</v>
      </c>
      <c r="C2" s="284"/>
      <c r="D2" s="284"/>
      <c r="E2" s="284"/>
      <c r="F2" s="284"/>
      <c r="G2" s="284"/>
      <c r="H2" s="284"/>
      <c r="I2" s="284"/>
      <c r="J2" s="284"/>
      <c r="K2" s="284"/>
      <c r="L2" s="284"/>
      <c r="M2" s="284"/>
      <c r="N2" s="284"/>
      <c r="O2" s="284"/>
      <c r="P2" s="284"/>
      <c r="Q2" s="284"/>
      <c r="R2" s="284"/>
      <c r="S2" s="283">
        <f>EDATE(DATE(An_Ref,Mois_Ref,1),0)</f>
        <v>42217</v>
      </c>
      <c r="T2" s="283"/>
      <c r="U2" s="283"/>
    </row>
    <row r="3" spans="1:25" ht="15.75" customHeight="1">
      <c r="A3" s="20"/>
      <c r="B3" s="11" t="s">
        <v>9</v>
      </c>
      <c r="C3" s="160">
        <v>2015</v>
      </c>
      <c r="D3" s="285"/>
      <c r="E3" s="286"/>
      <c r="F3" s="286"/>
      <c r="G3" s="286"/>
      <c r="H3" s="286"/>
      <c r="I3" s="286"/>
      <c r="J3" s="286"/>
      <c r="K3" s="286"/>
      <c r="L3" s="286"/>
      <c r="M3" s="286"/>
      <c r="N3" s="286"/>
      <c r="O3" s="286"/>
      <c r="P3" s="286"/>
      <c r="Q3" s="286"/>
      <c r="R3" s="286"/>
      <c r="S3" s="286"/>
      <c r="T3" s="286"/>
      <c r="U3" s="287"/>
    </row>
    <row r="4" spans="1:25" ht="16.5" customHeight="1" thickBot="1">
      <c r="A4" s="20"/>
      <c r="B4" s="12" t="s">
        <v>10</v>
      </c>
      <c r="C4" s="160">
        <v>8</v>
      </c>
      <c r="D4" s="288"/>
      <c r="E4" s="289"/>
      <c r="F4" s="289"/>
      <c r="G4" s="289"/>
      <c r="H4" s="289"/>
      <c r="I4" s="289"/>
      <c r="J4" s="289"/>
      <c r="K4" s="289"/>
      <c r="L4" s="289"/>
      <c r="M4" s="289"/>
      <c r="N4" s="289"/>
      <c r="O4" s="289"/>
      <c r="P4" s="289"/>
      <c r="Q4" s="289"/>
      <c r="R4" s="289"/>
      <c r="S4" s="289"/>
      <c r="T4" s="289"/>
      <c r="U4" s="290"/>
      <c r="W4" s="206" t="s">
        <v>160</v>
      </c>
      <c r="X4" s="227" t="s">
        <v>103</v>
      </c>
      <c r="Y4" s="228"/>
    </row>
    <row r="5" spans="1:25" ht="16.5" customHeight="1">
      <c r="A5" s="20"/>
      <c r="B5" s="229" t="s">
        <v>11</v>
      </c>
      <c r="C5" s="293">
        <f>MAX(A:A)</f>
        <v>21</v>
      </c>
      <c r="D5" s="296" t="s">
        <v>170</v>
      </c>
      <c r="E5" s="297"/>
      <c r="F5" s="298"/>
      <c r="G5" s="310" t="s">
        <v>171</v>
      </c>
      <c r="H5" s="311"/>
      <c r="I5" s="311"/>
      <c r="J5" s="233" t="s">
        <v>172</v>
      </c>
      <c r="K5" s="234"/>
      <c r="L5" s="235"/>
      <c r="M5" s="261" t="s">
        <v>173</v>
      </c>
      <c r="N5" s="262"/>
      <c r="O5" s="263"/>
      <c r="P5" s="267" t="s">
        <v>174</v>
      </c>
      <c r="Q5" s="268"/>
      <c r="R5" s="269"/>
      <c r="S5" s="273" t="s">
        <v>155</v>
      </c>
      <c r="T5" s="274"/>
      <c r="U5" s="275"/>
      <c r="W5" s="162" t="s">
        <v>156</v>
      </c>
      <c r="X5" s="163">
        <v>0.25</v>
      </c>
      <c r="Y5" s="163">
        <v>0.3</v>
      </c>
    </row>
    <row r="6" spans="1:25" ht="26.25" customHeight="1">
      <c r="A6" s="20"/>
      <c r="B6" s="291"/>
      <c r="C6" s="294"/>
      <c r="D6" s="299"/>
      <c r="E6" s="300"/>
      <c r="F6" s="301"/>
      <c r="G6" s="312"/>
      <c r="H6" s="313"/>
      <c r="I6" s="313"/>
      <c r="J6" s="236"/>
      <c r="K6" s="237"/>
      <c r="L6" s="238"/>
      <c r="M6" s="264"/>
      <c r="N6" s="265"/>
      <c r="O6" s="266"/>
      <c r="P6" s="270"/>
      <c r="Q6" s="271"/>
      <c r="R6" s="272"/>
      <c r="S6" s="276"/>
      <c r="T6" s="277"/>
      <c r="U6" s="278"/>
      <c r="W6" s="162" t="s">
        <v>157</v>
      </c>
      <c r="X6" s="163">
        <v>3.7999999999999999E-2</v>
      </c>
      <c r="Y6" s="163">
        <v>0.05</v>
      </c>
    </row>
    <row r="7" spans="1:25" ht="15.75" customHeight="1">
      <c r="A7" s="20"/>
      <c r="B7" s="291"/>
      <c r="C7" s="294"/>
      <c r="D7" s="314" t="s">
        <v>12</v>
      </c>
      <c r="E7" s="318" t="s">
        <v>13</v>
      </c>
      <c r="F7" s="319"/>
      <c r="G7" s="316" t="s">
        <v>12</v>
      </c>
      <c r="H7" s="322" t="s">
        <v>13</v>
      </c>
      <c r="I7" s="323"/>
      <c r="J7" s="306" t="s">
        <v>12</v>
      </c>
      <c r="K7" s="325" t="s">
        <v>13</v>
      </c>
      <c r="L7" s="326"/>
      <c r="M7" s="308" t="s">
        <v>12</v>
      </c>
      <c r="N7" s="243" t="s">
        <v>13</v>
      </c>
      <c r="O7" s="244"/>
      <c r="P7" s="302" t="s">
        <v>12</v>
      </c>
      <c r="Q7" s="257" t="s">
        <v>13</v>
      </c>
      <c r="R7" s="258"/>
      <c r="S7" s="304" t="s">
        <v>14</v>
      </c>
      <c r="T7" s="279" t="s">
        <v>15</v>
      </c>
      <c r="U7" s="280"/>
      <c r="W7" s="162" t="s">
        <v>158</v>
      </c>
      <c r="X7" s="163">
        <v>0.32</v>
      </c>
      <c r="Y7" s="163">
        <v>0.34</v>
      </c>
    </row>
    <row r="8" spans="1:25" ht="15.75" customHeight="1">
      <c r="A8" s="20"/>
      <c r="B8" s="292"/>
      <c r="C8" s="295"/>
      <c r="D8" s="315"/>
      <c r="E8" s="320"/>
      <c r="F8" s="321"/>
      <c r="G8" s="317"/>
      <c r="H8" s="324"/>
      <c r="I8" s="324"/>
      <c r="J8" s="307"/>
      <c r="K8" s="327"/>
      <c r="L8" s="328"/>
      <c r="M8" s="309"/>
      <c r="N8" s="245"/>
      <c r="O8" s="246"/>
      <c r="P8" s="303"/>
      <c r="Q8" s="259"/>
      <c r="R8" s="260"/>
      <c r="S8" s="305"/>
      <c r="T8" s="281"/>
      <c r="U8" s="282"/>
      <c r="W8" s="162" t="s">
        <v>159</v>
      </c>
      <c r="X8" s="163">
        <v>0.4</v>
      </c>
      <c r="Y8" s="163">
        <v>0.32</v>
      </c>
    </row>
    <row r="9" spans="1:25" ht="15.75" customHeight="1">
      <c r="A9" s="20"/>
      <c r="B9" s="229" t="s">
        <v>16</v>
      </c>
      <c r="C9" s="231">
        <f>W13/C5</f>
        <v>12000</v>
      </c>
      <c r="D9" s="251" t="s">
        <v>12</v>
      </c>
      <c r="E9" s="239" t="s">
        <v>17</v>
      </c>
      <c r="F9" s="253" t="s">
        <v>18</v>
      </c>
      <c r="G9" s="251" t="s">
        <v>12</v>
      </c>
      <c r="H9" s="239" t="s">
        <v>17</v>
      </c>
      <c r="I9" s="241" t="s">
        <v>18</v>
      </c>
      <c r="J9" s="251" t="s">
        <v>12</v>
      </c>
      <c r="K9" s="239" t="s">
        <v>17</v>
      </c>
      <c r="L9" s="241" t="s">
        <v>18</v>
      </c>
      <c r="M9" s="251" t="s">
        <v>12</v>
      </c>
      <c r="N9" s="239" t="s">
        <v>17</v>
      </c>
      <c r="O9" s="241" t="s">
        <v>18</v>
      </c>
      <c r="P9" s="251" t="s">
        <v>12</v>
      </c>
      <c r="Q9" s="239" t="s">
        <v>17</v>
      </c>
      <c r="R9" s="241" t="s">
        <v>18</v>
      </c>
      <c r="S9" s="255" t="s">
        <v>14</v>
      </c>
      <c r="T9" s="247" t="s">
        <v>20</v>
      </c>
      <c r="U9" s="249" t="s">
        <v>19</v>
      </c>
      <c r="W9" s="2"/>
      <c r="X9" s="217"/>
      <c r="Y9" s="2"/>
    </row>
    <row r="10" spans="1:25" ht="15.75" customHeight="1">
      <c r="A10" s="19"/>
      <c r="B10" s="230"/>
      <c r="C10" s="232"/>
      <c r="D10" s="252"/>
      <c r="E10" s="240"/>
      <c r="F10" s="254"/>
      <c r="G10" s="252"/>
      <c r="H10" s="240"/>
      <c r="I10" s="242"/>
      <c r="J10" s="252"/>
      <c r="K10" s="240"/>
      <c r="L10" s="242"/>
      <c r="M10" s="252"/>
      <c r="N10" s="240"/>
      <c r="O10" s="242"/>
      <c r="P10" s="252"/>
      <c r="Q10" s="240"/>
      <c r="R10" s="242"/>
      <c r="S10" s="256"/>
      <c r="T10" s="248"/>
      <c r="U10" s="250"/>
      <c r="W10" s="2"/>
      <c r="X10" s="2"/>
      <c r="Y10" s="2"/>
    </row>
    <row r="11" spans="1:25" s="1" customFormat="1" ht="10" customHeight="1">
      <c r="A11" s="23">
        <f t="shared" ref="A11:A41" si="0">IF(OR(EXACT("dimanche",$B11),EXACT("samedi",$B11)),A10,IF(COUNTIF(Fériés,"="&amp;$C11)&gt;0,A10,A10+(1*IF(MONTH(C11)=$C$4,1,0))))</f>
        <v>0</v>
      </c>
      <c r="B11" s="13" t="str">
        <f>TEXT(C11,"jjjjjjj")</f>
        <v>samedi</v>
      </c>
      <c r="C11" s="16">
        <f>IF(MONTH(DATE(An_Ref,Mois_Ref,1))=Mois_Ref,DATE(An_Ref,Mois_Ref,1),"0")</f>
        <v>42217</v>
      </c>
      <c r="D11" s="29" t="e">
        <f t="shared" ref="D11:D41" si="1">IF(B11="",#N/A,IF(OR(EXACT("dimanche",$B11),EXACT("samedi",$B11)),#N/A,$C$9*$A11*$X$5))</f>
        <v>#N/A</v>
      </c>
      <c r="E11" s="31">
        <f ca="1">OFFSET(N!$H$3,(DAY($C11)-1),($C$4-1)*20)</f>
        <v>0</v>
      </c>
      <c r="F11" s="33" t="str">
        <f ca="1">IF(ISNA(IF(OR(OR(D11="",E11=""),OR(D11=0,E11=0)),#N/A,E11/D11)),"",IF(OR(OR(D11="",E11=""),OR(D11=0,E11=0)),#N/A,E11/D11))</f>
        <v/>
      </c>
      <c r="G11" s="29" t="e">
        <f t="shared" ref="G11:G41" si="2">IF(B11="",#N/A,IF(OR(EXACT("dimanche",$B11),EXACT("samedi",$B11)),#N/A,$C$9*$A11*$X$6))</f>
        <v>#N/A</v>
      </c>
      <c r="H11" s="31">
        <f ca="1">OFFSET(N!$D$3,(DAY($C11)-1),($C$4-1)*20)</f>
        <v>0</v>
      </c>
      <c r="I11" s="34" t="str">
        <f ca="1">IF(ISNA(IF(OR(OR(G11="",H11=""),OR(G11=0,H11=0)),#N/A,H11/G11)),"",(IF(OR(OR(G11="",H11=""),OR(G11=0,H11=0)),#N/A,H11/G11)))</f>
        <v/>
      </c>
      <c r="J11" s="29" t="e">
        <f t="shared" ref="J11:J41" si="3">IF(B11="",#N/A,IF(OR(EXACT("dimanche",$B11),EXACT("samedi",$B11)),#N/A,$C$9*$A11*$X$7))</f>
        <v>#N/A</v>
      </c>
      <c r="K11" s="31">
        <f ca="1">OFFSET(N!$L$3,(DAY($C11)-1),($C$4-1)*20)</f>
        <v>0</v>
      </c>
      <c r="L11" s="34" t="str">
        <f ca="1">IF(ISNA(IF(OR(OR(J11="",K11=""),OR(J11=0,K11=0)),#N/A,K11/J11)),"",IF(OR(OR(J11="",K11=""),OR(J11=0,K11=0)),#N/A,K11/J11))</f>
        <v/>
      </c>
      <c r="M11" s="29" t="e">
        <f t="shared" ref="M11:M41" si="4">IF(B11="",#N/A,IF(OR(EXACT("dimanche",$B11),EXACT("samedi",$B11)),#N/A,$C$9*$A11*$X$8))</f>
        <v>#N/A</v>
      </c>
      <c r="N11" s="31">
        <f ca="1">OFFSET(N!$P$3,(DAY($C11)-1),($C$4-1)*20)</f>
        <v>0</v>
      </c>
      <c r="O11" s="34" t="str">
        <f ca="1">IF(ISNA(IF(OR(OR(M11="",N11=""),OR(M11=0,N11=0)),#N/A,N11/M11)),"",IF(OR(OR(M11="",N11=""),OR(M11=0,N11=0)),#N/A,N11/M11))</f>
        <v/>
      </c>
      <c r="P11" s="26"/>
      <c r="Q11" s="25"/>
      <c r="R11" s="34" t="str">
        <f>IF(ISNA(IF(OR(OR(P11="",Q11=""),OR(P11=0,Q11=0)),#N/A,Q11/P11)),"",IF(OR(OR(P11="",Q11=""),OR(P11=0,Q11=0)),#N/A,Q11/P11))</f>
        <v/>
      </c>
      <c r="S11" s="161" t="e">
        <f>IF(SUM(D11,G11,J11,M11)=0,#N/A,SUM(D11,G11,J11,M11))</f>
        <v>#N/A</v>
      </c>
      <c r="T11" s="157">
        <f t="shared" ref="T11:T41" ca="1" si="5">SUM(E11+H11+K11+N11)</f>
        <v>0</v>
      </c>
      <c r="U11" s="34" t="str">
        <f ca="1">IF(ISNA(IF(OR(OR(S11="",T11=""),OR(S11=0,T11=0)),#N/A,T11/S11)),"",IF(OR(OR(S11="",T11=""),OR(S11=0,T11=0)),#N/A,T11/S11))</f>
        <v/>
      </c>
      <c r="W11" s="223" t="s">
        <v>166</v>
      </c>
      <c r="X11" s="223" t="s">
        <v>167</v>
      </c>
      <c r="Y11" s="207"/>
    </row>
    <row r="12" spans="1:25" s="1" customFormat="1" ht="10" customHeight="1">
      <c r="A12" s="23">
        <f t="shared" si="0"/>
        <v>0</v>
      </c>
      <c r="B12" s="13" t="str">
        <f t="shared" ref="B12:B41" si="6">TEXT(C12,"jjjjjjj")</f>
        <v>dimanche</v>
      </c>
      <c r="C12" s="16">
        <f t="shared" ref="C12:C41" si="7">IF(MONTH(C11+1)=Mois_Ref,C11+1,"0")</f>
        <v>42218</v>
      </c>
      <c r="D12" s="29" t="e">
        <f t="shared" si="1"/>
        <v>#N/A</v>
      </c>
      <c r="E12" s="31">
        <f ca="1">OFFSET(N!$H$3,(DAY($C12)-1),($C$4-1)*20)</f>
        <v>0</v>
      </c>
      <c r="F12" s="33" t="str">
        <f t="shared" ref="F12:F41" ca="1" si="8">IF(ISNA(IF(OR(OR(D12="",E12=""),OR(D12=0,E12=0)),#N/A,E12/D12)),"",IF(OR(OR(D12="",E12=""),OR(D12=0,E12=0)),#N/A,E12/D12))</f>
        <v/>
      </c>
      <c r="G12" s="29" t="e">
        <f t="shared" si="2"/>
        <v>#N/A</v>
      </c>
      <c r="H12" s="31">
        <f ca="1">OFFSET(N!$D$3,(DAY($C12)-1),($C$4-1)*20)</f>
        <v>0</v>
      </c>
      <c r="I12" s="34" t="str">
        <f t="shared" ref="I12:I41" ca="1" si="9">IF(ISNA(IF(OR(OR(G12="",H12=""),OR(G12=0,H12=0)),#N/A,H12/G12)),"",(IF(OR(OR(G12="",H12=""),OR(G12=0,H12=0)),#N/A,H12/G12)))</f>
        <v/>
      </c>
      <c r="J12" s="29" t="e">
        <f t="shared" si="3"/>
        <v>#N/A</v>
      </c>
      <c r="K12" s="31">
        <f ca="1">OFFSET(N!$L$3,(DAY($C12)-1),($C$4-1)*20)</f>
        <v>0</v>
      </c>
      <c r="L12" s="34" t="str">
        <f t="shared" ref="L12:L41" ca="1" si="10">IF(ISNA(IF(OR(OR(J12="",K12=""),OR(J12=0,K12=0)),#N/A,K12/J12)),"",IF(OR(OR(J12="",K12=""),OR(J12=0,K12=0)),#N/A,K12/J12))</f>
        <v/>
      </c>
      <c r="M12" s="29" t="e">
        <f t="shared" si="4"/>
        <v>#N/A</v>
      </c>
      <c r="N12" s="31">
        <f ca="1">OFFSET(N!$P$3,(DAY($C12)-1),($C$4-1)*20)</f>
        <v>0</v>
      </c>
      <c r="O12" s="34" t="str">
        <f t="shared" ref="O12:O41" ca="1" si="11">IF(ISNA(IF(OR(OR(M12="",N12=""),OR(M12=0,N12=0)),#N/A,N12/M12)),"",IF(OR(OR(M12="",N12=""),OR(M12=0,N12=0)),#N/A,N12/M12))</f>
        <v/>
      </c>
      <c r="P12" s="26"/>
      <c r="Q12" s="25"/>
      <c r="R12" s="34" t="str">
        <f t="shared" ref="R12:R41" si="12">IF(ISNA(IF(OR(OR(P12="",Q12=""),OR(P12=0,Q12=0)),#N/A,Q12/P12)),"",IF(OR(OR(P12="",Q12=""),OR(P12=0,Q12=0)),#N/A,Q12/P12))</f>
        <v/>
      </c>
      <c r="S12" s="161" t="e">
        <f t="shared" ref="S12:S41" si="13">IF(SUM(D12,G12,J12,M12)=0,#N/A,SUM(D12,G12,J12,M12))</f>
        <v>#N/A</v>
      </c>
      <c r="T12" s="158">
        <f t="shared" ca="1" si="5"/>
        <v>0</v>
      </c>
      <c r="U12" s="34" t="str">
        <f t="shared" ref="U12:U41" ca="1" si="14">IF(ISNA(IF(OR(OR(S12="",T12=""),OR(S12=0,T12=0)),#N/A,T12/S12)),"",IF(OR(OR(S12="",T12=""),OR(S12=0,T12=0)),#N/A,T12/S12))</f>
        <v/>
      </c>
      <c r="W12" s="223"/>
      <c r="X12" s="223"/>
      <c r="Y12" s="207"/>
    </row>
    <row r="13" spans="1:25" s="1" customFormat="1" ht="10" customHeight="1">
      <c r="A13" s="23">
        <f t="shared" si="0"/>
        <v>1</v>
      </c>
      <c r="B13" s="13" t="str">
        <f t="shared" si="6"/>
        <v>lundi</v>
      </c>
      <c r="C13" s="16">
        <f t="shared" si="7"/>
        <v>42219</v>
      </c>
      <c r="D13" s="29">
        <f t="shared" si="1"/>
        <v>3000</v>
      </c>
      <c r="E13" s="31">
        <f ca="1">OFFSET(N!$H$3,(DAY($C13)-1),($C$4-1)*20)</f>
        <v>1159</v>
      </c>
      <c r="F13" s="33">
        <f t="shared" ca="1" si="8"/>
        <v>0.38633333333333331</v>
      </c>
      <c r="G13" s="29">
        <f t="shared" si="2"/>
        <v>456</v>
      </c>
      <c r="H13" s="31">
        <f ca="1">OFFSET(N!$D$3,(DAY($C13)-1),($C$4-1)*20)</f>
        <v>0</v>
      </c>
      <c r="I13" s="34" t="str">
        <f t="shared" ca="1" si="9"/>
        <v/>
      </c>
      <c r="J13" s="29">
        <f t="shared" si="3"/>
        <v>3840</v>
      </c>
      <c r="K13" s="31">
        <f ca="1">OFFSET(N!$L$3,(DAY($C13)-1),($C$4-1)*20)</f>
        <v>30</v>
      </c>
      <c r="L13" s="34">
        <f t="shared" ca="1" si="10"/>
        <v>7.8125E-3</v>
      </c>
      <c r="M13" s="29">
        <f t="shared" si="4"/>
        <v>4800</v>
      </c>
      <c r="N13" s="31">
        <f ca="1">OFFSET(N!$P$3,(DAY($C13)-1),($C$4-1)*20)</f>
        <v>4439</v>
      </c>
      <c r="O13" s="34">
        <f t="shared" ca="1" si="11"/>
        <v>0.92479166666666668</v>
      </c>
      <c r="P13" s="26"/>
      <c r="Q13" s="25"/>
      <c r="R13" s="34" t="str">
        <f t="shared" si="12"/>
        <v/>
      </c>
      <c r="S13" s="161">
        <f t="shared" si="13"/>
        <v>12096</v>
      </c>
      <c r="T13" s="158">
        <f t="shared" ca="1" si="5"/>
        <v>5628</v>
      </c>
      <c r="U13" s="34">
        <f t="shared" ca="1" si="14"/>
        <v>0.46527777777777779</v>
      </c>
      <c r="W13" s="224">
        <v>252000</v>
      </c>
      <c r="X13" s="225">
        <v>1910</v>
      </c>
      <c r="Y13" s="207"/>
    </row>
    <row r="14" spans="1:25" s="1" customFormat="1" ht="10" customHeight="1">
      <c r="A14" s="23">
        <f t="shared" si="0"/>
        <v>2</v>
      </c>
      <c r="B14" s="13" t="str">
        <f t="shared" si="6"/>
        <v>mardi</v>
      </c>
      <c r="C14" s="16">
        <f t="shared" si="7"/>
        <v>42220</v>
      </c>
      <c r="D14" s="29">
        <f t="shared" si="1"/>
        <v>6000</v>
      </c>
      <c r="E14" s="31">
        <f ca="1">OFFSET(N!$H$3,(DAY($C14)-1),($C$4-1)*20)</f>
        <v>3536</v>
      </c>
      <c r="F14" s="33">
        <f t="shared" ca="1" si="8"/>
        <v>0.58933333333333338</v>
      </c>
      <c r="G14" s="29">
        <f t="shared" si="2"/>
        <v>912</v>
      </c>
      <c r="H14" s="31">
        <f ca="1">OFFSET(N!$D$3,(DAY($C14)-1),($C$4-1)*20)</f>
        <v>0</v>
      </c>
      <c r="I14" s="34" t="str">
        <f t="shared" ca="1" si="9"/>
        <v/>
      </c>
      <c r="J14" s="29">
        <f t="shared" si="3"/>
        <v>7680</v>
      </c>
      <c r="K14" s="31">
        <f ca="1">OFFSET(N!$L$3,(DAY($C14)-1),($C$4-1)*20)</f>
        <v>361</v>
      </c>
      <c r="L14" s="34">
        <f t="shared" ca="1" si="10"/>
        <v>4.7005208333333333E-2</v>
      </c>
      <c r="M14" s="29">
        <f t="shared" si="4"/>
        <v>9600</v>
      </c>
      <c r="N14" s="31">
        <f ca="1">OFFSET(N!$P$3,(DAY($C14)-1),($C$4-1)*20)</f>
        <v>10678</v>
      </c>
      <c r="O14" s="34">
        <f t="shared" ca="1" si="11"/>
        <v>1.1122916666666667</v>
      </c>
      <c r="P14" s="26"/>
      <c r="Q14" s="25"/>
      <c r="R14" s="34" t="str">
        <f t="shared" si="12"/>
        <v/>
      </c>
      <c r="S14" s="161">
        <f t="shared" si="13"/>
        <v>24192</v>
      </c>
      <c r="T14" s="158">
        <f t="shared" ca="1" si="5"/>
        <v>14575</v>
      </c>
      <c r="U14" s="34">
        <f t="shared" ca="1" si="14"/>
        <v>0.60247189153439151</v>
      </c>
      <c r="W14" s="224"/>
      <c r="X14" s="225"/>
      <c r="Y14" s="207"/>
    </row>
    <row r="15" spans="1:25" s="1" customFormat="1" ht="10" customHeight="1">
      <c r="A15" s="23">
        <f t="shared" si="0"/>
        <v>3</v>
      </c>
      <c r="B15" s="13" t="str">
        <f t="shared" si="6"/>
        <v>mercredi</v>
      </c>
      <c r="C15" s="16">
        <f t="shared" si="7"/>
        <v>42221</v>
      </c>
      <c r="D15" s="29">
        <f t="shared" si="1"/>
        <v>9000</v>
      </c>
      <c r="E15" s="31">
        <f ca="1">OFFSET(N!$H$3,(DAY($C15)-1),($C$4-1)*20)</f>
        <v>3653</v>
      </c>
      <c r="F15" s="33">
        <f t="shared" ca="1" si="8"/>
        <v>0.40588888888888891</v>
      </c>
      <c r="G15" s="29">
        <f t="shared" si="2"/>
        <v>1368</v>
      </c>
      <c r="H15" s="31">
        <f ca="1">OFFSET(N!$D$3,(DAY($C15)-1),($C$4-1)*20)</f>
        <v>0</v>
      </c>
      <c r="I15" s="34" t="str">
        <f t="shared" ca="1" si="9"/>
        <v/>
      </c>
      <c r="J15" s="29">
        <f t="shared" si="3"/>
        <v>11520</v>
      </c>
      <c r="K15" s="31">
        <f ca="1">OFFSET(N!$L$3,(DAY($C15)-1),($C$4-1)*20)</f>
        <v>6525</v>
      </c>
      <c r="L15" s="34">
        <f t="shared" ca="1" si="10"/>
        <v>0.56640625</v>
      </c>
      <c r="M15" s="29">
        <f t="shared" si="4"/>
        <v>14400</v>
      </c>
      <c r="N15" s="31">
        <f ca="1">OFFSET(N!$P$3,(DAY($C15)-1),($C$4-1)*20)</f>
        <v>14756</v>
      </c>
      <c r="O15" s="34">
        <f t="shared" ca="1" si="11"/>
        <v>1.0247222222222223</v>
      </c>
      <c r="P15" s="26"/>
      <c r="Q15" s="25"/>
      <c r="R15" s="34" t="str">
        <f t="shared" si="12"/>
        <v/>
      </c>
      <c r="S15" s="161">
        <f t="shared" si="13"/>
        <v>36288</v>
      </c>
      <c r="T15" s="158">
        <f t="shared" ca="1" si="5"/>
        <v>24934</v>
      </c>
      <c r="U15" s="34">
        <f t="shared" ca="1" si="14"/>
        <v>0.68711419753086422</v>
      </c>
      <c r="W15" s="226">
        <f>+W13/$A$41</f>
        <v>12000</v>
      </c>
      <c r="X15" s="226">
        <f>+X13/$A$41</f>
        <v>90.952380952380949</v>
      </c>
      <c r="Y15" s="207"/>
    </row>
    <row r="16" spans="1:25" s="1" customFormat="1" ht="10" customHeight="1">
      <c r="A16" s="23">
        <f t="shared" si="0"/>
        <v>4</v>
      </c>
      <c r="B16" s="13" t="str">
        <f t="shared" si="6"/>
        <v>jeudi</v>
      </c>
      <c r="C16" s="16">
        <f t="shared" si="7"/>
        <v>42222</v>
      </c>
      <c r="D16" s="29">
        <f t="shared" si="1"/>
        <v>12000</v>
      </c>
      <c r="E16" s="31">
        <f ca="1">OFFSET(N!$H$3,(DAY($C16)-1),($C$4-1)*20)</f>
        <v>7396</v>
      </c>
      <c r="F16" s="33">
        <f t="shared" ca="1" si="8"/>
        <v>0.61633333333333329</v>
      </c>
      <c r="G16" s="29">
        <f t="shared" si="2"/>
        <v>1824</v>
      </c>
      <c r="H16" s="31">
        <f ca="1">OFFSET(N!$D$3,(DAY($C16)-1),($C$4-1)*20)</f>
        <v>0</v>
      </c>
      <c r="I16" s="34" t="str">
        <f t="shared" ca="1" si="9"/>
        <v/>
      </c>
      <c r="J16" s="29">
        <f t="shared" si="3"/>
        <v>15360</v>
      </c>
      <c r="K16" s="31">
        <f ca="1">OFFSET(N!$L$3,(DAY($C16)-1),($C$4-1)*20)</f>
        <v>8237</v>
      </c>
      <c r="L16" s="34">
        <f t="shared" ca="1" si="10"/>
        <v>0.53626302083333333</v>
      </c>
      <c r="M16" s="29">
        <f t="shared" si="4"/>
        <v>19200</v>
      </c>
      <c r="N16" s="31">
        <f ca="1">OFFSET(N!$P$3,(DAY($C16)-1),($C$4-1)*20)</f>
        <v>19710</v>
      </c>
      <c r="O16" s="34">
        <f t="shared" ca="1" si="11"/>
        <v>1.0265625</v>
      </c>
      <c r="P16" s="26"/>
      <c r="Q16" s="25"/>
      <c r="R16" s="34" t="str">
        <f t="shared" si="12"/>
        <v/>
      </c>
      <c r="S16" s="161">
        <f t="shared" si="13"/>
        <v>48384</v>
      </c>
      <c r="T16" s="158">
        <f t="shared" ca="1" si="5"/>
        <v>35343</v>
      </c>
      <c r="U16" s="34">
        <f t="shared" ca="1" si="14"/>
        <v>0.73046875</v>
      </c>
      <c r="W16" s="226"/>
      <c r="X16" s="226"/>
      <c r="Y16" s="207"/>
    </row>
    <row r="17" spans="1:21" s="1" customFormat="1" ht="10" customHeight="1">
      <c r="A17" s="23">
        <f t="shared" si="0"/>
        <v>5</v>
      </c>
      <c r="B17" s="13" t="str">
        <f t="shared" si="6"/>
        <v>vendredi</v>
      </c>
      <c r="C17" s="16">
        <f t="shared" si="7"/>
        <v>42223</v>
      </c>
      <c r="D17" s="29">
        <f t="shared" si="1"/>
        <v>15000</v>
      </c>
      <c r="E17" s="31">
        <f ca="1">OFFSET(N!$H$3,(DAY($C17)-1),($C$4-1)*20)</f>
        <v>10191</v>
      </c>
      <c r="F17" s="33">
        <f t="shared" ca="1" si="8"/>
        <v>0.6794</v>
      </c>
      <c r="G17" s="29">
        <f t="shared" si="2"/>
        <v>2280</v>
      </c>
      <c r="H17" s="31">
        <f ca="1">OFFSET(N!$D$3,(DAY($C17)-1),($C$4-1)*20)</f>
        <v>0</v>
      </c>
      <c r="I17" s="34" t="str">
        <f t="shared" ca="1" si="9"/>
        <v/>
      </c>
      <c r="J17" s="29">
        <f t="shared" si="3"/>
        <v>19200</v>
      </c>
      <c r="K17" s="31">
        <f ca="1">OFFSET(N!$L$3,(DAY($C17)-1),($C$4-1)*20)</f>
        <v>16108</v>
      </c>
      <c r="L17" s="34">
        <f t="shared" ca="1" si="10"/>
        <v>0.83895833333333336</v>
      </c>
      <c r="M17" s="29">
        <f t="shared" si="4"/>
        <v>24000</v>
      </c>
      <c r="N17" s="31">
        <f ca="1">OFFSET(N!$P$3,(DAY($C17)-1),($C$4-1)*20)</f>
        <v>27709</v>
      </c>
      <c r="O17" s="34">
        <f t="shared" ca="1" si="11"/>
        <v>1.1545416666666666</v>
      </c>
      <c r="P17" s="26"/>
      <c r="Q17" s="25"/>
      <c r="R17" s="34" t="str">
        <f t="shared" si="12"/>
        <v/>
      </c>
      <c r="S17" s="161">
        <f t="shared" si="13"/>
        <v>60480</v>
      </c>
      <c r="T17" s="158">
        <f t="shared" ca="1" si="5"/>
        <v>54008</v>
      </c>
      <c r="U17" s="34">
        <f t="shared" ca="1" si="14"/>
        <v>0.892989417989418</v>
      </c>
    </row>
    <row r="18" spans="1:21" s="1" customFormat="1" ht="10" customHeight="1">
      <c r="A18" s="23">
        <f t="shared" si="0"/>
        <v>5</v>
      </c>
      <c r="B18" s="13" t="str">
        <f t="shared" si="6"/>
        <v>samedi</v>
      </c>
      <c r="C18" s="16">
        <f t="shared" si="7"/>
        <v>42224</v>
      </c>
      <c r="D18" s="29" t="e">
        <f t="shared" si="1"/>
        <v>#N/A</v>
      </c>
      <c r="E18" s="31">
        <f ca="1">OFFSET(N!$H$3,(DAY($C18)-1),($C$4-1)*20)</f>
        <v>0</v>
      </c>
      <c r="F18" s="33" t="str">
        <f t="shared" ca="1" si="8"/>
        <v/>
      </c>
      <c r="G18" s="29" t="e">
        <f t="shared" si="2"/>
        <v>#N/A</v>
      </c>
      <c r="H18" s="31">
        <f ca="1">OFFSET(N!$D$3,(DAY($C18)-1),($C$4-1)*20)</f>
        <v>0</v>
      </c>
      <c r="I18" s="34" t="str">
        <f t="shared" ca="1" si="9"/>
        <v/>
      </c>
      <c r="J18" s="29" t="e">
        <f t="shared" si="3"/>
        <v>#N/A</v>
      </c>
      <c r="K18" s="31">
        <f ca="1">OFFSET(N!$L$3,(DAY($C18)-1),($C$4-1)*20)</f>
        <v>0</v>
      </c>
      <c r="L18" s="34" t="str">
        <f t="shared" ca="1" si="10"/>
        <v/>
      </c>
      <c r="M18" s="29" t="e">
        <f t="shared" si="4"/>
        <v>#N/A</v>
      </c>
      <c r="N18" s="31">
        <f ca="1">OFFSET(N!$P$3,(DAY($C18)-1),($C$4-1)*20)</f>
        <v>0</v>
      </c>
      <c r="O18" s="34" t="str">
        <f t="shared" ca="1" si="11"/>
        <v/>
      </c>
      <c r="P18" s="26"/>
      <c r="Q18" s="25"/>
      <c r="R18" s="34" t="str">
        <f t="shared" si="12"/>
        <v/>
      </c>
      <c r="S18" s="161" t="e">
        <f t="shared" si="13"/>
        <v>#N/A</v>
      </c>
      <c r="T18" s="158">
        <f t="shared" ca="1" si="5"/>
        <v>0</v>
      </c>
      <c r="U18" s="34" t="str">
        <f t="shared" ca="1" si="14"/>
        <v/>
      </c>
    </row>
    <row r="19" spans="1:21" s="1" customFormat="1" ht="10" customHeight="1">
      <c r="A19" s="23">
        <f t="shared" si="0"/>
        <v>5</v>
      </c>
      <c r="B19" s="13" t="str">
        <f t="shared" si="6"/>
        <v>dimanche</v>
      </c>
      <c r="C19" s="16">
        <f t="shared" si="7"/>
        <v>42225</v>
      </c>
      <c r="D19" s="29" t="e">
        <f t="shared" si="1"/>
        <v>#N/A</v>
      </c>
      <c r="E19" s="31">
        <f ca="1">OFFSET(N!$H$3,(DAY($C19)-1),($C$4-1)*20)</f>
        <v>0</v>
      </c>
      <c r="F19" s="33" t="str">
        <f t="shared" ca="1" si="8"/>
        <v/>
      </c>
      <c r="G19" s="29" t="e">
        <f t="shared" si="2"/>
        <v>#N/A</v>
      </c>
      <c r="H19" s="31">
        <f ca="1">OFFSET(N!$D$3,(DAY($C19)-1),($C$4-1)*20)</f>
        <v>0</v>
      </c>
      <c r="I19" s="34" t="str">
        <f t="shared" ca="1" si="9"/>
        <v/>
      </c>
      <c r="J19" s="29" t="e">
        <f t="shared" si="3"/>
        <v>#N/A</v>
      </c>
      <c r="K19" s="31">
        <f ca="1">OFFSET(N!$L$3,(DAY($C19)-1),($C$4-1)*20)</f>
        <v>0</v>
      </c>
      <c r="L19" s="34" t="str">
        <f t="shared" ca="1" si="10"/>
        <v/>
      </c>
      <c r="M19" s="29" t="e">
        <f t="shared" si="4"/>
        <v>#N/A</v>
      </c>
      <c r="N19" s="31">
        <f ca="1">OFFSET(N!$P$3,(DAY($C19)-1),($C$4-1)*20)</f>
        <v>0</v>
      </c>
      <c r="O19" s="34" t="str">
        <f t="shared" ca="1" si="11"/>
        <v/>
      </c>
      <c r="P19" s="26"/>
      <c r="Q19" s="25"/>
      <c r="R19" s="34" t="str">
        <f t="shared" si="12"/>
        <v/>
      </c>
      <c r="S19" s="161" t="e">
        <f t="shared" si="13"/>
        <v>#N/A</v>
      </c>
      <c r="T19" s="158">
        <f t="shared" ca="1" si="5"/>
        <v>0</v>
      </c>
      <c r="U19" s="34" t="str">
        <f t="shared" ca="1" si="14"/>
        <v/>
      </c>
    </row>
    <row r="20" spans="1:21" s="1" customFormat="1" ht="10" customHeight="1">
      <c r="A20" s="23">
        <f t="shared" si="0"/>
        <v>6</v>
      </c>
      <c r="B20" s="13" t="str">
        <f t="shared" si="6"/>
        <v>lundi</v>
      </c>
      <c r="C20" s="16">
        <f t="shared" si="7"/>
        <v>42226</v>
      </c>
      <c r="D20" s="29">
        <f t="shared" si="1"/>
        <v>18000</v>
      </c>
      <c r="E20" s="31">
        <f ca="1">OFFSET(N!$H$3,(DAY($C20)-1),($C$4-1)*20)</f>
        <v>11459</v>
      </c>
      <c r="F20" s="33">
        <f t="shared" ca="1" si="8"/>
        <v>0.63661111111111113</v>
      </c>
      <c r="G20" s="29">
        <f t="shared" si="2"/>
        <v>2736</v>
      </c>
      <c r="H20" s="31">
        <f ca="1">OFFSET(N!$D$3,(DAY($C20)-1),($C$4-1)*20)</f>
        <v>2</v>
      </c>
      <c r="I20" s="34">
        <f t="shared" ca="1" si="9"/>
        <v>7.3099415204678359E-4</v>
      </c>
      <c r="J20" s="29">
        <f t="shared" si="3"/>
        <v>23040</v>
      </c>
      <c r="K20" s="31">
        <f ca="1">OFFSET(N!$L$3,(DAY($C20)-1),($C$4-1)*20)</f>
        <v>16602</v>
      </c>
      <c r="L20" s="34">
        <f t="shared" ca="1" si="10"/>
        <v>0.72057291666666667</v>
      </c>
      <c r="M20" s="29">
        <f t="shared" si="4"/>
        <v>28800</v>
      </c>
      <c r="N20" s="31">
        <f ca="1">OFFSET(N!$P$3,(DAY($C20)-1),($C$4-1)*20)</f>
        <v>31613</v>
      </c>
      <c r="O20" s="34">
        <f t="shared" ca="1" si="11"/>
        <v>1.0976736111111112</v>
      </c>
      <c r="P20" s="26"/>
      <c r="Q20" s="25"/>
      <c r="R20" s="34" t="str">
        <f t="shared" si="12"/>
        <v/>
      </c>
      <c r="S20" s="161">
        <f t="shared" si="13"/>
        <v>72576</v>
      </c>
      <c r="T20" s="158">
        <f t="shared" ca="1" si="5"/>
        <v>59676</v>
      </c>
      <c r="U20" s="34">
        <f t="shared" ca="1" si="14"/>
        <v>0.82225529100529104</v>
      </c>
    </row>
    <row r="21" spans="1:21" s="1" customFormat="1" ht="10" customHeight="1">
      <c r="A21" s="23">
        <f t="shared" si="0"/>
        <v>7</v>
      </c>
      <c r="B21" s="13" t="str">
        <f t="shared" si="6"/>
        <v>mardi</v>
      </c>
      <c r="C21" s="16">
        <f t="shared" si="7"/>
        <v>42227</v>
      </c>
      <c r="D21" s="29">
        <f t="shared" si="1"/>
        <v>21000</v>
      </c>
      <c r="E21" s="31">
        <f ca="1">OFFSET(N!$H$3,(DAY($C21)-1),($C$4-1)*20)</f>
        <v>14631</v>
      </c>
      <c r="F21" s="33">
        <f t="shared" ca="1" si="8"/>
        <v>0.69671428571428573</v>
      </c>
      <c r="G21" s="29">
        <f t="shared" si="2"/>
        <v>3192</v>
      </c>
      <c r="H21" s="31">
        <f ca="1">OFFSET(N!$D$3,(DAY($C21)-1),($C$4-1)*20)</f>
        <v>2</v>
      </c>
      <c r="I21" s="34">
        <f t="shared" ca="1" si="9"/>
        <v>6.2656641604010022E-4</v>
      </c>
      <c r="J21" s="29">
        <f t="shared" si="3"/>
        <v>26880</v>
      </c>
      <c r="K21" s="31">
        <f ca="1">OFFSET(N!$L$3,(DAY($C21)-1),($C$4-1)*20)</f>
        <v>19934</v>
      </c>
      <c r="L21" s="34">
        <f t="shared" ca="1" si="10"/>
        <v>0.74159226190476191</v>
      </c>
      <c r="M21" s="29">
        <f t="shared" si="4"/>
        <v>33600</v>
      </c>
      <c r="N21" s="31">
        <f ca="1">OFFSET(N!$P$3,(DAY($C21)-1),($C$4-1)*20)</f>
        <v>36180</v>
      </c>
      <c r="O21" s="34">
        <f t="shared" ca="1" si="11"/>
        <v>1.0767857142857142</v>
      </c>
      <c r="P21" s="26"/>
      <c r="Q21" s="25"/>
      <c r="R21" s="34" t="str">
        <f t="shared" si="12"/>
        <v/>
      </c>
      <c r="S21" s="161">
        <f t="shared" si="13"/>
        <v>84672</v>
      </c>
      <c r="T21" s="158">
        <f t="shared" ca="1" si="5"/>
        <v>70747</v>
      </c>
      <c r="U21" s="34">
        <f t="shared" ca="1" si="14"/>
        <v>0.83554185563114136</v>
      </c>
    </row>
    <row r="22" spans="1:21" s="1" customFormat="1" ht="10" customHeight="1">
      <c r="A22" s="23">
        <f t="shared" si="0"/>
        <v>8</v>
      </c>
      <c r="B22" s="13" t="str">
        <f t="shared" si="6"/>
        <v>mercredi</v>
      </c>
      <c r="C22" s="16">
        <f t="shared" si="7"/>
        <v>42228</v>
      </c>
      <c r="D22" s="29">
        <f t="shared" si="1"/>
        <v>24000</v>
      </c>
      <c r="E22" s="31">
        <f ca="1">OFFSET(N!$H$3,(DAY($C22)-1),($C$4-1)*20)</f>
        <v>0</v>
      </c>
      <c r="F22" s="33" t="str">
        <f t="shared" ca="1" si="8"/>
        <v/>
      </c>
      <c r="G22" s="29">
        <f t="shared" si="2"/>
        <v>3648</v>
      </c>
      <c r="H22" s="31">
        <f ca="1">OFFSET(N!$D$3,(DAY($C22)-1),($C$4-1)*20)</f>
        <v>0</v>
      </c>
      <c r="I22" s="34" t="str">
        <f t="shared" ca="1" si="9"/>
        <v/>
      </c>
      <c r="J22" s="29">
        <f t="shared" si="3"/>
        <v>30720</v>
      </c>
      <c r="K22" s="31">
        <f ca="1">OFFSET(N!$L$3,(DAY($C22)-1),($C$4-1)*20)</f>
        <v>0</v>
      </c>
      <c r="L22" s="34" t="str">
        <f t="shared" ca="1" si="10"/>
        <v/>
      </c>
      <c r="M22" s="29">
        <f t="shared" si="4"/>
        <v>38400</v>
      </c>
      <c r="N22" s="31">
        <f ca="1">OFFSET(N!$P$3,(DAY($C22)-1),($C$4-1)*20)</f>
        <v>0</v>
      </c>
      <c r="O22" s="34" t="str">
        <f t="shared" ca="1" si="11"/>
        <v/>
      </c>
      <c r="P22" s="26"/>
      <c r="Q22" s="25"/>
      <c r="R22" s="34" t="str">
        <f t="shared" si="12"/>
        <v/>
      </c>
      <c r="S22" s="161">
        <f t="shared" si="13"/>
        <v>96768</v>
      </c>
      <c r="T22" s="158">
        <f t="shared" ca="1" si="5"/>
        <v>0</v>
      </c>
      <c r="U22" s="34" t="str">
        <f t="shared" ca="1" si="14"/>
        <v/>
      </c>
    </row>
    <row r="23" spans="1:21" s="1" customFormat="1" ht="10" customHeight="1">
      <c r="A23" s="23">
        <f t="shared" si="0"/>
        <v>9</v>
      </c>
      <c r="B23" s="13" t="str">
        <f t="shared" si="6"/>
        <v>jeudi</v>
      </c>
      <c r="C23" s="16">
        <f t="shared" si="7"/>
        <v>42229</v>
      </c>
      <c r="D23" s="29">
        <f t="shared" si="1"/>
        <v>27000</v>
      </c>
      <c r="E23" s="31">
        <f ca="1">OFFSET(N!$H$3,(DAY($C23)-1),($C$4-1)*20)</f>
        <v>0</v>
      </c>
      <c r="F23" s="33" t="str">
        <f t="shared" ca="1" si="8"/>
        <v/>
      </c>
      <c r="G23" s="29">
        <f t="shared" si="2"/>
        <v>4104</v>
      </c>
      <c r="H23" s="31">
        <f ca="1">OFFSET(N!$D$3,(DAY($C23)-1),($C$4-1)*20)</f>
        <v>0</v>
      </c>
      <c r="I23" s="34" t="str">
        <f t="shared" ca="1" si="9"/>
        <v/>
      </c>
      <c r="J23" s="29">
        <f t="shared" si="3"/>
        <v>34560</v>
      </c>
      <c r="K23" s="31">
        <f ca="1">OFFSET(N!$L$3,(DAY($C23)-1),($C$4-1)*20)</f>
        <v>0</v>
      </c>
      <c r="L23" s="34" t="str">
        <f t="shared" ca="1" si="10"/>
        <v/>
      </c>
      <c r="M23" s="29">
        <f t="shared" si="4"/>
        <v>43200</v>
      </c>
      <c r="N23" s="31">
        <f ca="1">OFFSET(N!$P$3,(DAY($C23)-1),($C$4-1)*20)</f>
        <v>0</v>
      </c>
      <c r="O23" s="34" t="str">
        <f t="shared" ca="1" si="11"/>
        <v/>
      </c>
      <c r="P23" s="26"/>
      <c r="Q23" s="25"/>
      <c r="R23" s="34" t="str">
        <f t="shared" si="12"/>
        <v/>
      </c>
      <c r="S23" s="161">
        <f t="shared" si="13"/>
        <v>108864</v>
      </c>
      <c r="T23" s="158">
        <f t="shared" ca="1" si="5"/>
        <v>0</v>
      </c>
      <c r="U23" s="34" t="str">
        <f t="shared" ca="1" si="14"/>
        <v/>
      </c>
    </row>
    <row r="24" spans="1:21" s="1" customFormat="1" ht="10" customHeight="1">
      <c r="A24" s="23">
        <f t="shared" si="0"/>
        <v>10</v>
      </c>
      <c r="B24" s="13" t="str">
        <f t="shared" si="6"/>
        <v>vendredi</v>
      </c>
      <c r="C24" s="16">
        <f t="shared" si="7"/>
        <v>42230</v>
      </c>
      <c r="D24" s="29">
        <f t="shared" si="1"/>
        <v>30000</v>
      </c>
      <c r="E24" s="31">
        <f ca="1">OFFSET(N!$H$3,(DAY($C24)-1),($C$4-1)*20)</f>
        <v>0</v>
      </c>
      <c r="F24" s="33" t="str">
        <f t="shared" ca="1" si="8"/>
        <v/>
      </c>
      <c r="G24" s="29">
        <f t="shared" si="2"/>
        <v>4560</v>
      </c>
      <c r="H24" s="31">
        <f ca="1">OFFSET(N!$D$3,(DAY($C24)-1),($C$4-1)*20)</f>
        <v>0</v>
      </c>
      <c r="I24" s="34" t="str">
        <f t="shared" ca="1" si="9"/>
        <v/>
      </c>
      <c r="J24" s="29">
        <f t="shared" si="3"/>
        <v>38400</v>
      </c>
      <c r="K24" s="31">
        <f ca="1">OFFSET(N!$L$3,(DAY($C24)-1),($C$4-1)*20)</f>
        <v>0</v>
      </c>
      <c r="L24" s="34" t="str">
        <f t="shared" ca="1" si="10"/>
        <v/>
      </c>
      <c r="M24" s="29">
        <f t="shared" si="4"/>
        <v>48000</v>
      </c>
      <c r="N24" s="31">
        <f ca="1">OFFSET(N!$P$3,(DAY($C24)-1),($C$4-1)*20)</f>
        <v>0</v>
      </c>
      <c r="O24" s="34" t="str">
        <f t="shared" ca="1" si="11"/>
        <v/>
      </c>
      <c r="P24" s="26"/>
      <c r="Q24" s="25"/>
      <c r="R24" s="34" t="str">
        <f t="shared" si="12"/>
        <v/>
      </c>
      <c r="S24" s="161">
        <f t="shared" si="13"/>
        <v>120960</v>
      </c>
      <c r="T24" s="158">
        <f t="shared" ca="1" si="5"/>
        <v>0</v>
      </c>
      <c r="U24" s="34" t="str">
        <f t="shared" ca="1" si="14"/>
        <v/>
      </c>
    </row>
    <row r="25" spans="1:21" s="1" customFormat="1" ht="10" customHeight="1">
      <c r="A25" s="23">
        <f t="shared" si="0"/>
        <v>10</v>
      </c>
      <c r="B25" s="13" t="str">
        <f t="shared" si="6"/>
        <v>samedi</v>
      </c>
      <c r="C25" s="16">
        <f t="shared" si="7"/>
        <v>42231</v>
      </c>
      <c r="D25" s="29" t="e">
        <f t="shared" si="1"/>
        <v>#N/A</v>
      </c>
      <c r="E25" s="31">
        <f ca="1">OFFSET(N!$H$3,(DAY($C25)-1),($C$4-1)*20)</f>
        <v>0</v>
      </c>
      <c r="F25" s="33" t="str">
        <f t="shared" ca="1" si="8"/>
        <v/>
      </c>
      <c r="G25" s="29" t="e">
        <f t="shared" si="2"/>
        <v>#N/A</v>
      </c>
      <c r="H25" s="31">
        <f ca="1">OFFSET(N!$D$3,(DAY($C25)-1),($C$4-1)*20)</f>
        <v>0</v>
      </c>
      <c r="I25" s="34" t="str">
        <f t="shared" ca="1" si="9"/>
        <v/>
      </c>
      <c r="J25" s="29" t="e">
        <f t="shared" si="3"/>
        <v>#N/A</v>
      </c>
      <c r="K25" s="31">
        <f ca="1">OFFSET(N!$L$3,(DAY($C25)-1),($C$4-1)*20)</f>
        <v>0</v>
      </c>
      <c r="L25" s="34" t="str">
        <f t="shared" ca="1" si="10"/>
        <v/>
      </c>
      <c r="M25" s="29" t="e">
        <f t="shared" si="4"/>
        <v>#N/A</v>
      </c>
      <c r="N25" s="31">
        <f ca="1">OFFSET(N!$P$3,(DAY($C25)-1),($C$4-1)*20)</f>
        <v>0</v>
      </c>
      <c r="O25" s="34" t="str">
        <f t="shared" ca="1" si="11"/>
        <v/>
      </c>
      <c r="P25" s="26"/>
      <c r="Q25" s="25"/>
      <c r="R25" s="34" t="str">
        <f t="shared" si="12"/>
        <v/>
      </c>
      <c r="S25" s="161" t="e">
        <f t="shared" si="13"/>
        <v>#N/A</v>
      </c>
      <c r="T25" s="158">
        <f t="shared" ca="1" si="5"/>
        <v>0</v>
      </c>
      <c r="U25" s="34" t="str">
        <f t="shared" ca="1" si="14"/>
        <v/>
      </c>
    </row>
    <row r="26" spans="1:21" s="1" customFormat="1" ht="10" customHeight="1">
      <c r="A26" s="23">
        <f t="shared" si="0"/>
        <v>10</v>
      </c>
      <c r="B26" s="13" t="str">
        <f t="shared" si="6"/>
        <v>dimanche</v>
      </c>
      <c r="C26" s="16">
        <f t="shared" si="7"/>
        <v>42232</v>
      </c>
      <c r="D26" s="29" t="e">
        <f t="shared" si="1"/>
        <v>#N/A</v>
      </c>
      <c r="E26" s="31">
        <f ca="1">OFFSET(N!$H$3,(DAY($C26)-1),($C$4-1)*20)</f>
        <v>0</v>
      </c>
      <c r="F26" s="33" t="str">
        <f t="shared" ca="1" si="8"/>
        <v/>
      </c>
      <c r="G26" s="29" t="e">
        <f t="shared" si="2"/>
        <v>#N/A</v>
      </c>
      <c r="H26" s="31">
        <f ca="1">OFFSET(N!$D$3,(DAY($C26)-1),($C$4-1)*20)</f>
        <v>0</v>
      </c>
      <c r="I26" s="34" t="str">
        <f t="shared" ca="1" si="9"/>
        <v/>
      </c>
      <c r="J26" s="29" t="e">
        <f t="shared" si="3"/>
        <v>#N/A</v>
      </c>
      <c r="K26" s="31">
        <f ca="1">OFFSET(N!$L$3,(DAY($C26)-1),($C$4-1)*20)</f>
        <v>0</v>
      </c>
      <c r="L26" s="34" t="str">
        <f t="shared" ca="1" si="10"/>
        <v/>
      </c>
      <c r="M26" s="29" t="e">
        <f t="shared" si="4"/>
        <v>#N/A</v>
      </c>
      <c r="N26" s="31">
        <f ca="1">OFFSET(N!$P$3,(DAY($C26)-1),($C$4-1)*20)</f>
        <v>0</v>
      </c>
      <c r="O26" s="34" t="str">
        <f t="shared" ca="1" si="11"/>
        <v/>
      </c>
      <c r="P26" s="26"/>
      <c r="Q26" s="25"/>
      <c r="R26" s="34" t="str">
        <f t="shared" si="12"/>
        <v/>
      </c>
      <c r="S26" s="161" t="e">
        <f t="shared" si="13"/>
        <v>#N/A</v>
      </c>
      <c r="T26" s="158">
        <f t="shared" ca="1" si="5"/>
        <v>0</v>
      </c>
      <c r="U26" s="34" t="str">
        <f t="shared" ca="1" si="14"/>
        <v/>
      </c>
    </row>
    <row r="27" spans="1:21" s="1" customFormat="1" ht="10" customHeight="1">
      <c r="A27" s="23">
        <f t="shared" si="0"/>
        <v>11</v>
      </c>
      <c r="B27" s="13" t="str">
        <f t="shared" si="6"/>
        <v>lundi</v>
      </c>
      <c r="C27" s="16">
        <f t="shared" si="7"/>
        <v>42233</v>
      </c>
      <c r="D27" s="29">
        <f t="shared" si="1"/>
        <v>33000</v>
      </c>
      <c r="E27" s="31">
        <f ca="1">OFFSET(N!$H$3,(DAY($C27)-1),($C$4-1)*20)</f>
        <v>0</v>
      </c>
      <c r="F27" s="33" t="str">
        <f t="shared" ca="1" si="8"/>
        <v/>
      </c>
      <c r="G27" s="29">
        <f t="shared" si="2"/>
        <v>5016</v>
      </c>
      <c r="H27" s="31">
        <f ca="1">OFFSET(N!$D$3,(DAY($C27)-1),($C$4-1)*20)</f>
        <v>0</v>
      </c>
      <c r="I27" s="34" t="str">
        <f t="shared" ca="1" si="9"/>
        <v/>
      </c>
      <c r="J27" s="29">
        <f t="shared" si="3"/>
        <v>42240</v>
      </c>
      <c r="K27" s="31">
        <f ca="1">OFFSET(N!$L$3,(DAY($C27)-1),($C$4-1)*20)</f>
        <v>0</v>
      </c>
      <c r="L27" s="34" t="str">
        <f t="shared" ca="1" si="10"/>
        <v/>
      </c>
      <c r="M27" s="29">
        <f t="shared" si="4"/>
        <v>52800</v>
      </c>
      <c r="N27" s="31">
        <f ca="1">OFFSET(N!$P$3,(DAY($C27)-1),($C$4-1)*20)</f>
        <v>0</v>
      </c>
      <c r="O27" s="34" t="str">
        <f t="shared" ca="1" si="11"/>
        <v/>
      </c>
      <c r="P27" s="26"/>
      <c r="Q27" s="25"/>
      <c r="R27" s="34" t="str">
        <f t="shared" si="12"/>
        <v/>
      </c>
      <c r="S27" s="161">
        <f t="shared" si="13"/>
        <v>133056</v>
      </c>
      <c r="T27" s="158">
        <f t="shared" ca="1" si="5"/>
        <v>0</v>
      </c>
      <c r="U27" s="34" t="str">
        <f t="shared" ca="1" si="14"/>
        <v/>
      </c>
    </row>
    <row r="28" spans="1:21" s="1" customFormat="1" ht="10" customHeight="1">
      <c r="A28" s="23">
        <f t="shared" si="0"/>
        <v>12</v>
      </c>
      <c r="B28" s="13" t="str">
        <f t="shared" si="6"/>
        <v>mardi</v>
      </c>
      <c r="C28" s="16">
        <f t="shared" si="7"/>
        <v>42234</v>
      </c>
      <c r="D28" s="29">
        <f t="shared" si="1"/>
        <v>36000</v>
      </c>
      <c r="E28" s="31">
        <f ca="1">OFFSET(N!$H$3,(DAY($C28)-1),($C$4-1)*20)</f>
        <v>0</v>
      </c>
      <c r="F28" s="33" t="str">
        <f t="shared" ca="1" si="8"/>
        <v/>
      </c>
      <c r="G28" s="29">
        <f t="shared" si="2"/>
        <v>5472</v>
      </c>
      <c r="H28" s="31">
        <f ca="1">OFFSET(N!$D$3,(DAY($C28)-1),($C$4-1)*20)</f>
        <v>0</v>
      </c>
      <c r="I28" s="34" t="str">
        <f t="shared" ca="1" si="9"/>
        <v/>
      </c>
      <c r="J28" s="29">
        <f t="shared" si="3"/>
        <v>46080</v>
      </c>
      <c r="K28" s="31">
        <f ca="1">OFFSET(N!$L$3,(DAY($C28)-1),($C$4-1)*20)</f>
        <v>0</v>
      </c>
      <c r="L28" s="34" t="str">
        <f t="shared" ca="1" si="10"/>
        <v/>
      </c>
      <c r="M28" s="29">
        <f t="shared" si="4"/>
        <v>57600</v>
      </c>
      <c r="N28" s="31">
        <f ca="1">OFFSET(N!$P$3,(DAY($C28)-1),($C$4-1)*20)</f>
        <v>0</v>
      </c>
      <c r="O28" s="34" t="str">
        <f t="shared" ca="1" si="11"/>
        <v/>
      </c>
      <c r="P28" s="26"/>
      <c r="Q28" s="25"/>
      <c r="R28" s="34" t="str">
        <f t="shared" si="12"/>
        <v/>
      </c>
      <c r="S28" s="161">
        <f t="shared" si="13"/>
        <v>145152</v>
      </c>
      <c r="T28" s="158">
        <f t="shared" ca="1" si="5"/>
        <v>0</v>
      </c>
      <c r="U28" s="34" t="str">
        <f t="shared" ca="1" si="14"/>
        <v/>
      </c>
    </row>
    <row r="29" spans="1:21" s="1" customFormat="1" ht="10" customHeight="1">
      <c r="A29" s="23">
        <f t="shared" si="0"/>
        <v>13</v>
      </c>
      <c r="B29" s="13" t="str">
        <f t="shared" si="6"/>
        <v>mercredi</v>
      </c>
      <c r="C29" s="16">
        <f t="shared" si="7"/>
        <v>42235</v>
      </c>
      <c r="D29" s="29">
        <f t="shared" si="1"/>
        <v>39000</v>
      </c>
      <c r="E29" s="31">
        <f ca="1">OFFSET(N!$H$3,(DAY($C29)-1),($C$4-1)*20)</f>
        <v>0</v>
      </c>
      <c r="F29" s="33" t="str">
        <f t="shared" ca="1" si="8"/>
        <v/>
      </c>
      <c r="G29" s="29">
        <f t="shared" si="2"/>
        <v>5928</v>
      </c>
      <c r="H29" s="31">
        <f ca="1">OFFSET(N!$D$3,(DAY($C29)-1),($C$4-1)*20)</f>
        <v>0</v>
      </c>
      <c r="I29" s="34" t="str">
        <f t="shared" ca="1" si="9"/>
        <v/>
      </c>
      <c r="J29" s="29">
        <f t="shared" si="3"/>
        <v>49920</v>
      </c>
      <c r="K29" s="31">
        <f ca="1">OFFSET(N!$L$3,(DAY($C29)-1),($C$4-1)*20)</f>
        <v>0</v>
      </c>
      <c r="L29" s="34" t="str">
        <f t="shared" ca="1" si="10"/>
        <v/>
      </c>
      <c r="M29" s="29">
        <f t="shared" si="4"/>
        <v>62400</v>
      </c>
      <c r="N29" s="31">
        <f ca="1">OFFSET(N!$P$3,(DAY($C29)-1),($C$4-1)*20)</f>
        <v>0</v>
      </c>
      <c r="O29" s="34" t="str">
        <f t="shared" ca="1" si="11"/>
        <v/>
      </c>
      <c r="P29" s="26"/>
      <c r="Q29" s="25"/>
      <c r="R29" s="34" t="str">
        <f t="shared" si="12"/>
        <v/>
      </c>
      <c r="S29" s="161">
        <f t="shared" si="13"/>
        <v>157248</v>
      </c>
      <c r="T29" s="158">
        <f t="shared" ca="1" si="5"/>
        <v>0</v>
      </c>
      <c r="U29" s="34" t="str">
        <f t="shared" ca="1" si="14"/>
        <v/>
      </c>
    </row>
    <row r="30" spans="1:21" s="1" customFormat="1" ht="10" customHeight="1">
      <c r="A30" s="23">
        <f t="shared" si="0"/>
        <v>14</v>
      </c>
      <c r="B30" s="13" t="str">
        <f t="shared" si="6"/>
        <v>jeudi</v>
      </c>
      <c r="C30" s="16">
        <f t="shared" si="7"/>
        <v>42236</v>
      </c>
      <c r="D30" s="29">
        <f t="shared" si="1"/>
        <v>42000</v>
      </c>
      <c r="E30" s="31">
        <f ca="1">OFFSET(N!$H$3,(DAY($C30)-1),($C$4-1)*20)</f>
        <v>0</v>
      </c>
      <c r="F30" s="33" t="str">
        <f t="shared" ca="1" si="8"/>
        <v/>
      </c>
      <c r="G30" s="29">
        <f t="shared" si="2"/>
        <v>6384</v>
      </c>
      <c r="H30" s="31">
        <f ca="1">OFFSET(N!$D$3,(DAY($C30)-1),($C$4-1)*20)</f>
        <v>0</v>
      </c>
      <c r="I30" s="34" t="str">
        <f t="shared" ca="1" si="9"/>
        <v/>
      </c>
      <c r="J30" s="29">
        <f t="shared" si="3"/>
        <v>53760</v>
      </c>
      <c r="K30" s="31">
        <f ca="1">OFFSET(N!$L$3,(DAY($C30)-1),($C$4-1)*20)</f>
        <v>0</v>
      </c>
      <c r="L30" s="34" t="str">
        <f t="shared" ca="1" si="10"/>
        <v/>
      </c>
      <c r="M30" s="29">
        <f t="shared" si="4"/>
        <v>67200</v>
      </c>
      <c r="N30" s="31">
        <f ca="1">OFFSET(N!$P$3,(DAY($C30)-1),($C$4-1)*20)</f>
        <v>0</v>
      </c>
      <c r="O30" s="34" t="str">
        <f t="shared" ca="1" si="11"/>
        <v/>
      </c>
      <c r="P30" s="26"/>
      <c r="Q30" s="25"/>
      <c r="R30" s="34" t="str">
        <f t="shared" si="12"/>
        <v/>
      </c>
      <c r="S30" s="161">
        <f t="shared" si="13"/>
        <v>169344</v>
      </c>
      <c r="T30" s="158">
        <f t="shared" ca="1" si="5"/>
        <v>0</v>
      </c>
      <c r="U30" s="34" t="str">
        <f t="shared" ca="1" si="14"/>
        <v/>
      </c>
    </row>
    <row r="31" spans="1:21" s="1" customFormat="1" ht="10" customHeight="1">
      <c r="A31" s="23">
        <f t="shared" si="0"/>
        <v>15</v>
      </c>
      <c r="B31" s="13" t="str">
        <f t="shared" si="6"/>
        <v>vendredi</v>
      </c>
      <c r="C31" s="16">
        <f t="shared" si="7"/>
        <v>42237</v>
      </c>
      <c r="D31" s="29">
        <f t="shared" si="1"/>
        <v>45000</v>
      </c>
      <c r="E31" s="31">
        <f ca="1">OFFSET(N!$H$3,(DAY($C31)-1),($C$4-1)*20)</f>
        <v>0</v>
      </c>
      <c r="F31" s="33" t="str">
        <f t="shared" ca="1" si="8"/>
        <v/>
      </c>
      <c r="G31" s="29">
        <f t="shared" si="2"/>
        <v>6840</v>
      </c>
      <c r="H31" s="31">
        <f ca="1">OFFSET(N!$D$3,(DAY($C31)-1),($C$4-1)*20)</f>
        <v>0</v>
      </c>
      <c r="I31" s="34" t="str">
        <f t="shared" ca="1" si="9"/>
        <v/>
      </c>
      <c r="J31" s="29">
        <f t="shared" si="3"/>
        <v>57600</v>
      </c>
      <c r="K31" s="31">
        <f ca="1">OFFSET(N!$L$3,(DAY($C31)-1),($C$4-1)*20)</f>
        <v>0</v>
      </c>
      <c r="L31" s="34" t="str">
        <f t="shared" ca="1" si="10"/>
        <v/>
      </c>
      <c r="M31" s="29">
        <f t="shared" si="4"/>
        <v>72000</v>
      </c>
      <c r="N31" s="31">
        <f ca="1">OFFSET(N!$P$3,(DAY($C31)-1),($C$4-1)*20)</f>
        <v>0</v>
      </c>
      <c r="O31" s="34" t="str">
        <f t="shared" ca="1" si="11"/>
        <v/>
      </c>
      <c r="P31" s="26"/>
      <c r="Q31" s="25"/>
      <c r="R31" s="34" t="str">
        <f t="shared" si="12"/>
        <v/>
      </c>
      <c r="S31" s="161">
        <f t="shared" si="13"/>
        <v>181440</v>
      </c>
      <c r="T31" s="158">
        <f t="shared" ca="1" si="5"/>
        <v>0</v>
      </c>
      <c r="U31" s="34" t="str">
        <f t="shared" ca="1" si="14"/>
        <v/>
      </c>
    </row>
    <row r="32" spans="1:21" s="1" customFormat="1" ht="10" customHeight="1">
      <c r="A32" s="23">
        <f t="shared" si="0"/>
        <v>15</v>
      </c>
      <c r="B32" s="13" t="str">
        <f t="shared" si="6"/>
        <v>samedi</v>
      </c>
      <c r="C32" s="16">
        <f t="shared" si="7"/>
        <v>42238</v>
      </c>
      <c r="D32" s="29" t="e">
        <f t="shared" si="1"/>
        <v>#N/A</v>
      </c>
      <c r="E32" s="31">
        <f ca="1">OFFSET(N!$H$3,(DAY($C32)-1),($C$4-1)*20)</f>
        <v>0</v>
      </c>
      <c r="F32" s="33" t="str">
        <f t="shared" ca="1" si="8"/>
        <v/>
      </c>
      <c r="G32" s="29" t="e">
        <f t="shared" si="2"/>
        <v>#N/A</v>
      </c>
      <c r="H32" s="31">
        <f ca="1">OFFSET(N!$D$3,(DAY($C32)-1),($C$4-1)*20)</f>
        <v>0</v>
      </c>
      <c r="I32" s="34" t="str">
        <f t="shared" ca="1" si="9"/>
        <v/>
      </c>
      <c r="J32" s="29" t="e">
        <f t="shared" si="3"/>
        <v>#N/A</v>
      </c>
      <c r="K32" s="31">
        <f ca="1">OFFSET(N!$L$3,(DAY($C32)-1),($C$4-1)*20)</f>
        <v>0</v>
      </c>
      <c r="L32" s="34" t="str">
        <f t="shared" ca="1" si="10"/>
        <v/>
      </c>
      <c r="M32" s="29" t="e">
        <f t="shared" si="4"/>
        <v>#N/A</v>
      </c>
      <c r="N32" s="31">
        <f ca="1">OFFSET(N!$P$3,(DAY($C32)-1),($C$4-1)*20)</f>
        <v>0</v>
      </c>
      <c r="O32" s="34" t="str">
        <f t="shared" ca="1" si="11"/>
        <v/>
      </c>
      <c r="P32" s="26"/>
      <c r="Q32" s="25"/>
      <c r="R32" s="34" t="str">
        <f t="shared" si="12"/>
        <v/>
      </c>
      <c r="S32" s="161" t="e">
        <f t="shared" si="13"/>
        <v>#N/A</v>
      </c>
      <c r="T32" s="158">
        <f t="shared" ca="1" si="5"/>
        <v>0</v>
      </c>
      <c r="U32" s="34" t="str">
        <f t="shared" ca="1" si="14"/>
        <v/>
      </c>
    </row>
    <row r="33" spans="1:21" s="1" customFormat="1" ht="10" customHeight="1">
      <c r="A33" s="23">
        <f t="shared" si="0"/>
        <v>15</v>
      </c>
      <c r="B33" s="13" t="str">
        <f t="shared" si="6"/>
        <v>dimanche</v>
      </c>
      <c r="C33" s="16">
        <f t="shared" si="7"/>
        <v>42239</v>
      </c>
      <c r="D33" s="29" t="e">
        <f t="shared" si="1"/>
        <v>#N/A</v>
      </c>
      <c r="E33" s="31">
        <f ca="1">OFFSET(N!$H$3,(DAY($C33)-1),($C$4-1)*20)</f>
        <v>0</v>
      </c>
      <c r="F33" s="33" t="str">
        <f t="shared" ca="1" si="8"/>
        <v/>
      </c>
      <c r="G33" s="29" t="e">
        <f t="shared" si="2"/>
        <v>#N/A</v>
      </c>
      <c r="H33" s="31">
        <f ca="1">OFFSET(N!$D$3,(DAY($C33)-1),($C$4-1)*20)</f>
        <v>0</v>
      </c>
      <c r="I33" s="34" t="str">
        <f t="shared" ca="1" si="9"/>
        <v/>
      </c>
      <c r="J33" s="29" t="e">
        <f t="shared" si="3"/>
        <v>#N/A</v>
      </c>
      <c r="K33" s="31">
        <f ca="1">OFFSET(N!$L$3,(DAY($C33)-1),($C$4-1)*20)</f>
        <v>0</v>
      </c>
      <c r="L33" s="34" t="str">
        <f t="shared" ca="1" si="10"/>
        <v/>
      </c>
      <c r="M33" s="29" t="e">
        <f t="shared" si="4"/>
        <v>#N/A</v>
      </c>
      <c r="N33" s="31">
        <f ca="1">OFFSET(N!$P$3,(DAY($C33)-1),($C$4-1)*20)</f>
        <v>0</v>
      </c>
      <c r="O33" s="34" t="str">
        <f t="shared" ca="1" si="11"/>
        <v/>
      </c>
      <c r="P33" s="26"/>
      <c r="Q33" s="25"/>
      <c r="R33" s="34" t="str">
        <f t="shared" si="12"/>
        <v/>
      </c>
      <c r="S33" s="161" t="e">
        <f t="shared" si="13"/>
        <v>#N/A</v>
      </c>
      <c r="T33" s="158">
        <f t="shared" ca="1" si="5"/>
        <v>0</v>
      </c>
      <c r="U33" s="34" t="str">
        <f t="shared" ca="1" si="14"/>
        <v/>
      </c>
    </row>
    <row r="34" spans="1:21" s="1" customFormat="1" ht="10" customHeight="1">
      <c r="A34" s="23">
        <f t="shared" si="0"/>
        <v>16</v>
      </c>
      <c r="B34" s="13" t="str">
        <f t="shared" si="6"/>
        <v>lundi</v>
      </c>
      <c r="C34" s="16">
        <f t="shared" si="7"/>
        <v>42240</v>
      </c>
      <c r="D34" s="29">
        <f t="shared" si="1"/>
        <v>48000</v>
      </c>
      <c r="E34" s="31">
        <f ca="1">OFFSET(N!$H$3,(DAY($C34)-1),($C$4-1)*20)</f>
        <v>0</v>
      </c>
      <c r="F34" s="33" t="str">
        <f t="shared" ca="1" si="8"/>
        <v/>
      </c>
      <c r="G34" s="29">
        <f t="shared" si="2"/>
        <v>7296</v>
      </c>
      <c r="H34" s="31">
        <f ca="1">OFFSET(N!$D$3,(DAY($C34)-1),($C$4-1)*20)</f>
        <v>0</v>
      </c>
      <c r="I34" s="34" t="str">
        <f t="shared" ca="1" si="9"/>
        <v/>
      </c>
      <c r="J34" s="29">
        <f t="shared" si="3"/>
        <v>61440</v>
      </c>
      <c r="K34" s="31">
        <f ca="1">OFFSET(N!$L$3,(DAY($C34)-1),($C$4-1)*20)</f>
        <v>0</v>
      </c>
      <c r="L34" s="34" t="str">
        <f t="shared" ca="1" si="10"/>
        <v/>
      </c>
      <c r="M34" s="29">
        <f t="shared" si="4"/>
        <v>76800</v>
      </c>
      <c r="N34" s="31">
        <f ca="1">OFFSET(N!$P$3,(DAY($C34)-1),($C$4-1)*20)</f>
        <v>0</v>
      </c>
      <c r="O34" s="34" t="str">
        <f t="shared" ca="1" si="11"/>
        <v/>
      </c>
      <c r="P34" s="26"/>
      <c r="Q34" s="25"/>
      <c r="R34" s="34" t="str">
        <f t="shared" si="12"/>
        <v/>
      </c>
      <c r="S34" s="161">
        <f t="shared" si="13"/>
        <v>193536</v>
      </c>
      <c r="T34" s="158">
        <f t="shared" ca="1" si="5"/>
        <v>0</v>
      </c>
      <c r="U34" s="34" t="str">
        <f t="shared" ca="1" si="14"/>
        <v/>
      </c>
    </row>
    <row r="35" spans="1:21" s="1" customFormat="1" ht="10" customHeight="1">
      <c r="A35" s="23">
        <f t="shared" si="0"/>
        <v>17</v>
      </c>
      <c r="B35" s="13" t="str">
        <f t="shared" si="6"/>
        <v>mardi</v>
      </c>
      <c r="C35" s="16">
        <f t="shared" si="7"/>
        <v>42241</v>
      </c>
      <c r="D35" s="29">
        <f t="shared" si="1"/>
        <v>51000</v>
      </c>
      <c r="E35" s="31">
        <f ca="1">OFFSET(N!$H$3,(DAY($C35)-1),($C$4-1)*20)</f>
        <v>0</v>
      </c>
      <c r="F35" s="33" t="str">
        <f t="shared" ca="1" si="8"/>
        <v/>
      </c>
      <c r="G35" s="29">
        <f t="shared" si="2"/>
        <v>7752</v>
      </c>
      <c r="H35" s="31">
        <f ca="1">OFFSET(N!$D$3,(DAY($C35)-1),($C$4-1)*20)</f>
        <v>0</v>
      </c>
      <c r="I35" s="34" t="str">
        <f t="shared" ca="1" si="9"/>
        <v/>
      </c>
      <c r="J35" s="29">
        <f t="shared" si="3"/>
        <v>65280</v>
      </c>
      <c r="K35" s="31">
        <f ca="1">OFFSET(N!$L$3,(DAY($C35)-1),($C$4-1)*20)</f>
        <v>0</v>
      </c>
      <c r="L35" s="34" t="str">
        <f t="shared" ca="1" si="10"/>
        <v/>
      </c>
      <c r="M35" s="29">
        <f t="shared" si="4"/>
        <v>81600</v>
      </c>
      <c r="N35" s="31">
        <f ca="1">OFFSET(N!$P$3,(DAY($C35)-1),($C$4-1)*20)</f>
        <v>0</v>
      </c>
      <c r="O35" s="34" t="str">
        <f t="shared" ca="1" si="11"/>
        <v/>
      </c>
      <c r="P35" s="26"/>
      <c r="Q35" s="25"/>
      <c r="R35" s="34" t="str">
        <f t="shared" si="12"/>
        <v/>
      </c>
      <c r="S35" s="161">
        <f t="shared" si="13"/>
        <v>205632</v>
      </c>
      <c r="T35" s="158">
        <f t="shared" ca="1" si="5"/>
        <v>0</v>
      </c>
      <c r="U35" s="34" t="str">
        <f t="shared" ca="1" si="14"/>
        <v/>
      </c>
    </row>
    <row r="36" spans="1:21" s="1" customFormat="1" ht="10" customHeight="1">
      <c r="A36" s="23">
        <f t="shared" si="0"/>
        <v>18</v>
      </c>
      <c r="B36" s="13" t="str">
        <f t="shared" si="6"/>
        <v>mercredi</v>
      </c>
      <c r="C36" s="16">
        <f t="shared" si="7"/>
        <v>42242</v>
      </c>
      <c r="D36" s="29">
        <f t="shared" si="1"/>
        <v>54000</v>
      </c>
      <c r="E36" s="31">
        <f ca="1">OFFSET(N!$H$3,(DAY($C36)-1),($C$4-1)*20)</f>
        <v>0</v>
      </c>
      <c r="F36" s="33" t="str">
        <f t="shared" ca="1" si="8"/>
        <v/>
      </c>
      <c r="G36" s="29">
        <f t="shared" si="2"/>
        <v>8208</v>
      </c>
      <c r="H36" s="31">
        <f ca="1">OFFSET(N!$D$3,(DAY($C36)-1),($C$4-1)*20)</f>
        <v>0</v>
      </c>
      <c r="I36" s="34" t="str">
        <f t="shared" ca="1" si="9"/>
        <v/>
      </c>
      <c r="J36" s="29">
        <f t="shared" si="3"/>
        <v>69120</v>
      </c>
      <c r="K36" s="31">
        <f ca="1">OFFSET(N!$L$3,(DAY($C36)-1),($C$4-1)*20)</f>
        <v>0</v>
      </c>
      <c r="L36" s="34" t="str">
        <f t="shared" ca="1" si="10"/>
        <v/>
      </c>
      <c r="M36" s="29">
        <f t="shared" si="4"/>
        <v>86400</v>
      </c>
      <c r="N36" s="31">
        <f ca="1">OFFSET(N!$P$3,(DAY($C36)-1),($C$4-1)*20)</f>
        <v>0</v>
      </c>
      <c r="O36" s="34" t="str">
        <f t="shared" ca="1" si="11"/>
        <v/>
      </c>
      <c r="P36" s="26"/>
      <c r="Q36" s="25"/>
      <c r="R36" s="34" t="str">
        <f t="shared" si="12"/>
        <v/>
      </c>
      <c r="S36" s="161">
        <f t="shared" si="13"/>
        <v>217728</v>
      </c>
      <c r="T36" s="158">
        <f t="shared" ca="1" si="5"/>
        <v>0</v>
      </c>
      <c r="U36" s="34" t="str">
        <f t="shared" ca="1" si="14"/>
        <v/>
      </c>
    </row>
    <row r="37" spans="1:21" s="1" customFormat="1" ht="10" customHeight="1">
      <c r="A37" s="23">
        <f t="shared" si="0"/>
        <v>19</v>
      </c>
      <c r="B37" s="13" t="str">
        <f t="shared" si="6"/>
        <v>jeudi</v>
      </c>
      <c r="C37" s="16">
        <f t="shared" si="7"/>
        <v>42243</v>
      </c>
      <c r="D37" s="29">
        <f t="shared" si="1"/>
        <v>57000</v>
      </c>
      <c r="E37" s="31">
        <f ca="1">OFFSET(N!$H$3,(DAY($C37)-1),($C$4-1)*20)</f>
        <v>0</v>
      </c>
      <c r="F37" s="33" t="str">
        <f t="shared" ca="1" si="8"/>
        <v/>
      </c>
      <c r="G37" s="29">
        <f t="shared" si="2"/>
        <v>8664</v>
      </c>
      <c r="H37" s="31">
        <f ca="1">OFFSET(N!$D$3,(DAY($C37)-1),($C$4-1)*20)</f>
        <v>0</v>
      </c>
      <c r="I37" s="34" t="str">
        <f t="shared" ca="1" si="9"/>
        <v/>
      </c>
      <c r="J37" s="29">
        <f t="shared" si="3"/>
        <v>72960</v>
      </c>
      <c r="K37" s="31">
        <f ca="1">OFFSET(N!$L$3,(DAY($C37)-1),($C$4-1)*20)</f>
        <v>0</v>
      </c>
      <c r="L37" s="34" t="str">
        <f t="shared" ca="1" si="10"/>
        <v/>
      </c>
      <c r="M37" s="29">
        <f t="shared" si="4"/>
        <v>91200</v>
      </c>
      <c r="N37" s="31">
        <f ca="1">OFFSET(N!$P$3,(DAY($C37)-1),($C$4-1)*20)</f>
        <v>0</v>
      </c>
      <c r="O37" s="34" t="str">
        <f t="shared" ca="1" si="11"/>
        <v/>
      </c>
      <c r="P37" s="26"/>
      <c r="Q37" s="25"/>
      <c r="R37" s="34" t="str">
        <f t="shared" si="12"/>
        <v/>
      </c>
      <c r="S37" s="161">
        <f t="shared" si="13"/>
        <v>229824</v>
      </c>
      <c r="T37" s="158">
        <f t="shared" ca="1" si="5"/>
        <v>0</v>
      </c>
      <c r="U37" s="34" t="str">
        <f t="shared" ca="1" si="14"/>
        <v/>
      </c>
    </row>
    <row r="38" spans="1:21" s="1" customFormat="1" ht="10" customHeight="1">
      <c r="A38" s="23">
        <f t="shared" si="0"/>
        <v>20</v>
      </c>
      <c r="B38" s="13" t="str">
        <f t="shared" si="6"/>
        <v>vendredi</v>
      </c>
      <c r="C38" s="16">
        <f t="shared" si="7"/>
        <v>42244</v>
      </c>
      <c r="D38" s="29">
        <f t="shared" si="1"/>
        <v>60000</v>
      </c>
      <c r="E38" s="31">
        <f ca="1">OFFSET(N!$H$3,(DAY($C38)-1),($C$4-1)*20)</f>
        <v>0</v>
      </c>
      <c r="F38" s="33" t="str">
        <f t="shared" ca="1" si="8"/>
        <v/>
      </c>
      <c r="G38" s="29">
        <f t="shared" si="2"/>
        <v>9120</v>
      </c>
      <c r="H38" s="31">
        <f ca="1">OFFSET(N!$D$3,(DAY($C38)-1),($C$4-1)*20)</f>
        <v>0</v>
      </c>
      <c r="I38" s="34" t="str">
        <f t="shared" ca="1" si="9"/>
        <v/>
      </c>
      <c r="J38" s="29">
        <f t="shared" si="3"/>
        <v>76800</v>
      </c>
      <c r="K38" s="31">
        <f ca="1">OFFSET(N!$L$3,(DAY($C38)-1),($C$4-1)*20)</f>
        <v>0</v>
      </c>
      <c r="L38" s="34" t="str">
        <f t="shared" ca="1" si="10"/>
        <v/>
      </c>
      <c r="M38" s="29">
        <f t="shared" si="4"/>
        <v>96000</v>
      </c>
      <c r="N38" s="31">
        <f ca="1">OFFSET(N!$P$3,(DAY($C38)-1),($C$4-1)*20)</f>
        <v>0</v>
      </c>
      <c r="O38" s="34" t="str">
        <f t="shared" ca="1" si="11"/>
        <v/>
      </c>
      <c r="P38" s="26"/>
      <c r="Q38" s="25"/>
      <c r="R38" s="34" t="str">
        <f t="shared" si="12"/>
        <v/>
      </c>
      <c r="S38" s="161">
        <f t="shared" si="13"/>
        <v>241920</v>
      </c>
      <c r="T38" s="158">
        <f t="shared" ca="1" si="5"/>
        <v>0</v>
      </c>
      <c r="U38" s="34" t="str">
        <f t="shared" ca="1" si="14"/>
        <v/>
      </c>
    </row>
    <row r="39" spans="1:21" s="1" customFormat="1" ht="10" customHeight="1">
      <c r="A39" s="23">
        <f t="shared" si="0"/>
        <v>20</v>
      </c>
      <c r="B39" s="13" t="str">
        <f t="shared" si="6"/>
        <v>samedi</v>
      </c>
      <c r="C39" s="16">
        <f t="shared" si="7"/>
        <v>42245</v>
      </c>
      <c r="D39" s="29" t="e">
        <f t="shared" si="1"/>
        <v>#N/A</v>
      </c>
      <c r="E39" s="31">
        <f ca="1">OFFSET(N!$H$3,(DAY($C39)-1),($C$4-1)*20)</f>
        <v>0</v>
      </c>
      <c r="F39" s="33" t="str">
        <f t="shared" ca="1" si="8"/>
        <v/>
      </c>
      <c r="G39" s="29" t="e">
        <f t="shared" si="2"/>
        <v>#N/A</v>
      </c>
      <c r="H39" s="31">
        <f ca="1">OFFSET(N!$D$3,(DAY($C39)-1),($C$4-1)*20)</f>
        <v>0</v>
      </c>
      <c r="I39" s="34" t="str">
        <f t="shared" ca="1" si="9"/>
        <v/>
      </c>
      <c r="J39" s="29" t="e">
        <f t="shared" si="3"/>
        <v>#N/A</v>
      </c>
      <c r="K39" s="31">
        <f ca="1">OFFSET(N!$L$3,(DAY($C39)-1),($C$4-1)*20)</f>
        <v>0</v>
      </c>
      <c r="L39" s="34" t="str">
        <f t="shared" ca="1" si="10"/>
        <v/>
      </c>
      <c r="M39" s="29" t="e">
        <f t="shared" si="4"/>
        <v>#N/A</v>
      </c>
      <c r="N39" s="31">
        <f ca="1">OFFSET(N!$P$3,(DAY($C39)-1),($C$4-1)*20)</f>
        <v>0</v>
      </c>
      <c r="O39" s="34" t="str">
        <f t="shared" ca="1" si="11"/>
        <v/>
      </c>
      <c r="P39" s="26"/>
      <c r="Q39" s="25"/>
      <c r="R39" s="34" t="str">
        <f t="shared" si="12"/>
        <v/>
      </c>
      <c r="S39" s="161" t="e">
        <f t="shared" si="13"/>
        <v>#N/A</v>
      </c>
      <c r="T39" s="158">
        <f t="shared" ca="1" si="5"/>
        <v>0</v>
      </c>
      <c r="U39" s="34" t="str">
        <f t="shared" ca="1" si="14"/>
        <v/>
      </c>
    </row>
    <row r="40" spans="1:21" s="1" customFormat="1" ht="10" customHeight="1">
      <c r="A40" s="23">
        <f t="shared" si="0"/>
        <v>20</v>
      </c>
      <c r="B40" s="13" t="str">
        <f t="shared" si="6"/>
        <v>dimanche</v>
      </c>
      <c r="C40" s="16">
        <f t="shared" si="7"/>
        <v>42246</v>
      </c>
      <c r="D40" s="29" t="e">
        <f t="shared" si="1"/>
        <v>#N/A</v>
      </c>
      <c r="E40" s="31">
        <f ca="1">OFFSET(N!$H$3,(DAY($C40)-1),($C$4-1)*20)</f>
        <v>0</v>
      </c>
      <c r="F40" s="33" t="str">
        <f t="shared" ca="1" si="8"/>
        <v/>
      </c>
      <c r="G40" s="29" t="e">
        <f t="shared" si="2"/>
        <v>#N/A</v>
      </c>
      <c r="H40" s="31">
        <f ca="1">OFFSET(N!$D$3,(DAY($C40)-1),($C$4-1)*20)</f>
        <v>0</v>
      </c>
      <c r="I40" s="34" t="str">
        <f t="shared" ca="1" si="9"/>
        <v/>
      </c>
      <c r="J40" s="29" t="e">
        <f t="shared" si="3"/>
        <v>#N/A</v>
      </c>
      <c r="K40" s="31">
        <f ca="1">OFFSET(N!$L$3,(DAY($C40)-1),($C$4-1)*20)</f>
        <v>0</v>
      </c>
      <c r="L40" s="34" t="str">
        <f t="shared" ca="1" si="10"/>
        <v/>
      </c>
      <c r="M40" s="29" t="e">
        <f t="shared" si="4"/>
        <v>#N/A</v>
      </c>
      <c r="N40" s="31">
        <f ca="1">OFFSET(N!$P$3,(DAY($C40)-1),($C$4-1)*20)</f>
        <v>0</v>
      </c>
      <c r="O40" s="34" t="str">
        <f t="shared" ca="1" si="11"/>
        <v/>
      </c>
      <c r="P40" s="26"/>
      <c r="Q40" s="25"/>
      <c r="R40" s="34" t="str">
        <f t="shared" si="12"/>
        <v/>
      </c>
      <c r="S40" s="161" t="e">
        <f t="shared" si="13"/>
        <v>#N/A</v>
      </c>
      <c r="T40" s="158">
        <f t="shared" ca="1" si="5"/>
        <v>0</v>
      </c>
      <c r="U40" s="34" t="str">
        <f t="shared" ca="1" si="14"/>
        <v/>
      </c>
    </row>
    <row r="41" spans="1:21" s="1" customFormat="1" ht="10" customHeight="1" thickBot="1">
      <c r="A41" s="23">
        <f t="shared" si="0"/>
        <v>21</v>
      </c>
      <c r="B41" s="14" t="str">
        <f t="shared" si="6"/>
        <v>lundi</v>
      </c>
      <c r="C41" s="18">
        <f t="shared" si="7"/>
        <v>42247</v>
      </c>
      <c r="D41" s="30">
        <f t="shared" si="1"/>
        <v>63000</v>
      </c>
      <c r="E41" s="32">
        <f ca="1">OFFSET(N!$H$3,(DAY($C41)-1),($C$4-1)*20)</f>
        <v>0</v>
      </c>
      <c r="F41" s="218" t="str">
        <f t="shared" ca="1" si="8"/>
        <v/>
      </c>
      <c r="G41" s="30">
        <f t="shared" si="2"/>
        <v>9576</v>
      </c>
      <c r="H41" s="32">
        <f ca="1">OFFSET(N!$D$3,(DAY($C41)-1),($C$4-1)*20)</f>
        <v>0</v>
      </c>
      <c r="I41" s="35" t="str">
        <f t="shared" ca="1" si="9"/>
        <v/>
      </c>
      <c r="J41" s="30">
        <f t="shared" si="3"/>
        <v>80640</v>
      </c>
      <c r="K41" s="32">
        <f ca="1">OFFSET(N!$L$3,(DAY($C41)-1),($C$4-1)*20)</f>
        <v>0</v>
      </c>
      <c r="L41" s="35" t="str">
        <f t="shared" ca="1" si="10"/>
        <v/>
      </c>
      <c r="M41" s="30">
        <f t="shared" si="4"/>
        <v>100800</v>
      </c>
      <c r="N41" s="32">
        <f ca="1">OFFSET(N!$P$3,(DAY($C41)-1),($C$4-1)*20)</f>
        <v>0</v>
      </c>
      <c r="O41" s="35" t="str">
        <f t="shared" ca="1" si="11"/>
        <v/>
      </c>
      <c r="P41" s="28"/>
      <c r="Q41" s="27"/>
      <c r="R41" s="35" t="str">
        <f t="shared" si="12"/>
        <v/>
      </c>
      <c r="S41" s="30">
        <f t="shared" si="13"/>
        <v>254016</v>
      </c>
      <c r="T41" s="159">
        <f t="shared" ca="1" si="5"/>
        <v>0</v>
      </c>
      <c r="U41" s="35" t="str">
        <f t="shared" ca="1" si="14"/>
        <v/>
      </c>
    </row>
    <row r="42" spans="1:21" ht="10" customHeight="1">
      <c r="A42" s="22"/>
      <c r="C42" s="17"/>
    </row>
    <row r="43" spans="1:21" ht="10" customHeight="1">
      <c r="C43" s="17"/>
    </row>
    <row r="44" spans="1:21" ht="10" customHeight="1">
      <c r="C44" s="17"/>
    </row>
    <row r="45" spans="1:21" ht="10" customHeight="1">
      <c r="C45" s="17"/>
    </row>
    <row r="61" spans="2:19">
      <c r="C61" s="2" t="s">
        <v>168</v>
      </c>
      <c r="D61" t="s">
        <v>169</v>
      </c>
      <c r="F61" t="s">
        <v>168</v>
      </c>
      <c r="G61" t="s">
        <v>169</v>
      </c>
      <c r="I61" t="s">
        <v>168</v>
      </c>
      <c r="J61" t="s">
        <v>169</v>
      </c>
      <c r="L61" t="s">
        <v>168</v>
      </c>
      <c r="M61" t="s">
        <v>169</v>
      </c>
      <c r="R61" t="s">
        <v>168</v>
      </c>
      <c r="S61" t="s">
        <v>169</v>
      </c>
    </row>
    <row r="62" spans="2:19">
      <c r="B62" s="2">
        <v>1</v>
      </c>
      <c r="C62" s="220">
        <v>3000</v>
      </c>
      <c r="D62">
        <v>1159</v>
      </c>
      <c r="E62">
        <v>1</v>
      </c>
      <c r="F62" s="221">
        <v>456</v>
      </c>
      <c r="G62">
        <v>0</v>
      </c>
      <c r="H62">
        <v>1</v>
      </c>
      <c r="I62" s="221">
        <v>3840</v>
      </c>
      <c r="J62">
        <v>30</v>
      </c>
      <c r="K62">
        <v>1</v>
      </c>
      <c r="L62" s="221">
        <v>4800</v>
      </c>
      <c r="M62">
        <v>4439</v>
      </c>
      <c r="Q62">
        <v>1</v>
      </c>
      <c r="R62" s="221">
        <v>12096</v>
      </c>
      <c r="S62">
        <v>5628</v>
      </c>
    </row>
    <row r="63" spans="2:19">
      <c r="B63" s="2">
        <v>2</v>
      </c>
      <c r="C63" s="220">
        <v>6000</v>
      </c>
      <c r="D63">
        <v>3536</v>
      </c>
      <c r="E63">
        <v>2</v>
      </c>
      <c r="F63" s="221">
        <v>912</v>
      </c>
      <c r="G63">
        <v>0</v>
      </c>
      <c r="H63">
        <v>2</v>
      </c>
      <c r="I63" s="221">
        <v>7680</v>
      </c>
      <c r="J63">
        <v>361</v>
      </c>
      <c r="K63">
        <v>2</v>
      </c>
      <c r="L63" s="221">
        <v>9600</v>
      </c>
      <c r="M63">
        <v>10678</v>
      </c>
      <c r="Q63">
        <v>2</v>
      </c>
      <c r="R63" s="221">
        <v>24192</v>
      </c>
      <c r="S63">
        <v>14575</v>
      </c>
    </row>
    <row r="64" spans="2:19">
      <c r="B64" s="2">
        <v>3</v>
      </c>
      <c r="C64" s="220">
        <v>9000</v>
      </c>
      <c r="D64">
        <v>3653</v>
      </c>
      <c r="E64">
        <v>3</v>
      </c>
      <c r="F64" s="221">
        <v>1368</v>
      </c>
      <c r="G64">
        <v>0</v>
      </c>
      <c r="H64">
        <v>3</v>
      </c>
      <c r="I64" s="221">
        <v>11520</v>
      </c>
      <c r="J64">
        <v>6525</v>
      </c>
      <c r="K64">
        <v>3</v>
      </c>
      <c r="L64" s="221">
        <v>14400</v>
      </c>
      <c r="M64">
        <v>14756</v>
      </c>
      <c r="Q64">
        <v>3</v>
      </c>
      <c r="R64" s="221">
        <v>36288</v>
      </c>
      <c r="S64">
        <v>24934</v>
      </c>
    </row>
    <row r="65" spans="2:19">
      <c r="B65" s="2">
        <v>4</v>
      </c>
      <c r="C65" s="220">
        <v>12000</v>
      </c>
      <c r="D65">
        <v>7396</v>
      </c>
      <c r="E65">
        <v>4</v>
      </c>
      <c r="F65" s="221">
        <v>1824</v>
      </c>
      <c r="G65">
        <v>0</v>
      </c>
      <c r="H65">
        <v>4</v>
      </c>
      <c r="I65" s="221">
        <v>15360</v>
      </c>
      <c r="J65">
        <v>8237</v>
      </c>
      <c r="K65">
        <v>4</v>
      </c>
      <c r="L65" s="221">
        <v>19200</v>
      </c>
      <c r="M65">
        <v>19710</v>
      </c>
      <c r="Q65">
        <v>4</v>
      </c>
      <c r="R65" s="221">
        <v>48384</v>
      </c>
      <c r="S65">
        <v>35343</v>
      </c>
    </row>
    <row r="66" spans="2:19">
      <c r="B66" s="2">
        <v>5</v>
      </c>
      <c r="C66" s="220">
        <v>15000</v>
      </c>
      <c r="D66">
        <v>10191</v>
      </c>
      <c r="E66">
        <v>5</v>
      </c>
      <c r="F66" s="221">
        <v>2280</v>
      </c>
      <c r="G66">
        <v>0</v>
      </c>
      <c r="H66">
        <v>5</v>
      </c>
      <c r="I66" s="221">
        <v>19200</v>
      </c>
      <c r="J66">
        <v>16108</v>
      </c>
      <c r="K66">
        <v>5</v>
      </c>
      <c r="L66" s="221">
        <v>24000</v>
      </c>
      <c r="M66">
        <v>27709</v>
      </c>
      <c r="Q66">
        <v>5</v>
      </c>
      <c r="R66" s="221">
        <v>60480</v>
      </c>
      <c r="S66">
        <v>54008</v>
      </c>
    </row>
    <row r="67" spans="2:19">
      <c r="B67" s="2">
        <v>6</v>
      </c>
      <c r="C67" s="220">
        <v>18000</v>
      </c>
      <c r="D67">
        <v>11459</v>
      </c>
      <c r="E67">
        <v>6</v>
      </c>
      <c r="F67" s="221">
        <v>2736</v>
      </c>
      <c r="G67">
        <v>2</v>
      </c>
      <c r="H67">
        <v>6</v>
      </c>
      <c r="I67" s="221">
        <v>23040</v>
      </c>
      <c r="J67">
        <v>16602</v>
      </c>
      <c r="K67">
        <v>6</v>
      </c>
      <c r="L67" s="221">
        <v>28800</v>
      </c>
      <c r="M67">
        <v>31613</v>
      </c>
      <c r="Q67">
        <v>6</v>
      </c>
      <c r="R67" s="221">
        <v>72576</v>
      </c>
      <c r="S67">
        <v>59676</v>
      </c>
    </row>
    <row r="68" spans="2:19">
      <c r="B68" s="2">
        <v>7</v>
      </c>
      <c r="C68" s="220">
        <v>21000</v>
      </c>
      <c r="D68">
        <v>14631</v>
      </c>
      <c r="E68">
        <v>7</v>
      </c>
      <c r="F68" s="221">
        <v>3192</v>
      </c>
      <c r="G68">
        <v>2</v>
      </c>
      <c r="H68">
        <v>7</v>
      </c>
      <c r="I68" s="221">
        <v>26880</v>
      </c>
      <c r="J68">
        <v>19934</v>
      </c>
      <c r="K68">
        <v>7</v>
      </c>
      <c r="L68" s="221">
        <v>33600</v>
      </c>
      <c r="M68">
        <v>36180</v>
      </c>
      <c r="Q68">
        <v>7</v>
      </c>
      <c r="R68" s="221">
        <v>84672</v>
      </c>
      <c r="S68">
        <v>70747</v>
      </c>
    </row>
    <row r="69" spans="2:19">
      <c r="B69" s="2">
        <v>8</v>
      </c>
      <c r="C69" s="220">
        <v>24000</v>
      </c>
      <c r="D69">
        <v>0</v>
      </c>
      <c r="E69">
        <v>8</v>
      </c>
      <c r="F69" s="221">
        <v>3648</v>
      </c>
      <c r="G69">
        <v>0</v>
      </c>
      <c r="H69">
        <v>8</v>
      </c>
      <c r="I69" s="221">
        <v>30720</v>
      </c>
      <c r="J69">
        <v>0</v>
      </c>
      <c r="K69">
        <v>8</v>
      </c>
      <c r="L69" s="221">
        <v>38400</v>
      </c>
      <c r="M69">
        <v>0</v>
      </c>
      <c r="Q69">
        <v>8</v>
      </c>
      <c r="R69" s="221">
        <v>96768</v>
      </c>
      <c r="S69">
        <v>0</v>
      </c>
    </row>
    <row r="70" spans="2:19">
      <c r="B70" s="2">
        <v>9</v>
      </c>
      <c r="C70" s="220">
        <v>27000</v>
      </c>
      <c r="D70">
        <v>0</v>
      </c>
      <c r="E70">
        <v>9</v>
      </c>
      <c r="F70" s="221">
        <v>4104</v>
      </c>
      <c r="G70">
        <v>0</v>
      </c>
      <c r="H70">
        <v>9</v>
      </c>
      <c r="I70" s="221">
        <v>34560</v>
      </c>
      <c r="J70">
        <v>0</v>
      </c>
      <c r="K70">
        <v>9</v>
      </c>
      <c r="L70" s="221">
        <v>43200</v>
      </c>
      <c r="M70">
        <v>0</v>
      </c>
      <c r="Q70">
        <v>9</v>
      </c>
      <c r="R70" s="221">
        <v>108864</v>
      </c>
      <c r="S70">
        <v>0</v>
      </c>
    </row>
    <row r="71" spans="2:19">
      <c r="B71" s="2">
        <v>10</v>
      </c>
      <c r="C71" s="220">
        <v>30000</v>
      </c>
      <c r="D71">
        <v>0</v>
      </c>
      <c r="E71">
        <v>10</v>
      </c>
      <c r="F71" s="221">
        <v>4560</v>
      </c>
      <c r="G71">
        <v>0</v>
      </c>
      <c r="H71">
        <v>10</v>
      </c>
      <c r="I71" s="221">
        <v>38400</v>
      </c>
      <c r="J71">
        <v>0</v>
      </c>
      <c r="K71">
        <v>10</v>
      </c>
      <c r="L71" s="221">
        <v>48000</v>
      </c>
      <c r="M71">
        <v>0</v>
      </c>
      <c r="Q71">
        <v>10</v>
      </c>
      <c r="R71" s="221">
        <v>120960</v>
      </c>
      <c r="S71">
        <v>0</v>
      </c>
    </row>
    <row r="72" spans="2:19">
      <c r="B72" s="2">
        <v>11</v>
      </c>
      <c r="C72" s="220">
        <v>33000</v>
      </c>
      <c r="D72">
        <v>0</v>
      </c>
      <c r="E72">
        <v>11</v>
      </c>
      <c r="F72" s="221">
        <v>5016</v>
      </c>
      <c r="G72">
        <v>0</v>
      </c>
      <c r="H72">
        <v>11</v>
      </c>
      <c r="I72" s="221">
        <v>42240</v>
      </c>
      <c r="J72">
        <v>0</v>
      </c>
      <c r="K72">
        <v>11</v>
      </c>
      <c r="L72" s="221">
        <v>52800</v>
      </c>
      <c r="M72">
        <v>0</v>
      </c>
      <c r="Q72">
        <v>11</v>
      </c>
      <c r="R72" s="221">
        <v>133056</v>
      </c>
      <c r="S72">
        <v>0</v>
      </c>
    </row>
    <row r="73" spans="2:19">
      <c r="B73" s="2">
        <v>12</v>
      </c>
      <c r="C73" s="220">
        <v>36000</v>
      </c>
      <c r="D73">
        <v>0</v>
      </c>
      <c r="E73">
        <v>12</v>
      </c>
      <c r="F73" s="221">
        <v>5472</v>
      </c>
      <c r="G73">
        <v>0</v>
      </c>
      <c r="H73">
        <v>12</v>
      </c>
      <c r="I73" s="221">
        <v>46080</v>
      </c>
      <c r="J73">
        <v>0</v>
      </c>
      <c r="K73">
        <v>12</v>
      </c>
      <c r="L73" s="221">
        <v>57600</v>
      </c>
      <c r="M73">
        <v>0</v>
      </c>
      <c r="Q73">
        <v>12</v>
      </c>
      <c r="R73" s="221">
        <v>145152</v>
      </c>
      <c r="S73">
        <v>0</v>
      </c>
    </row>
    <row r="74" spans="2:19">
      <c r="B74" s="2">
        <v>13</v>
      </c>
      <c r="C74" s="220">
        <v>39000</v>
      </c>
      <c r="D74">
        <v>0</v>
      </c>
      <c r="E74">
        <v>13</v>
      </c>
      <c r="F74" s="221">
        <v>5928</v>
      </c>
      <c r="G74">
        <v>0</v>
      </c>
      <c r="H74">
        <v>13</v>
      </c>
      <c r="I74" s="221">
        <v>49920</v>
      </c>
      <c r="J74">
        <v>0</v>
      </c>
      <c r="K74">
        <v>13</v>
      </c>
      <c r="L74" s="221">
        <v>62400</v>
      </c>
      <c r="M74">
        <v>0</v>
      </c>
      <c r="Q74">
        <v>13</v>
      </c>
      <c r="R74" s="221">
        <v>157248</v>
      </c>
      <c r="S74">
        <v>0</v>
      </c>
    </row>
    <row r="75" spans="2:19">
      <c r="B75" s="2">
        <v>14</v>
      </c>
      <c r="C75" s="220">
        <v>42000</v>
      </c>
      <c r="D75">
        <v>0</v>
      </c>
      <c r="E75">
        <v>14</v>
      </c>
      <c r="F75" s="221">
        <v>6384</v>
      </c>
      <c r="G75">
        <v>0</v>
      </c>
      <c r="H75">
        <v>14</v>
      </c>
      <c r="I75" s="221">
        <v>53760</v>
      </c>
      <c r="J75">
        <v>0</v>
      </c>
      <c r="K75">
        <v>14</v>
      </c>
      <c r="L75" s="221">
        <v>67200</v>
      </c>
      <c r="M75">
        <v>0</v>
      </c>
      <c r="Q75">
        <v>14</v>
      </c>
      <c r="R75" s="221">
        <v>169344</v>
      </c>
      <c r="S75">
        <v>0</v>
      </c>
    </row>
    <row r="76" spans="2:19">
      <c r="B76" s="2">
        <v>15</v>
      </c>
      <c r="C76" s="220">
        <v>45000</v>
      </c>
      <c r="D76">
        <v>0</v>
      </c>
      <c r="E76">
        <v>15</v>
      </c>
      <c r="F76" s="221">
        <v>6840</v>
      </c>
      <c r="G76">
        <v>0</v>
      </c>
      <c r="H76">
        <v>15</v>
      </c>
      <c r="I76" s="221">
        <v>57600</v>
      </c>
      <c r="J76">
        <v>0</v>
      </c>
      <c r="K76">
        <v>15</v>
      </c>
      <c r="L76" s="221">
        <v>72000</v>
      </c>
      <c r="M76">
        <v>0</v>
      </c>
      <c r="Q76">
        <v>15</v>
      </c>
      <c r="R76" s="221">
        <v>181440</v>
      </c>
      <c r="S76">
        <v>0</v>
      </c>
    </row>
    <row r="77" spans="2:19">
      <c r="B77" s="2">
        <v>16</v>
      </c>
      <c r="C77" s="220">
        <v>48000</v>
      </c>
      <c r="D77">
        <v>0</v>
      </c>
      <c r="E77">
        <v>16</v>
      </c>
      <c r="F77" s="221">
        <v>7296</v>
      </c>
      <c r="G77">
        <v>0</v>
      </c>
      <c r="H77">
        <v>16</v>
      </c>
      <c r="I77" s="221">
        <v>61440</v>
      </c>
      <c r="J77">
        <v>0</v>
      </c>
      <c r="K77">
        <v>16</v>
      </c>
      <c r="L77" s="221">
        <v>76800</v>
      </c>
      <c r="M77">
        <v>0</v>
      </c>
      <c r="Q77">
        <v>16</v>
      </c>
      <c r="R77" s="221">
        <v>193536</v>
      </c>
      <c r="S77">
        <v>0</v>
      </c>
    </row>
    <row r="78" spans="2:19">
      <c r="B78" s="2">
        <v>17</v>
      </c>
      <c r="C78" s="220">
        <v>51000</v>
      </c>
      <c r="D78">
        <v>0</v>
      </c>
      <c r="E78">
        <v>17</v>
      </c>
      <c r="F78" s="221">
        <v>7752</v>
      </c>
      <c r="G78">
        <v>0</v>
      </c>
      <c r="H78">
        <v>17</v>
      </c>
      <c r="I78" s="221">
        <v>65280</v>
      </c>
      <c r="J78">
        <v>0</v>
      </c>
      <c r="K78">
        <v>17</v>
      </c>
      <c r="L78" s="221">
        <v>81600</v>
      </c>
      <c r="M78">
        <v>0</v>
      </c>
      <c r="Q78">
        <v>17</v>
      </c>
      <c r="R78" s="221">
        <v>205632</v>
      </c>
      <c r="S78">
        <v>0</v>
      </c>
    </row>
    <row r="79" spans="2:19">
      <c r="B79" s="2">
        <v>18</v>
      </c>
      <c r="C79" s="220">
        <v>54000</v>
      </c>
      <c r="D79">
        <v>0</v>
      </c>
      <c r="E79">
        <v>18</v>
      </c>
      <c r="F79" s="221">
        <v>8208</v>
      </c>
      <c r="G79">
        <v>0</v>
      </c>
      <c r="H79">
        <v>18</v>
      </c>
      <c r="I79" s="221">
        <v>69120</v>
      </c>
      <c r="J79">
        <v>0</v>
      </c>
      <c r="K79">
        <v>18</v>
      </c>
      <c r="L79" s="221">
        <v>86400</v>
      </c>
      <c r="M79">
        <v>0</v>
      </c>
      <c r="Q79">
        <v>18</v>
      </c>
      <c r="R79" s="221">
        <v>217728</v>
      </c>
      <c r="S79">
        <v>0</v>
      </c>
    </row>
    <row r="80" spans="2:19">
      <c r="B80" s="2">
        <v>19</v>
      </c>
      <c r="C80" s="220">
        <v>57000</v>
      </c>
      <c r="D80">
        <v>0</v>
      </c>
      <c r="E80">
        <v>19</v>
      </c>
      <c r="F80" s="221">
        <v>8664</v>
      </c>
      <c r="G80">
        <v>0</v>
      </c>
      <c r="H80">
        <v>19</v>
      </c>
      <c r="I80" s="221">
        <v>72960</v>
      </c>
      <c r="J80">
        <v>0</v>
      </c>
      <c r="K80">
        <v>19</v>
      </c>
      <c r="L80" s="221">
        <v>91200</v>
      </c>
      <c r="M80">
        <v>0</v>
      </c>
      <c r="Q80">
        <v>19</v>
      </c>
      <c r="R80" s="221">
        <v>229824</v>
      </c>
      <c r="S80">
        <v>0</v>
      </c>
    </row>
    <row r="81" spans="2:19">
      <c r="B81" s="2">
        <v>20</v>
      </c>
      <c r="C81" s="220">
        <v>60000</v>
      </c>
      <c r="D81">
        <v>0</v>
      </c>
      <c r="E81">
        <v>20</v>
      </c>
      <c r="F81" s="221">
        <v>9120</v>
      </c>
      <c r="G81">
        <v>0</v>
      </c>
      <c r="H81">
        <v>20</v>
      </c>
      <c r="I81" s="221">
        <v>76800</v>
      </c>
      <c r="J81">
        <v>0</v>
      </c>
      <c r="K81">
        <v>20</v>
      </c>
      <c r="L81" s="221">
        <v>96000</v>
      </c>
      <c r="M81">
        <v>0</v>
      </c>
      <c r="Q81">
        <v>20</v>
      </c>
      <c r="R81" s="221">
        <v>241920</v>
      </c>
      <c r="S81">
        <v>0</v>
      </c>
    </row>
    <row r="82" spans="2:19">
      <c r="B82" s="2">
        <v>21</v>
      </c>
      <c r="C82" s="220">
        <v>63000</v>
      </c>
      <c r="D82">
        <v>0</v>
      </c>
      <c r="E82">
        <v>21</v>
      </c>
      <c r="F82" s="221">
        <v>9576</v>
      </c>
      <c r="G82">
        <v>0</v>
      </c>
      <c r="H82">
        <v>21</v>
      </c>
      <c r="I82" s="221">
        <v>80640</v>
      </c>
      <c r="J82">
        <v>0</v>
      </c>
      <c r="K82">
        <v>21</v>
      </c>
      <c r="L82" s="221">
        <v>100800</v>
      </c>
      <c r="M82">
        <v>0</v>
      </c>
      <c r="Q82">
        <v>21</v>
      </c>
      <c r="R82" s="221">
        <v>254016</v>
      </c>
      <c r="S82">
        <v>0</v>
      </c>
    </row>
    <row r="83" spans="2:19">
      <c r="C83" s="220"/>
      <c r="F83" s="221"/>
      <c r="I83" s="221"/>
      <c r="L83" s="221"/>
      <c r="R83" s="221"/>
    </row>
    <row r="84" spans="2:19">
      <c r="I84" s="221"/>
      <c r="L84" s="221"/>
    </row>
  </sheetData>
  <mergeCells count="50">
    <mergeCell ref="S2:U2"/>
    <mergeCell ref="B2:R2"/>
    <mergeCell ref="D3:U4"/>
    <mergeCell ref="B5:B8"/>
    <mergeCell ref="C5:C8"/>
    <mergeCell ref="D5:F6"/>
    <mergeCell ref="P7:P8"/>
    <mergeCell ref="S7:S8"/>
    <mergeCell ref="J7:J8"/>
    <mergeCell ref="M7:M8"/>
    <mergeCell ref="G5:I6"/>
    <mergeCell ref="D7:D8"/>
    <mergeCell ref="G7:G8"/>
    <mergeCell ref="E7:F8"/>
    <mergeCell ref="H7:I8"/>
    <mergeCell ref="K7:L8"/>
    <mergeCell ref="Q7:R8"/>
    <mergeCell ref="M5:O6"/>
    <mergeCell ref="P5:R6"/>
    <mergeCell ref="S5:U6"/>
    <mergeCell ref="T7:U8"/>
    <mergeCell ref="I9:I10"/>
    <mergeCell ref="P9:P10"/>
    <mergeCell ref="Q9:Q10"/>
    <mergeCell ref="J9:J10"/>
    <mergeCell ref="K9:K10"/>
    <mergeCell ref="L9:L10"/>
    <mergeCell ref="M9:M10"/>
    <mergeCell ref="X4:Y4"/>
    <mergeCell ref="B9:B10"/>
    <mergeCell ref="C9:C10"/>
    <mergeCell ref="J5:L6"/>
    <mergeCell ref="N9:N10"/>
    <mergeCell ref="O9:O10"/>
    <mergeCell ref="N7:O8"/>
    <mergeCell ref="T9:T10"/>
    <mergeCell ref="U9:U10"/>
    <mergeCell ref="D9:D10"/>
    <mergeCell ref="E9:E10"/>
    <mergeCell ref="F9:F10"/>
    <mergeCell ref="G9:G10"/>
    <mergeCell ref="R9:R10"/>
    <mergeCell ref="S9:S10"/>
    <mergeCell ref="H9:H10"/>
    <mergeCell ref="W11:W12"/>
    <mergeCell ref="X11:X12"/>
    <mergeCell ref="W13:W14"/>
    <mergeCell ref="X13:X14"/>
    <mergeCell ref="W15:W16"/>
    <mergeCell ref="X15:X16"/>
  </mergeCells>
  <phoneticPr fontId="23" type="noConversion"/>
  <conditionalFormatting sqref="A11:A41">
    <cfRule type="expression" dxfId="18" priority="3">
      <formula>EXACT(0,IF(COUNTIF(Fériés,"="&amp;$C11)&gt;0,"0",""))</formula>
    </cfRule>
    <cfRule type="expression" dxfId="17" priority="11">
      <formula>EXACT(0,IF(OR(EXACT("dimanche",$B11),EXACT("samedi",$B11)),"0",IF(COUNTIF(Fériés,"="&amp;$B11)&gt;0,"0","")))</formula>
    </cfRule>
  </conditionalFormatting>
  <conditionalFormatting sqref="B11:U41">
    <cfRule type="expression" dxfId="16" priority="32">
      <formula>EXACT(0,IF(OR(EXACT("dimanche",$B11),EXACT("samedi",$B11)),"0",IF(COUNTIF(Fériés,"="&amp;$B11)&gt;0,"0","")))</formula>
    </cfRule>
  </conditionalFormatting>
  <conditionalFormatting sqref="B39:C41">
    <cfRule type="expression" dxfId="15" priority="8">
      <formula>AND($C39="0")</formula>
    </cfRule>
  </conditionalFormatting>
  <conditionalFormatting sqref="D11:U41">
    <cfRule type="expression" dxfId="14" priority="5">
      <formula>EXACT(0,IF(COUNTIF(Fériés,"="&amp;$C11)&gt;0,"0",""))</formula>
    </cfRule>
    <cfRule type="expression" dxfId="13" priority="7">
      <formula>EXACT(0,IF(OR(EXACT("dimanche",$B11),EXACT("samedi",$B11)),"0",""))</formula>
    </cfRule>
    <cfRule type="expression" dxfId="12" priority="31">
      <formula>ISERROR(E11)</formula>
    </cfRule>
  </conditionalFormatting>
  <conditionalFormatting sqref="B11:C41">
    <cfRule type="expression" dxfId="11" priority="30">
      <formula>EXACT(0,IF(COUNTIF(Fériés,"="&amp;$C11)&gt;0,"0",""))</formula>
    </cfRule>
  </conditionalFormatting>
  <conditionalFormatting sqref="D39:U41">
    <cfRule type="expression" dxfId="10" priority="4">
      <formula>AND($C39="0")</formula>
    </cfRule>
  </conditionalFormatting>
  <conditionalFormatting sqref="E34">
    <cfRule type="expression" dxfId="9" priority="1">
      <formula>"0"</formula>
    </cfRule>
  </conditionalFormatting>
  <printOptions horizontalCentered="1" verticalCentered="1"/>
  <pageMargins left="0.02" right="0.04" top="1.968503937007874E-2" bottom="1.968503937007874E-2" header="0.02" footer="0.12000000000000001"/>
  <pageSetup paperSize="9" scale="41" orientation="portrait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Spinner 1">
              <controlPr defaultSize="0" autoPict="0">
                <anchor moveWithCells="1" sizeWithCells="1">
                  <from>
                    <xdr:col>0</xdr:col>
                    <xdr:colOff>254000</xdr:colOff>
                    <xdr:row>2</xdr:row>
                    <xdr:rowOff>0</xdr:rowOff>
                  </from>
                  <to>
                    <xdr:col>0</xdr:col>
                    <xdr:colOff>596900</xdr:colOff>
                    <xdr:row>4</xdr:row>
                    <xdr:rowOff>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41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enableFormatConditionsCalculation="0">
    <tabColor rgb="FF0099FF"/>
    <pageSetUpPr fitToPage="1"/>
  </sheetPr>
  <dimension ref="A1:Y88"/>
  <sheetViews>
    <sheetView showGridLines="0" showZeros="0" zoomScale="60" zoomScaleNormal="60" zoomScalePageLayoutView="60" workbookViewId="0">
      <selection activeCell="AB11" sqref="AB11"/>
    </sheetView>
  </sheetViews>
  <sheetFormatPr baseColWidth="10" defaultColWidth="5.6640625" defaultRowHeight="14" x14ac:dyDescent="0"/>
  <cols>
    <col min="1" max="1" width="10" style="21" customWidth="1"/>
    <col min="2" max="2" width="13.6640625" style="2" customWidth="1"/>
    <col min="3" max="3" width="15" style="2" bestFit="1" customWidth="1"/>
    <col min="4" max="4" width="12.83203125" bestFit="1" customWidth="1"/>
    <col min="5" max="6" width="9.6640625" customWidth="1"/>
    <col min="7" max="7" width="12.83203125" bestFit="1" customWidth="1"/>
    <col min="8" max="9" width="9.6640625" customWidth="1"/>
    <col min="10" max="10" width="12.83203125" bestFit="1" customWidth="1"/>
    <col min="11" max="12" width="9.6640625" customWidth="1"/>
    <col min="13" max="13" width="12.83203125" bestFit="1" customWidth="1"/>
    <col min="14" max="15" width="9.6640625" customWidth="1"/>
    <col min="16" max="16" width="12.83203125" bestFit="1" customWidth="1"/>
    <col min="17" max="18" width="9.6640625" customWidth="1"/>
    <col min="19" max="19" width="16.33203125" customWidth="1"/>
    <col min="20" max="20" width="9.6640625" customWidth="1"/>
    <col min="21" max="21" width="12.33203125" bestFit="1" customWidth="1"/>
    <col min="23" max="23" width="10.33203125" bestFit="1" customWidth="1"/>
    <col min="24" max="24" width="8" bestFit="1" customWidth="1"/>
    <col min="25" max="25" width="7.33203125" bestFit="1" customWidth="1"/>
  </cols>
  <sheetData>
    <row r="1" spans="1:25">
      <c r="A1" s="20"/>
      <c r="C1" s="15"/>
      <c r="T1" s="24"/>
    </row>
    <row r="2" spans="1:25" ht="27" thickBot="1">
      <c r="A2" s="20"/>
      <c r="B2" s="284" t="s">
        <v>176</v>
      </c>
      <c r="C2" s="284"/>
      <c r="D2" s="284"/>
      <c r="E2" s="284"/>
      <c r="F2" s="284"/>
      <c r="G2" s="284"/>
      <c r="H2" s="284"/>
      <c r="I2" s="284"/>
      <c r="J2" s="284"/>
      <c r="K2" s="284"/>
      <c r="L2" s="284"/>
      <c r="M2" s="284"/>
      <c r="N2" s="284"/>
      <c r="O2" s="284"/>
      <c r="P2" s="284"/>
      <c r="Q2" s="284"/>
      <c r="R2" s="284"/>
      <c r="S2" s="283">
        <f>EDATE(DATE(An_Ref,Mois_Ref,1),0)</f>
        <v>42217</v>
      </c>
      <c r="T2" s="283"/>
      <c r="U2" s="283"/>
    </row>
    <row r="3" spans="1:25" ht="15.75" customHeight="1">
      <c r="A3" s="20"/>
      <c r="B3" s="11" t="s">
        <v>9</v>
      </c>
      <c r="C3" s="160">
        <f>+An_Ref</f>
        <v>2015</v>
      </c>
      <c r="D3" s="285"/>
      <c r="E3" s="286"/>
      <c r="F3" s="286"/>
      <c r="G3" s="286"/>
      <c r="H3" s="286"/>
      <c r="I3" s="286"/>
      <c r="J3" s="286"/>
      <c r="K3" s="286"/>
      <c r="L3" s="286"/>
      <c r="M3" s="286"/>
      <c r="N3" s="286"/>
      <c r="O3" s="286"/>
      <c r="P3" s="286"/>
      <c r="Q3" s="286"/>
      <c r="R3" s="286"/>
      <c r="S3" s="286"/>
      <c r="T3" s="286"/>
      <c r="U3" s="287"/>
      <c r="W3" s="164"/>
      <c r="X3" s="164"/>
      <c r="Y3" s="164"/>
    </row>
    <row r="4" spans="1:25" ht="16.5" customHeight="1" thickBot="1">
      <c r="A4" s="20"/>
      <c r="B4" s="12" t="s">
        <v>10</v>
      </c>
      <c r="C4" s="160">
        <f>+Mois_Ref</f>
        <v>8</v>
      </c>
      <c r="D4" s="288"/>
      <c r="E4" s="289"/>
      <c r="F4" s="289"/>
      <c r="G4" s="289"/>
      <c r="H4" s="289"/>
      <c r="I4" s="289"/>
      <c r="J4" s="289"/>
      <c r="K4" s="289"/>
      <c r="L4" s="289"/>
      <c r="M4" s="289"/>
      <c r="N4" s="289"/>
      <c r="O4" s="289"/>
      <c r="P4" s="289"/>
      <c r="Q4" s="289"/>
      <c r="R4" s="289"/>
      <c r="S4" s="289"/>
      <c r="T4" s="289"/>
      <c r="U4" s="290"/>
      <c r="W4" s="165"/>
      <c r="X4" s="329"/>
      <c r="Y4" s="329"/>
    </row>
    <row r="5" spans="1:25" ht="16.5" customHeight="1">
      <c r="A5" s="20"/>
      <c r="B5" s="229" t="s">
        <v>11</v>
      </c>
      <c r="C5" s="293">
        <f>MAX(A:A)</f>
        <v>21</v>
      </c>
      <c r="D5" s="296" t="s">
        <v>170</v>
      </c>
      <c r="E5" s="297"/>
      <c r="F5" s="298"/>
      <c r="G5" s="310" t="s">
        <v>171</v>
      </c>
      <c r="H5" s="311"/>
      <c r="I5" s="311"/>
      <c r="J5" s="233" t="s">
        <v>172</v>
      </c>
      <c r="K5" s="234"/>
      <c r="L5" s="235"/>
      <c r="M5" s="261" t="s">
        <v>173</v>
      </c>
      <c r="N5" s="262"/>
      <c r="O5" s="263"/>
      <c r="P5" s="267" t="s">
        <v>174</v>
      </c>
      <c r="Q5" s="268"/>
      <c r="R5" s="269"/>
      <c r="S5" s="273" t="s">
        <v>155</v>
      </c>
      <c r="T5" s="274"/>
      <c r="U5" s="275"/>
      <c r="W5" s="164"/>
      <c r="X5" s="166"/>
      <c r="Y5" s="166"/>
    </row>
    <row r="6" spans="1:25" ht="26.25" customHeight="1">
      <c r="A6" s="20"/>
      <c r="B6" s="291"/>
      <c r="C6" s="294"/>
      <c r="D6" s="299"/>
      <c r="E6" s="300"/>
      <c r="F6" s="301"/>
      <c r="G6" s="312"/>
      <c r="H6" s="313"/>
      <c r="I6" s="313"/>
      <c r="J6" s="236"/>
      <c r="K6" s="237"/>
      <c r="L6" s="238"/>
      <c r="M6" s="264"/>
      <c r="N6" s="265"/>
      <c r="O6" s="266"/>
      <c r="P6" s="270"/>
      <c r="Q6" s="271"/>
      <c r="R6" s="272"/>
      <c r="S6" s="276"/>
      <c r="T6" s="277"/>
      <c r="U6" s="278"/>
      <c r="W6" s="164"/>
      <c r="X6" s="166"/>
      <c r="Y6" s="166"/>
    </row>
    <row r="7" spans="1:25" ht="15.75" customHeight="1">
      <c r="A7" s="20"/>
      <c r="B7" s="291"/>
      <c r="C7" s="294"/>
      <c r="D7" s="314" t="s">
        <v>12</v>
      </c>
      <c r="E7" s="318" t="s">
        <v>13</v>
      </c>
      <c r="F7" s="319"/>
      <c r="G7" s="316" t="s">
        <v>12</v>
      </c>
      <c r="H7" s="322" t="s">
        <v>13</v>
      </c>
      <c r="I7" s="323"/>
      <c r="J7" s="306" t="s">
        <v>12</v>
      </c>
      <c r="K7" s="325" t="s">
        <v>13</v>
      </c>
      <c r="L7" s="326"/>
      <c r="M7" s="308" t="s">
        <v>12</v>
      </c>
      <c r="N7" s="243" t="s">
        <v>13</v>
      </c>
      <c r="O7" s="244"/>
      <c r="P7" s="302" t="s">
        <v>12</v>
      </c>
      <c r="Q7" s="257" t="s">
        <v>13</v>
      </c>
      <c r="R7" s="258"/>
      <c r="S7" s="304" t="s">
        <v>14</v>
      </c>
      <c r="T7" s="279" t="s">
        <v>15</v>
      </c>
      <c r="U7" s="280"/>
      <c r="W7" s="164"/>
      <c r="X7" s="166"/>
      <c r="Y7" s="166"/>
    </row>
    <row r="8" spans="1:25" ht="15.75" customHeight="1">
      <c r="A8" s="20"/>
      <c r="B8" s="292"/>
      <c r="C8" s="295"/>
      <c r="D8" s="315"/>
      <c r="E8" s="320"/>
      <c r="F8" s="321"/>
      <c r="G8" s="317"/>
      <c r="H8" s="324"/>
      <c r="I8" s="324"/>
      <c r="J8" s="307"/>
      <c r="K8" s="327"/>
      <c r="L8" s="328"/>
      <c r="M8" s="309"/>
      <c r="N8" s="245"/>
      <c r="O8" s="246"/>
      <c r="P8" s="303"/>
      <c r="Q8" s="259"/>
      <c r="R8" s="260"/>
      <c r="S8" s="305"/>
      <c r="T8" s="281"/>
      <c r="U8" s="282"/>
      <c r="W8" s="164"/>
      <c r="X8" s="166"/>
      <c r="Y8" s="166"/>
    </row>
    <row r="9" spans="1:25" ht="15.75" customHeight="1">
      <c r="A9" s="20"/>
      <c r="B9" s="229" t="s">
        <v>16</v>
      </c>
      <c r="C9" s="330">
        <f>'CA Jour'!X13/'CA Jour'!C5</f>
        <v>90.952380952380949</v>
      </c>
      <c r="D9" s="251" t="s">
        <v>12</v>
      </c>
      <c r="E9" s="239" t="s">
        <v>17</v>
      </c>
      <c r="F9" s="253" t="s">
        <v>18</v>
      </c>
      <c r="G9" s="251" t="s">
        <v>12</v>
      </c>
      <c r="H9" s="239" t="s">
        <v>17</v>
      </c>
      <c r="I9" s="241" t="s">
        <v>18</v>
      </c>
      <c r="J9" s="251" t="s">
        <v>12</v>
      </c>
      <c r="K9" s="239" t="s">
        <v>17</v>
      </c>
      <c r="L9" s="241" t="s">
        <v>18</v>
      </c>
      <c r="M9" s="251" t="s">
        <v>12</v>
      </c>
      <c r="N9" s="239" t="s">
        <v>17</v>
      </c>
      <c r="O9" s="241" t="s">
        <v>18</v>
      </c>
      <c r="P9" s="251" t="s">
        <v>12</v>
      </c>
      <c r="Q9" s="239" t="s">
        <v>17</v>
      </c>
      <c r="R9" s="241" t="s">
        <v>18</v>
      </c>
      <c r="S9" s="255" t="s">
        <v>14</v>
      </c>
      <c r="T9" s="247" t="s">
        <v>20</v>
      </c>
      <c r="U9" s="249" t="s">
        <v>19</v>
      </c>
      <c r="W9" s="164"/>
      <c r="X9" s="164"/>
      <c r="Y9" s="164"/>
    </row>
    <row r="10" spans="1:25" ht="15.75" customHeight="1">
      <c r="A10" s="19"/>
      <c r="B10" s="230"/>
      <c r="C10" s="331"/>
      <c r="D10" s="252"/>
      <c r="E10" s="240"/>
      <c r="F10" s="254"/>
      <c r="G10" s="252"/>
      <c r="H10" s="240"/>
      <c r="I10" s="242"/>
      <c r="J10" s="252"/>
      <c r="K10" s="240"/>
      <c r="L10" s="242"/>
      <c r="M10" s="252"/>
      <c r="N10" s="240"/>
      <c r="O10" s="242"/>
      <c r="P10" s="252"/>
      <c r="Q10" s="240"/>
      <c r="R10" s="242"/>
      <c r="S10" s="256"/>
      <c r="T10" s="248"/>
      <c r="U10" s="250"/>
    </row>
    <row r="11" spans="1:25" s="1" customFormat="1" ht="10" customHeight="1">
      <c r="A11" s="23">
        <f t="shared" ref="A11:A41" si="0">IF(OR(EXACT("dimanche",$B11),EXACT("samedi",$B11)),A10,IF(COUNTIF(Fériés,"="&amp;$C11)&gt;0,A10,A10+(1*IF(MONTH(C11)=$C$4,1,0))))</f>
        <v>0</v>
      </c>
      <c r="B11" s="13" t="str">
        <f>TEXT(C11,"jjjjjjj")</f>
        <v>samedi</v>
      </c>
      <c r="C11" s="16">
        <f>IF(MONTH(DATE(An_Ref,Mois_Ref,1))=Mois_Ref,DATE(An_Ref,Mois_Ref,1),"0")</f>
        <v>42217</v>
      </c>
      <c r="D11" s="29" t="e">
        <f>IF(B11="",#N/A,IF(OR(EXACT("dimanche",$B11),EXACT("samedi",$B11)),#N/A,$C$9*$A11*'CA Jour'!$Y$5))</f>
        <v>#N/A</v>
      </c>
      <c r="E11" s="25">
        <f ca="1">OFFSET(N!$G$3,(DAY($C11)-1),($C$4-1)*20)</f>
        <v>0</v>
      </c>
      <c r="F11" s="33" t="str">
        <f ca="1">IF(ISNA(IF(OR(OR(D11="",E11=""),OR(D11=0,E11=0)),#N/A,E11/D11)),"",IF(OR(OR(D11="",E11=""),OR(D11=0,E11=0)),#N/A,E11/D11))</f>
        <v/>
      </c>
      <c r="G11" s="29" t="e">
        <f>IF(B11="",#N/A,IF(OR(EXACT("dimanche",$B11),EXACT("samedi",$B11)),#N/A,$C$9*$A11*'CA Jour'!$Y$6))</f>
        <v>#N/A</v>
      </c>
      <c r="H11" s="31">
        <f ca="1">OFFSET(N!$C$3,(DAY($C11)-1),($C$4-1)*20)</f>
        <v>0</v>
      </c>
      <c r="I11" s="34" t="str">
        <f ca="1">IF(ISNA(IF(OR(OR(G11="",H11=""),OR(G11=0,H11=0)),#N/A,H11/G11)),"",(IF(OR(OR(G11="",H11=""),OR(G11=0,H11=0)),#N/A,H11/G11)))</f>
        <v/>
      </c>
      <c r="J11" s="29" t="e">
        <f>IF(B11="",#N/A,IF(OR(EXACT("dimanche",$B11),EXACT("samedi",$B11)),#N/A,$C$9*$A11*'CA Jour'!$Y$7))</f>
        <v>#N/A</v>
      </c>
      <c r="K11" s="31">
        <f ca="1">OFFSET(N!$K$3,(DAY($C11)-1),($C$4-1)*20)</f>
        <v>0</v>
      </c>
      <c r="L11" s="34" t="str">
        <f ca="1">IF(ISNA(IF(OR(OR(J11="",K11=""),OR(J11=0,K11=0)),#N/A,K11/J11)),"",IF(OR(OR(J11="",K11=""),OR(J11=0,K11=0)),#N/A,K11/J11))</f>
        <v/>
      </c>
      <c r="M11" s="29" t="e">
        <f>IF(B11="",#N/A,IF(OR(EXACT("dimanche",$B11),EXACT("samedi",$B11)),#N/A,$C$9*$A11*'CA Jour'!$Y$8))</f>
        <v>#N/A</v>
      </c>
      <c r="N11" s="31">
        <f ca="1">OFFSET(N!$O$3,(DAY($C11)-1),($C$4-1)*20)</f>
        <v>0</v>
      </c>
      <c r="O11" s="34" t="str">
        <f ca="1">IF(ISNA(IF(OR(OR(M11="",N11=""),OR(M11=0,N11=0)),#N/A,N11/M11)),"",IF(OR(OR(M11="",N11=""),OR(M11=0,N11=0)),#N/A,N11/M11))</f>
        <v/>
      </c>
      <c r="P11" s="26"/>
      <c r="Q11" s="25"/>
      <c r="R11" s="34" t="str">
        <f>IF(ISNA(IF(OR(OR(P11="",Q11=""),OR(P11=0,Q11=0)),#N/A,Q11/P11)),"",IF(OR(OR(P11="",Q11=""),OR(P11=0,Q11=0)),#N/A,Q11/P11))</f>
        <v/>
      </c>
      <c r="S11" s="161" t="e">
        <f>IF(SUM(D11,G11,J11,M11)=0,#N/A,SUM(D11,G11,J11,M11))</f>
        <v>#N/A</v>
      </c>
      <c r="T11" s="157">
        <f t="shared" ref="T11:T41" ca="1" si="1">SUM(E11+H11+K11+N11)</f>
        <v>0</v>
      </c>
      <c r="U11" s="34" t="str">
        <f ca="1">IF(ISNA(IF(OR(OR(S11="",T11=""),OR(S11=0,T11=0)),#N/A,T11/S11)),"",IF(OR(OR(S11="",T11=""),OR(S11=0,T11=0)),#N/A,T11/S11))</f>
        <v/>
      </c>
    </row>
    <row r="12" spans="1:25" s="1" customFormat="1" ht="10" customHeight="1">
      <c r="A12" s="23">
        <f t="shared" si="0"/>
        <v>0</v>
      </c>
      <c r="B12" s="13" t="str">
        <f t="shared" ref="B12:B41" si="2">TEXT(C12,"jjjjjjj")</f>
        <v>dimanche</v>
      </c>
      <c r="C12" s="16">
        <f t="shared" ref="C12:C41" si="3">IF(MONTH(C11+1)=Mois_Ref,C11+1,"0")</f>
        <v>42218</v>
      </c>
      <c r="D12" s="29" t="e">
        <f>IF(B12="",#N/A,IF(OR(EXACT("dimanche",$B12),EXACT("samedi",$B12)),#N/A,$C$9*$A12*'CA Jour'!$Y$5))</f>
        <v>#N/A</v>
      </c>
      <c r="E12" s="25">
        <f ca="1">OFFSET(N!$G$3,(DAY($C12)-1),($C$4-1)*20)</f>
        <v>0</v>
      </c>
      <c r="F12" s="33" t="str">
        <f t="shared" ref="F12:F41" ca="1" si="4">IF(ISNA(IF(OR(OR(D12="",E12=""),OR(D12=0,E12=0)),#N/A,E12/D12)),"",IF(OR(OR(D12="",E12=""),OR(D12=0,E12=0)),#N/A,E12/D12))</f>
        <v/>
      </c>
      <c r="G12" s="29" t="e">
        <f>IF(B12="",#N/A,IF(OR(EXACT("dimanche",$B12),EXACT("samedi",$B12)),#N/A,$C$9*$A12*'CA Jour'!$Y$6))</f>
        <v>#N/A</v>
      </c>
      <c r="H12" s="31">
        <f ca="1">OFFSET(N!$C$3,(DAY($C12)-1),($C$4-1)*20)</f>
        <v>0</v>
      </c>
      <c r="I12" s="34" t="str">
        <f t="shared" ref="I12:I41" ca="1" si="5">IF(ISNA(IF(OR(OR(G12="",H12=""),OR(G12=0,H12=0)),#N/A,H12/G12)),"",(IF(OR(OR(G12="",H12=""),OR(G12=0,H12=0)),#N/A,H12/G12)))</f>
        <v/>
      </c>
      <c r="J12" s="29" t="e">
        <f>IF(B12="",#N/A,IF(OR(EXACT("dimanche",$B12),EXACT("samedi",$B12)),#N/A,$C$9*$A12*'CA Jour'!$Y$7))</f>
        <v>#N/A</v>
      </c>
      <c r="K12" s="31">
        <f ca="1">OFFSET(N!$K$3,(DAY($C12)-1),($C$4-1)*20)</f>
        <v>0</v>
      </c>
      <c r="L12" s="34" t="str">
        <f t="shared" ref="L12:L41" ca="1" si="6">IF(ISNA(IF(OR(OR(J12="",K12=""),OR(J12=0,K12=0)),#N/A,K12/J12)),"",IF(OR(OR(J12="",K12=""),OR(J12=0,K12=0)),#N/A,K12/J12))</f>
        <v/>
      </c>
      <c r="M12" s="29" t="e">
        <f>IF(B12="",#N/A,IF(OR(EXACT("dimanche",$B12),EXACT("samedi",$B12)),#N/A,$C$9*$A12*'CA Jour'!$Y$8))</f>
        <v>#N/A</v>
      </c>
      <c r="N12" s="31">
        <f ca="1">OFFSET(N!$O$3,(DAY($C12)-1),($C$4-1)*20)</f>
        <v>0</v>
      </c>
      <c r="O12" s="34" t="str">
        <f t="shared" ref="O12:O41" ca="1" si="7">IF(ISNA(IF(OR(OR(M12="",N12=""),OR(M12=0,N12=0)),#N/A,N12/M12)),"",IF(OR(OR(M12="",N12=""),OR(M12=0,N12=0)),#N/A,N12/M12))</f>
        <v/>
      </c>
      <c r="P12" s="26"/>
      <c r="Q12" s="25"/>
      <c r="R12" s="34" t="str">
        <f t="shared" ref="R12:R41" si="8">IF(ISNA(IF(OR(OR(P12="",Q12=""),OR(P12=0,Q12=0)),#N/A,Q12/P12)),"",IF(OR(OR(P12="",Q12=""),OR(P12=0,Q12=0)),#N/A,Q12/P12))</f>
        <v/>
      </c>
      <c r="S12" s="161" t="e">
        <f t="shared" ref="S12:S41" si="9">IF(SUM(D12,G12,J12,M12)=0,#N/A,SUM(D12,G12,J12,M12))</f>
        <v>#N/A</v>
      </c>
      <c r="T12" s="158">
        <f t="shared" ca="1" si="1"/>
        <v>0</v>
      </c>
      <c r="U12" s="34" t="str">
        <f t="shared" ref="U12:U41" ca="1" si="10">IF(ISNA(IF(OR(OR(S12="",T12=""),OR(S12=0,T12=0)),#N/A,T12/S12)),"",IF(OR(OR(S12="",T12=""),OR(S12=0,T12=0)),#N/A,T12/S12))</f>
        <v/>
      </c>
    </row>
    <row r="13" spans="1:25" s="1" customFormat="1" ht="10" customHeight="1">
      <c r="A13" s="23">
        <f t="shared" si="0"/>
        <v>1</v>
      </c>
      <c r="B13" s="13" t="str">
        <f t="shared" si="2"/>
        <v>lundi</v>
      </c>
      <c r="C13" s="16">
        <f t="shared" si="3"/>
        <v>42219</v>
      </c>
      <c r="D13" s="29">
        <f>IF(B13="",#N/A,IF(OR(EXACT("dimanche",$B13),EXACT("samedi",$B13)),#N/A,$C$9*$A13*'CA Jour'!$Y$5))</f>
        <v>27.285714285714285</v>
      </c>
      <c r="E13" s="25">
        <f ca="1">OFFSET(N!$G$3,(DAY($C13)-1),($C$4-1)*20)</f>
        <v>11</v>
      </c>
      <c r="F13" s="33">
        <f t="shared" ca="1" si="4"/>
        <v>0.40314136125654454</v>
      </c>
      <c r="G13" s="29">
        <f>IF(B13="",#N/A,IF(OR(EXACT("dimanche",$B13),EXACT("samedi",$B13)),#N/A,$C$9*$A13*'CA Jour'!$Y$6))</f>
        <v>4.5476190476190474</v>
      </c>
      <c r="H13" s="31">
        <f ca="1">OFFSET(N!$C$3,(DAY($C13)-1),($C$4-1)*20)</f>
        <v>0</v>
      </c>
      <c r="I13" s="34" t="str">
        <f t="shared" ca="1" si="5"/>
        <v/>
      </c>
      <c r="J13" s="29">
        <f>IF(B13="",#N/A,IF(OR(EXACT("dimanche",$B13),EXACT("samedi",$B13)),#N/A,$C$9*$A13*'CA Jour'!$Y$7))</f>
        <v>30.923809523809524</v>
      </c>
      <c r="K13" s="31">
        <f ca="1">OFFSET(N!$K$3,(DAY($C13)-1),($C$4-1)*20)</f>
        <v>0</v>
      </c>
      <c r="L13" s="34" t="str">
        <f t="shared" ca="1" si="6"/>
        <v/>
      </c>
      <c r="M13" s="29">
        <f>IF(B13="",#N/A,IF(OR(EXACT("dimanche",$B13),EXACT("samedi",$B13)),#N/A,$C$9*$A13*'CA Jour'!$Y$8))</f>
        <v>29.104761904761904</v>
      </c>
      <c r="N13" s="31">
        <f ca="1">OFFSET(N!$O$3,(DAY($C13)-1),($C$4-1)*20)</f>
        <v>29</v>
      </c>
      <c r="O13" s="34">
        <f t="shared" ca="1" si="7"/>
        <v>0.99640052356020947</v>
      </c>
      <c r="P13" s="26"/>
      <c r="Q13" s="25"/>
      <c r="R13" s="34" t="str">
        <f t="shared" si="8"/>
        <v/>
      </c>
      <c r="S13" s="161">
        <f t="shared" si="9"/>
        <v>91.861904761904754</v>
      </c>
      <c r="T13" s="158">
        <f t="shared" ca="1" si="1"/>
        <v>40</v>
      </c>
      <c r="U13" s="34">
        <f t="shared" ca="1" si="10"/>
        <v>0.43543621377844594</v>
      </c>
    </row>
    <row r="14" spans="1:25" s="1" customFormat="1" ht="10" customHeight="1">
      <c r="A14" s="23">
        <f t="shared" si="0"/>
        <v>2</v>
      </c>
      <c r="B14" s="13" t="str">
        <f t="shared" si="2"/>
        <v>mardi</v>
      </c>
      <c r="C14" s="16">
        <f t="shared" si="3"/>
        <v>42220</v>
      </c>
      <c r="D14" s="29">
        <f>IF(B14="",#N/A,IF(OR(EXACT("dimanche",$B14),EXACT("samedi",$B14)),#N/A,$C$9*$A14*'CA Jour'!$Y$5))</f>
        <v>54.571428571428569</v>
      </c>
      <c r="E14" s="25">
        <f ca="1">OFFSET(N!$G$3,(DAY($C14)-1),($C$4-1)*20)</f>
        <v>32</v>
      </c>
      <c r="F14" s="33">
        <f t="shared" ca="1" si="4"/>
        <v>0.58638743455497389</v>
      </c>
      <c r="G14" s="29">
        <f>IF(B14="",#N/A,IF(OR(EXACT("dimanche",$B14),EXACT("samedi",$B14)),#N/A,$C$9*$A14*'CA Jour'!$Y$6))</f>
        <v>9.0952380952380949</v>
      </c>
      <c r="H14" s="31">
        <f ca="1">OFFSET(N!$C$3,(DAY($C14)-1),($C$4-1)*20)</f>
        <v>0</v>
      </c>
      <c r="I14" s="34" t="str">
        <f t="shared" ca="1" si="5"/>
        <v/>
      </c>
      <c r="J14" s="29">
        <f>IF(B14="",#N/A,IF(OR(EXACT("dimanche",$B14),EXACT("samedi",$B14)),#N/A,$C$9*$A14*'CA Jour'!$Y$7))</f>
        <v>61.847619047619048</v>
      </c>
      <c r="K14" s="31">
        <f ca="1">OFFSET(N!$K$3,(DAY($C14)-1),($C$4-1)*20)</f>
        <v>0</v>
      </c>
      <c r="L14" s="34" t="str">
        <f t="shared" ca="1" si="6"/>
        <v/>
      </c>
      <c r="M14" s="29">
        <f>IF(B14="",#N/A,IF(OR(EXACT("dimanche",$B14),EXACT("samedi",$B14)),#N/A,$C$9*$A14*'CA Jour'!$Y$8))</f>
        <v>58.209523809523809</v>
      </c>
      <c r="N14" s="31">
        <f ca="1">OFFSET(N!$O$3,(DAY($C14)-1),($C$4-1)*20)</f>
        <v>67</v>
      </c>
      <c r="O14" s="34">
        <f t="shared" ca="1" si="7"/>
        <v>1.1510143979057592</v>
      </c>
      <c r="P14" s="26"/>
      <c r="Q14" s="25"/>
      <c r="R14" s="34" t="str">
        <f t="shared" si="8"/>
        <v/>
      </c>
      <c r="S14" s="161">
        <f t="shared" si="9"/>
        <v>183.72380952380951</v>
      </c>
      <c r="T14" s="158">
        <f t="shared" ca="1" si="1"/>
        <v>99</v>
      </c>
      <c r="U14" s="34">
        <f t="shared" ca="1" si="10"/>
        <v>0.53885231455082683</v>
      </c>
    </row>
    <row r="15" spans="1:25" s="1" customFormat="1" ht="10" customHeight="1">
      <c r="A15" s="23">
        <f t="shared" si="0"/>
        <v>3</v>
      </c>
      <c r="B15" s="13" t="str">
        <f t="shared" si="2"/>
        <v>mercredi</v>
      </c>
      <c r="C15" s="16">
        <f t="shared" si="3"/>
        <v>42221</v>
      </c>
      <c r="D15" s="29">
        <f>IF(B15="",#N/A,IF(OR(EXACT("dimanche",$B15),EXACT("samedi",$B15)),#N/A,$C$9*$A15*'CA Jour'!$Y$5))</f>
        <v>81.857142857142847</v>
      </c>
      <c r="E15" s="25">
        <f ca="1">OFFSET(N!$G$3,(DAY($C15)-1),($C$4-1)*20)</f>
        <v>34</v>
      </c>
      <c r="F15" s="33">
        <f t="shared" ca="1" si="4"/>
        <v>0.41535776614310649</v>
      </c>
      <c r="G15" s="29">
        <f>IF(B15="",#N/A,IF(OR(EXACT("dimanche",$B15),EXACT("samedi",$B15)),#N/A,$C$9*$A15*'CA Jour'!$Y$6))</f>
        <v>13.642857142857142</v>
      </c>
      <c r="H15" s="31">
        <f ca="1">OFFSET(N!$C$3,(DAY($C15)-1),($C$4-1)*20)</f>
        <v>0</v>
      </c>
      <c r="I15" s="34" t="str">
        <f t="shared" ca="1" si="5"/>
        <v/>
      </c>
      <c r="J15" s="29">
        <f>IF(B15="",#N/A,IF(OR(EXACT("dimanche",$B15),EXACT("samedi",$B15)),#N/A,$C$9*$A15*'CA Jour'!$Y$7))</f>
        <v>92.771428571428572</v>
      </c>
      <c r="K15" s="31">
        <f ca="1">OFFSET(N!$K$3,(DAY($C15)-1),($C$4-1)*20)</f>
        <v>52</v>
      </c>
      <c r="L15" s="34">
        <f t="shared" ca="1" si="6"/>
        <v>0.56051740067754852</v>
      </c>
      <c r="M15" s="29">
        <f>IF(B15="",#N/A,IF(OR(EXACT("dimanche",$B15),EXACT("samedi",$B15)),#N/A,$C$9*$A15*'CA Jour'!$Y$8))</f>
        <v>87.314285714285703</v>
      </c>
      <c r="N15" s="31">
        <f ca="1">OFFSET(N!$O$3,(DAY($C15)-1),($C$4-1)*20)</f>
        <v>94</v>
      </c>
      <c r="O15" s="34">
        <f t="shared" ca="1" si="7"/>
        <v>1.0765706806282724</v>
      </c>
      <c r="P15" s="26"/>
      <c r="Q15" s="25"/>
      <c r="R15" s="34" t="str">
        <f t="shared" si="8"/>
        <v/>
      </c>
      <c r="S15" s="161">
        <f t="shared" si="9"/>
        <v>275.58571428571423</v>
      </c>
      <c r="T15" s="158">
        <f t="shared" ca="1" si="1"/>
        <v>180</v>
      </c>
      <c r="U15" s="34">
        <f t="shared" ca="1" si="10"/>
        <v>0.65315432066766899</v>
      </c>
    </row>
    <row r="16" spans="1:25" s="1" customFormat="1" ht="10" customHeight="1">
      <c r="A16" s="23">
        <f t="shared" si="0"/>
        <v>4</v>
      </c>
      <c r="B16" s="13" t="str">
        <f t="shared" si="2"/>
        <v>jeudi</v>
      </c>
      <c r="C16" s="16">
        <f t="shared" si="3"/>
        <v>42222</v>
      </c>
      <c r="D16" s="29">
        <f>IF(B16="",#N/A,IF(OR(EXACT("dimanche",$B16),EXACT("samedi",$B16)),#N/A,$C$9*$A16*'CA Jour'!$Y$5))</f>
        <v>109.14285714285714</v>
      </c>
      <c r="E16" s="25">
        <f ca="1">OFFSET(N!$G$3,(DAY($C16)-1),($C$4-1)*20)</f>
        <v>59</v>
      </c>
      <c r="F16" s="33">
        <f t="shared" ca="1" si="4"/>
        <v>0.54057591623036649</v>
      </c>
      <c r="G16" s="29">
        <f>IF(B16="",#N/A,IF(OR(EXACT("dimanche",$B16),EXACT("samedi",$B16)),#N/A,$C$9*$A16*'CA Jour'!$Y$6))</f>
        <v>18.19047619047619</v>
      </c>
      <c r="H16" s="31">
        <f ca="1">OFFSET(N!$C$3,(DAY($C16)-1),($C$4-1)*20)</f>
        <v>0</v>
      </c>
      <c r="I16" s="34" t="str">
        <f t="shared" ca="1" si="5"/>
        <v/>
      </c>
      <c r="J16" s="29">
        <f>IF(B16="",#N/A,IF(OR(EXACT("dimanche",$B16),EXACT("samedi",$B16)),#N/A,$C$9*$A16*'CA Jour'!$Y$7))</f>
        <v>123.6952380952381</v>
      </c>
      <c r="K16" s="31">
        <f ca="1">OFFSET(N!$K$3,(DAY($C16)-1),($C$4-1)*20)</f>
        <v>59</v>
      </c>
      <c r="L16" s="34">
        <f t="shared" ca="1" si="6"/>
        <v>0.47697874961502923</v>
      </c>
      <c r="M16" s="29">
        <f>IF(B16="",#N/A,IF(OR(EXACT("dimanche",$B16),EXACT("samedi",$B16)),#N/A,$C$9*$A16*'CA Jour'!$Y$8))</f>
        <v>116.41904761904762</v>
      </c>
      <c r="N16" s="31">
        <f ca="1">OFFSET(N!$O$3,(DAY($C16)-1),($C$4-1)*20)</f>
        <v>122</v>
      </c>
      <c r="O16" s="34">
        <f t="shared" ca="1" si="7"/>
        <v>1.0479384816753927</v>
      </c>
      <c r="P16" s="26"/>
      <c r="Q16" s="25"/>
      <c r="R16" s="34" t="str">
        <f t="shared" si="8"/>
        <v/>
      </c>
      <c r="S16" s="161">
        <f t="shared" si="9"/>
        <v>367.44761904761901</v>
      </c>
      <c r="T16" s="158">
        <f t="shared" ca="1" si="1"/>
        <v>240</v>
      </c>
      <c r="U16" s="34">
        <f t="shared" ca="1" si="10"/>
        <v>0.65315432066766888</v>
      </c>
    </row>
    <row r="17" spans="1:21" s="1" customFormat="1" ht="10" customHeight="1">
      <c r="A17" s="23">
        <f t="shared" si="0"/>
        <v>5</v>
      </c>
      <c r="B17" s="13" t="str">
        <f t="shared" si="2"/>
        <v>vendredi</v>
      </c>
      <c r="C17" s="16">
        <f t="shared" si="3"/>
        <v>42223</v>
      </c>
      <c r="D17" s="29">
        <f>IF(B17="",#N/A,IF(OR(EXACT("dimanche",$B17),EXACT("samedi",$B17)),#N/A,$C$9*$A17*'CA Jour'!$Y$5))</f>
        <v>136.42857142857142</v>
      </c>
      <c r="E17" s="25">
        <f ca="1">OFFSET(N!$G$3,(DAY($C17)-1),($C$4-1)*20)</f>
        <v>90</v>
      </c>
      <c r="F17" s="33">
        <f t="shared" ca="1" si="4"/>
        <v>0.65968586387434558</v>
      </c>
      <c r="G17" s="29">
        <f>IF(B17="",#N/A,IF(OR(EXACT("dimanche",$B17),EXACT("samedi",$B17)),#N/A,$C$9*$A17*'CA Jour'!$Y$6))</f>
        <v>22.738095238095241</v>
      </c>
      <c r="H17" s="31">
        <f ca="1">OFFSET(N!$C$3,(DAY($C17)-1),($C$4-1)*20)</f>
        <v>0</v>
      </c>
      <c r="I17" s="34" t="str">
        <f t="shared" ca="1" si="5"/>
        <v/>
      </c>
      <c r="J17" s="29">
        <f>IF(B17="",#N/A,IF(OR(EXACT("dimanche",$B17),EXACT("samedi",$B17)),#N/A,$C$9*$A17*'CA Jour'!$Y$7))</f>
        <v>154.61904761904762</v>
      </c>
      <c r="K17" s="31">
        <f ca="1">OFFSET(N!$K$3,(DAY($C17)-1),($C$4-1)*20)</f>
        <v>104</v>
      </c>
      <c r="L17" s="34">
        <f t="shared" ca="1" si="6"/>
        <v>0.67262088081305815</v>
      </c>
      <c r="M17" s="29">
        <f>IF(B17="",#N/A,IF(OR(EXACT("dimanche",$B17),EXACT("samedi",$B17)),#N/A,$C$9*$A17*'CA Jour'!$Y$8))</f>
        <v>145.52380952380952</v>
      </c>
      <c r="N17" s="31">
        <f ca="1">OFFSET(N!$O$3,(DAY($C17)-1),($C$4-1)*20)</f>
        <v>172</v>
      </c>
      <c r="O17" s="34">
        <f t="shared" ca="1" si="7"/>
        <v>1.1819371727748691</v>
      </c>
      <c r="P17" s="26"/>
      <c r="Q17" s="25"/>
      <c r="R17" s="34" t="str">
        <f t="shared" si="8"/>
        <v/>
      </c>
      <c r="S17" s="161">
        <f t="shared" si="9"/>
        <v>459.3095238095238</v>
      </c>
      <c r="T17" s="158">
        <f t="shared" ca="1" si="1"/>
        <v>366</v>
      </c>
      <c r="U17" s="34">
        <f t="shared" ca="1" si="10"/>
        <v>0.79684827121455604</v>
      </c>
    </row>
    <row r="18" spans="1:21" s="1" customFormat="1" ht="10" customHeight="1">
      <c r="A18" s="23">
        <f t="shared" si="0"/>
        <v>5</v>
      </c>
      <c r="B18" s="13" t="str">
        <f t="shared" si="2"/>
        <v>samedi</v>
      </c>
      <c r="C18" s="16">
        <f t="shared" si="3"/>
        <v>42224</v>
      </c>
      <c r="D18" s="29" t="e">
        <f>IF(B18="",#N/A,IF(OR(EXACT("dimanche",$B18),EXACT("samedi",$B18)),#N/A,$C$9*$A18*'CA Jour'!$Y$5))</f>
        <v>#N/A</v>
      </c>
      <c r="E18" s="25">
        <f ca="1">OFFSET(N!$G$3,(DAY($C18)-1),($C$4-1)*20)</f>
        <v>0</v>
      </c>
      <c r="F18" s="33" t="str">
        <f t="shared" ca="1" si="4"/>
        <v/>
      </c>
      <c r="G18" s="29" t="e">
        <f>IF(B18="",#N/A,IF(OR(EXACT("dimanche",$B18),EXACT("samedi",$B18)),#N/A,$C$9*$A18*'CA Jour'!$Y$6))</f>
        <v>#N/A</v>
      </c>
      <c r="H18" s="31">
        <f ca="1">OFFSET(N!$C$3,(DAY($C18)-1),($C$4-1)*20)</f>
        <v>0</v>
      </c>
      <c r="I18" s="34" t="str">
        <f t="shared" ca="1" si="5"/>
        <v/>
      </c>
      <c r="J18" s="29" t="e">
        <f>IF(B18="",#N/A,IF(OR(EXACT("dimanche",$B18),EXACT("samedi",$B18)),#N/A,$C$9*$A18*'CA Jour'!$Y$7))</f>
        <v>#N/A</v>
      </c>
      <c r="K18" s="31">
        <f ca="1">OFFSET(N!$K$3,(DAY($C18)-1),($C$4-1)*20)</f>
        <v>0</v>
      </c>
      <c r="L18" s="34" t="str">
        <f t="shared" ca="1" si="6"/>
        <v/>
      </c>
      <c r="M18" s="29" t="e">
        <f>IF(B18="",#N/A,IF(OR(EXACT("dimanche",$B18),EXACT("samedi",$B18)),#N/A,$C$9*$A18*'CA Jour'!$Y$8))</f>
        <v>#N/A</v>
      </c>
      <c r="N18" s="31">
        <f ca="1">OFFSET(N!$O$3,(DAY($C18)-1),($C$4-1)*20)</f>
        <v>0</v>
      </c>
      <c r="O18" s="34" t="str">
        <f t="shared" ca="1" si="7"/>
        <v/>
      </c>
      <c r="P18" s="26"/>
      <c r="Q18" s="25"/>
      <c r="R18" s="34" t="str">
        <f t="shared" si="8"/>
        <v/>
      </c>
      <c r="S18" s="161" t="e">
        <f t="shared" si="9"/>
        <v>#N/A</v>
      </c>
      <c r="T18" s="158">
        <f t="shared" ca="1" si="1"/>
        <v>0</v>
      </c>
      <c r="U18" s="34" t="str">
        <f t="shared" ca="1" si="10"/>
        <v/>
      </c>
    </row>
    <row r="19" spans="1:21" s="1" customFormat="1" ht="10" customHeight="1">
      <c r="A19" s="23">
        <f t="shared" si="0"/>
        <v>5</v>
      </c>
      <c r="B19" s="13" t="str">
        <f t="shared" si="2"/>
        <v>dimanche</v>
      </c>
      <c r="C19" s="16">
        <f t="shared" si="3"/>
        <v>42225</v>
      </c>
      <c r="D19" s="29" t="e">
        <f>IF(B19="",#N/A,IF(OR(EXACT("dimanche",$B19),EXACT("samedi",$B19)),#N/A,$C$9*$A19*'CA Jour'!$Y$5))</f>
        <v>#N/A</v>
      </c>
      <c r="E19" s="25">
        <f ca="1">OFFSET(N!$G$3,(DAY($C19)-1),($C$4-1)*20)</f>
        <v>0</v>
      </c>
      <c r="F19" s="33" t="str">
        <f t="shared" ca="1" si="4"/>
        <v/>
      </c>
      <c r="G19" s="29" t="e">
        <f>IF(B19="",#N/A,IF(OR(EXACT("dimanche",$B19),EXACT("samedi",$B19)),#N/A,$C$9*$A19*'CA Jour'!$Y$6))</f>
        <v>#N/A</v>
      </c>
      <c r="H19" s="31">
        <f ca="1">OFFSET(N!$C$3,(DAY($C19)-1),($C$4-1)*20)</f>
        <v>0</v>
      </c>
      <c r="I19" s="34" t="str">
        <f t="shared" ca="1" si="5"/>
        <v/>
      </c>
      <c r="J19" s="29" t="e">
        <f>IF(B19="",#N/A,IF(OR(EXACT("dimanche",$B19),EXACT("samedi",$B19)),#N/A,$C$9*$A19*'CA Jour'!$Y$7))</f>
        <v>#N/A</v>
      </c>
      <c r="K19" s="31">
        <f ca="1">OFFSET(N!$K$3,(DAY($C19)-1),($C$4-1)*20)</f>
        <v>0</v>
      </c>
      <c r="L19" s="34" t="str">
        <f t="shared" ca="1" si="6"/>
        <v/>
      </c>
      <c r="M19" s="29" t="e">
        <f>IF(B19="",#N/A,IF(OR(EXACT("dimanche",$B19),EXACT("samedi",$B19)),#N/A,$C$9*$A19*'CA Jour'!$Y$8))</f>
        <v>#N/A</v>
      </c>
      <c r="N19" s="31">
        <f ca="1">OFFSET(N!$O$3,(DAY($C19)-1),($C$4-1)*20)</f>
        <v>0</v>
      </c>
      <c r="O19" s="34" t="str">
        <f t="shared" ca="1" si="7"/>
        <v/>
      </c>
      <c r="P19" s="26"/>
      <c r="Q19" s="25"/>
      <c r="R19" s="34" t="str">
        <f t="shared" si="8"/>
        <v/>
      </c>
      <c r="S19" s="161" t="e">
        <f t="shared" si="9"/>
        <v>#N/A</v>
      </c>
      <c r="T19" s="158">
        <f t="shared" ca="1" si="1"/>
        <v>0</v>
      </c>
      <c r="U19" s="34" t="str">
        <f t="shared" ca="1" si="10"/>
        <v/>
      </c>
    </row>
    <row r="20" spans="1:21" s="1" customFormat="1" ht="10" customHeight="1">
      <c r="A20" s="23">
        <f t="shared" si="0"/>
        <v>6</v>
      </c>
      <c r="B20" s="13" t="str">
        <f t="shared" si="2"/>
        <v>lundi</v>
      </c>
      <c r="C20" s="16">
        <f t="shared" si="3"/>
        <v>42226</v>
      </c>
      <c r="D20" s="29">
        <f>IF(B20="",#N/A,IF(OR(EXACT("dimanche",$B20),EXACT("samedi",$B20)),#N/A,$C$9*$A20*'CA Jour'!$Y$5))</f>
        <v>163.71428571428569</v>
      </c>
      <c r="E20" s="25">
        <f ca="1">OFFSET(N!$G$3,(DAY($C20)-1),($C$4-1)*20)</f>
        <v>100</v>
      </c>
      <c r="F20" s="33">
        <f t="shared" ca="1" si="4"/>
        <v>0.61082024432809778</v>
      </c>
      <c r="G20" s="29">
        <f>IF(B20="",#N/A,IF(OR(EXACT("dimanche",$B20),EXACT("samedi",$B20)),#N/A,$C$9*$A20*'CA Jour'!$Y$6))</f>
        <v>27.285714285714285</v>
      </c>
      <c r="H20" s="31">
        <f ca="1">OFFSET(N!$C$3,(DAY($C20)-1),($C$4-1)*20)</f>
        <v>0</v>
      </c>
      <c r="I20" s="34" t="str">
        <f t="shared" ca="1" si="5"/>
        <v/>
      </c>
      <c r="J20" s="29">
        <f>IF(B20="",#N/A,IF(OR(EXACT("dimanche",$B20),EXACT("samedi",$B20)),#N/A,$C$9*$A20*'CA Jour'!$Y$7))</f>
        <v>185.54285714285714</v>
      </c>
      <c r="K20" s="31">
        <f ca="1">OFFSET(N!$K$3,(DAY($C20)-1),($C$4-1)*20)</f>
        <v>106</v>
      </c>
      <c r="L20" s="34">
        <f t="shared" ca="1" si="6"/>
        <v>0.57129658145980899</v>
      </c>
      <c r="M20" s="29">
        <f>IF(B20="",#N/A,IF(OR(EXACT("dimanche",$B20),EXACT("samedi",$B20)),#N/A,$C$9*$A20*'CA Jour'!$Y$8))</f>
        <v>174.62857142857141</v>
      </c>
      <c r="N20" s="31">
        <f ca="1">OFFSET(N!$O$3,(DAY($C20)-1),($C$4-1)*20)</f>
        <v>196</v>
      </c>
      <c r="O20" s="34">
        <f t="shared" ca="1" si="7"/>
        <v>1.1223821989528797</v>
      </c>
      <c r="P20" s="26"/>
      <c r="Q20" s="25"/>
      <c r="R20" s="34" t="str">
        <f t="shared" si="8"/>
        <v/>
      </c>
      <c r="S20" s="161">
        <f t="shared" si="9"/>
        <v>551.17142857142846</v>
      </c>
      <c r="T20" s="158">
        <f t="shared" ca="1" si="1"/>
        <v>402</v>
      </c>
      <c r="U20" s="34">
        <f t="shared" ca="1" si="10"/>
        <v>0.72935565807889702</v>
      </c>
    </row>
    <row r="21" spans="1:21" s="1" customFormat="1" ht="10" customHeight="1">
      <c r="A21" s="23">
        <f t="shared" si="0"/>
        <v>7</v>
      </c>
      <c r="B21" s="13" t="str">
        <f t="shared" si="2"/>
        <v>mardi</v>
      </c>
      <c r="C21" s="16">
        <f t="shared" si="3"/>
        <v>42227</v>
      </c>
      <c r="D21" s="29">
        <f>IF(B21="",#N/A,IF(OR(EXACT("dimanche",$B21),EXACT("samedi",$B21)),#N/A,$C$9*$A21*'CA Jour'!$Y$5))</f>
        <v>190.99999999999997</v>
      </c>
      <c r="E21" s="25">
        <f ca="1">OFFSET(N!$G$3,(DAY($C21)-1),($C$4-1)*20)</f>
        <v>125</v>
      </c>
      <c r="F21" s="33">
        <f t="shared" ca="1" si="4"/>
        <v>0.65445026178010479</v>
      </c>
      <c r="G21" s="29">
        <f>IF(B21="",#N/A,IF(OR(EXACT("dimanche",$B21),EXACT("samedi",$B21)),#N/A,$C$9*$A21*'CA Jour'!$Y$6))</f>
        <v>31.833333333333332</v>
      </c>
      <c r="H21" s="31">
        <f ca="1">OFFSET(N!$C$3,(DAY($C21)-1),($C$4-1)*20)</f>
        <v>0</v>
      </c>
      <c r="I21" s="34" t="str">
        <f t="shared" ca="1" si="5"/>
        <v/>
      </c>
      <c r="J21" s="29">
        <f>IF(B21="",#N/A,IF(OR(EXACT("dimanche",$B21),EXACT("samedi",$B21)),#N/A,$C$9*$A21*'CA Jour'!$Y$7))</f>
        <v>216.46666666666667</v>
      </c>
      <c r="K21" s="31">
        <f ca="1">OFFSET(N!$K$3,(DAY($C21)-1),($C$4-1)*20)</f>
        <v>132</v>
      </c>
      <c r="L21" s="34">
        <f t="shared" ca="1" si="6"/>
        <v>0.60979365568216815</v>
      </c>
      <c r="M21" s="29">
        <f>IF(B21="",#N/A,IF(OR(EXACT("dimanche",$B21),EXACT("samedi",$B21)),#N/A,$C$9*$A21*'CA Jour'!$Y$8))</f>
        <v>203.73333333333332</v>
      </c>
      <c r="N21" s="31">
        <f ca="1">OFFSET(N!$O$3,(DAY($C21)-1),($C$4-1)*20)</f>
        <v>228</v>
      </c>
      <c r="O21" s="34">
        <f t="shared" ca="1" si="7"/>
        <v>1.1191099476439792</v>
      </c>
      <c r="P21" s="26"/>
      <c r="Q21" s="25"/>
      <c r="R21" s="34" t="str">
        <f t="shared" si="8"/>
        <v/>
      </c>
      <c r="S21" s="161">
        <f t="shared" si="9"/>
        <v>643.0333333333333</v>
      </c>
      <c r="T21" s="158">
        <f t="shared" ca="1" si="1"/>
        <v>485</v>
      </c>
      <c r="U21" s="34">
        <f t="shared" ca="1" si="10"/>
        <v>0.75423772743766526</v>
      </c>
    </row>
    <row r="22" spans="1:21" s="1" customFormat="1" ht="10" customHeight="1">
      <c r="A22" s="23">
        <f t="shared" si="0"/>
        <v>8</v>
      </c>
      <c r="B22" s="13" t="str">
        <f t="shared" si="2"/>
        <v>mercredi</v>
      </c>
      <c r="C22" s="16">
        <f t="shared" si="3"/>
        <v>42228</v>
      </c>
      <c r="D22" s="29">
        <f>IF(B22="",#N/A,IF(OR(EXACT("dimanche",$B22),EXACT("samedi",$B22)),#N/A,$C$9*$A22*'CA Jour'!$Y$5))</f>
        <v>218.28571428571428</v>
      </c>
      <c r="E22" s="25">
        <f ca="1">OFFSET(N!$G$3,(DAY($C22)-1),($C$4-1)*20)</f>
        <v>0</v>
      </c>
      <c r="F22" s="33" t="str">
        <f t="shared" ca="1" si="4"/>
        <v/>
      </c>
      <c r="G22" s="29">
        <f>IF(B22="",#N/A,IF(OR(EXACT("dimanche",$B22),EXACT("samedi",$B22)),#N/A,$C$9*$A22*'CA Jour'!$Y$6))</f>
        <v>36.38095238095238</v>
      </c>
      <c r="H22" s="31">
        <f ca="1">OFFSET(N!$C$3,(DAY($C22)-1),($C$4-1)*20)</f>
        <v>0</v>
      </c>
      <c r="I22" s="34" t="str">
        <f t="shared" ca="1" si="5"/>
        <v/>
      </c>
      <c r="J22" s="29">
        <f>IF(B22="",#N/A,IF(OR(EXACT("dimanche",$B22),EXACT("samedi",$B22)),#N/A,$C$9*$A22*'CA Jour'!$Y$7))</f>
        <v>247.39047619047619</v>
      </c>
      <c r="K22" s="31">
        <f ca="1">OFFSET(N!$K$3,(DAY($C22)-1),($C$4-1)*20)</f>
        <v>0</v>
      </c>
      <c r="L22" s="34" t="str">
        <f t="shared" ca="1" si="6"/>
        <v/>
      </c>
      <c r="M22" s="29">
        <f>IF(B22="",#N/A,IF(OR(EXACT("dimanche",$B22),EXACT("samedi",$B22)),#N/A,$C$9*$A22*'CA Jour'!$Y$8))</f>
        <v>232.83809523809524</v>
      </c>
      <c r="N22" s="31">
        <f ca="1">OFFSET(N!$O$3,(DAY($C22)-1),($C$4-1)*20)</f>
        <v>0</v>
      </c>
      <c r="O22" s="34" t="str">
        <f t="shared" ca="1" si="7"/>
        <v/>
      </c>
      <c r="P22" s="26"/>
      <c r="Q22" s="25"/>
      <c r="R22" s="34" t="str">
        <f t="shared" si="8"/>
        <v/>
      </c>
      <c r="S22" s="161">
        <f t="shared" si="9"/>
        <v>734.89523809523803</v>
      </c>
      <c r="T22" s="158">
        <f t="shared" ca="1" si="1"/>
        <v>0</v>
      </c>
      <c r="U22" s="34" t="str">
        <f t="shared" ca="1" si="10"/>
        <v/>
      </c>
    </row>
    <row r="23" spans="1:21" s="1" customFormat="1" ht="10" customHeight="1">
      <c r="A23" s="23">
        <f t="shared" si="0"/>
        <v>9</v>
      </c>
      <c r="B23" s="13" t="str">
        <f t="shared" si="2"/>
        <v>jeudi</v>
      </c>
      <c r="C23" s="16">
        <f t="shared" si="3"/>
        <v>42229</v>
      </c>
      <c r="D23" s="29">
        <f>IF(B23="",#N/A,IF(OR(EXACT("dimanche",$B23),EXACT("samedi",$B23)),#N/A,$C$9*$A23*'CA Jour'!$Y$5))</f>
        <v>245.57142857142856</v>
      </c>
      <c r="E23" s="25">
        <f ca="1">OFFSET(N!$G$3,(DAY($C23)-1),($C$4-1)*20)</f>
        <v>0</v>
      </c>
      <c r="F23" s="33" t="str">
        <f t="shared" ca="1" si="4"/>
        <v/>
      </c>
      <c r="G23" s="29">
        <f>IF(B23="",#N/A,IF(OR(EXACT("dimanche",$B23),EXACT("samedi",$B23)),#N/A,$C$9*$A23*'CA Jour'!$Y$6))</f>
        <v>40.928571428571431</v>
      </c>
      <c r="H23" s="31">
        <f ca="1">OFFSET(N!$C$3,(DAY($C23)-1),($C$4-1)*20)</f>
        <v>0</v>
      </c>
      <c r="I23" s="34" t="str">
        <f t="shared" ca="1" si="5"/>
        <v/>
      </c>
      <c r="J23" s="29">
        <f>IF(B23="",#N/A,IF(OR(EXACT("dimanche",$B23),EXACT("samedi",$B23)),#N/A,$C$9*$A23*'CA Jour'!$Y$7))</f>
        <v>278.31428571428575</v>
      </c>
      <c r="K23" s="31">
        <f ca="1">OFFSET(N!$K$3,(DAY($C23)-1),($C$4-1)*20)</f>
        <v>0</v>
      </c>
      <c r="L23" s="34" t="str">
        <f t="shared" ca="1" si="6"/>
        <v/>
      </c>
      <c r="M23" s="29">
        <f>IF(B23="",#N/A,IF(OR(EXACT("dimanche",$B23),EXACT("samedi",$B23)),#N/A,$C$9*$A23*'CA Jour'!$Y$8))</f>
        <v>261.94285714285712</v>
      </c>
      <c r="N23" s="31">
        <f ca="1">OFFSET(N!$O$3,(DAY($C23)-1),($C$4-1)*20)</f>
        <v>0</v>
      </c>
      <c r="O23" s="34" t="str">
        <f t="shared" ca="1" si="7"/>
        <v/>
      </c>
      <c r="P23" s="26"/>
      <c r="Q23" s="25"/>
      <c r="R23" s="34" t="str">
        <f t="shared" si="8"/>
        <v/>
      </c>
      <c r="S23" s="161">
        <f t="shared" si="9"/>
        <v>826.75714285714275</v>
      </c>
      <c r="T23" s="158">
        <f t="shared" ca="1" si="1"/>
        <v>0</v>
      </c>
      <c r="U23" s="34" t="str">
        <f t="shared" ca="1" si="10"/>
        <v/>
      </c>
    </row>
    <row r="24" spans="1:21" s="1" customFormat="1" ht="10" customHeight="1">
      <c r="A24" s="23">
        <f t="shared" si="0"/>
        <v>10</v>
      </c>
      <c r="B24" s="13" t="str">
        <f t="shared" si="2"/>
        <v>vendredi</v>
      </c>
      <c r="C24" s="16">
        <f t="shared" si="3"/>
        <v>42230</v>
      </c>
      <c r="D24" s="29">
        <f>IF(B24="",#N/A,IF(OR(EXACT("dimanche",$B24),EXACT("samedi",$B24)),#N/A,$C$9*$A24*'CA Jour'!$Y$5))</f>
        <v>272.85714285714283</v>
      </c>
      <c r="E24" s="25">
        <f ca="1">OFFSET(N!$G$3,(DAY($C24)-1),($C$4-1)*20)</f>
        <v>0</v>
      </c>
      <c r="F24" s="33" t="str">
        <f t="shared" ca="1" si="4"/>
        <v/>
      </c>
      <c r="G24" s="29">
        <f>IF(B24="",#N/A,IF(OR(EXACT("dimanche",$B24),EXACT("samedi",$B24)),#N/A,$C$9*$A24*'CA Jour'!$Y$6))</f>
        <v>45.476190476190482</v>
      </c>
      <c r="H24" s="31">
        <f ca="1">OFFSET(N!$C$3,(DAY($C24)-1),($C$4-1)*20)</f>
        <v>0</v>
      </c>
      <c r="I24" s="34" t="str">
        <f t="shared" ca="1" si="5"/>
        <v/>
      </c>
      <c r="J24" s="29">
        <f>IF(B24="",#N/A,IF(OR(EXACT("dimanche",$B24),EXACT("samedi",$B24)),#N/A,$C$9*$A24*'CA Jour'!$Y$7))</f>
        <v>309.23809523809524</v>
      </c>
      <c r="K24" s="31">
        <f ca="1">OFFSET(N!$K$3,(DAY($C24)-1),($C$4-1)*20)</f>
        <v>0</v>
      </c>
      <c r="L24" s="34" t="str">
        <f t="shared" ca="1" si="6"/>
        <v/>
      </c>
      <c r="M24" s="29">
        <f>IF(B24="",#N/A,IF(OR(EXACT("dimanche",$B24),EXACT("samedi",$B24)),#N/A,$C$9*$A24*'CA Jour'!$Y$8))</f>
        <v>291.04761904761904</v>
      </c>
      <c r="N24" s="31">
        <f ca="1">OFFSET(N!$O$3,(DAY($C24)-1),($C$4-1)*20)</f>
        <v>0</v>
      </c>
      <c r="O24" s="34" t="str">
        <f t="shared" ca="1" si="7"/>
        <v/>
      </c>
      <c r="P24" s="26"/>
      <c r="Q24" s="25"/>
      <c r="R24" s="34" t="str">
        <f t="shared" si="8"/>
        <v/>
      </c>
      <c r="S24" s="161">
        <f t="shared" si="9"/>
        <v>918.61904761904759</v>
      </c>
      <c r="T24" s="158">
        <f t="shared" ca="1" si="1"/>
        <v>0</v>
      </c>
      <c r="U24" s="34" t="str">
        <f t="shared" ca="1" si="10"/>
        <v/>
      </c>
    </row>
    <row r="25" spans="1:21" s="1" customFormat="1" ht="10" customHeight="1">
      <c r="A25" s="23">
        <f t="shared" si="0"/>
        <v>10</v>
      </c>
      <c r="B25" s="13" t="str">
        <f t="shared" si="2"/>
        <v>samedi</v>
      </c>
      <c r="C25" s="16">
        <f t="shared" si="3"/>
        <v>42231</v>
      </c>
      <c r="D25" s="29" t="e">
        <f>IF(B25="",#N/A,IF(OR(EXACT("dimanche",$B25),EXACT("samedi",$B25)),#N/A,$C$9*$A25*'CA Jour'!$Y$5))</f>
        <v>#N/A</v>
      </c>
      <c r="E25" s="25">
        <f ca="1">OFFSET(N!$G$3,(DAY($C25)-1),($C$4-1)*20)</f>
        <v>0</v>
      </c>
      <c r="F25" s="33" t="str">
        <f t="shared" ca="1" si="4"/>
        <v/>
      </c>
      <c r="G25" s="29" t="e">
        <f>IF(B25="",#N/A,IF(OR(EXACT("dimanche",$B25),EXACT("samedi",$B25)),#N/A,$C$9*$A25*'CA Jour'!$Y$6))</f>
        <v>#N/A</v>
      </c>
      <c r="H25" s="31">
        <f ca="1">OFFSET(N!$C$3,(DAY($C25)-1),($C$4-1)*20)</f>
        <v>0</v>
      </c>
      <c r="I25" s="34" t="str">
        <f t="shared" ca="1" si="5"/>
        <v/>
      </c>
      <c r="J25" s="29" t="e">
        <f>IF(B25="",#N/A,IF(OR(EXACT("dimanche",$B25),EXACT("samedi",$B25)),#N/A,$C$9*$A25*'CA Jour'!$Y$7))</f>
        <v>#N/A</v>
      </c>
      <c r="K25" s="31">
        <f ca="1">OFFSET(N!$K$3,(DAY($C25)-1),($C$4-1)*20)</f>
        <v>0</v>
      </c>
      <c r="L25" s="34" t="str">
        <f t="shared" ca="1" si="6"/>
        <v/>
      </c>
      <c r="M25" s="29" t="e">
        <f>IF(B25="",#N/A,IF(OR(EXACT("dimanche",$B25),EXACT("samedi",$B25)),#N/A,$C$9*$A25*'CA Jour'!$Y$8))</f>
        <v>#N/A</v>
      </c>
      <c r="N25" s="31">
        <f ca="1">OFFSET(N!$O$3,(DAY($C25)-1),($C$4-1)*20)</f>
        <v>0</v>
      </c>
      <c r="O25" s="34" t="str">
        <f t="shared" ca="1" si="7"/>
        <v/>
      </c>
      <c r="P25" s="26"/>
      <c r="Q25" s="25"/>
      <c r="R25" s="34" t="str">
        <f t="shared" si="8"/>
        <v/>
      </c>
      <c r="S25" s="161" t="e">
        <f t="shared" si="9"/>
        <v>#N/A</v>
      </c>
      <c r="T25" s="158">
        <f t="shared" ca="1" si="1"/>
        <v>0</v>
      </c>
      <c r="U25" s="34" t="str">
        <f t="shared" ca="1" si="10"/>
        <v/>
      </c>
    </row>
    <row r="26" spans="1:21" s="1" customFormat="1" ht="10" customHeight="1">
      <c r="A26" s="23">
        <f t="shared" si="0"/>
        <v>10</v>
      </c>
      <c r="B26" s="13" t="str">
        <f t="shared" si="2"/>
        <v>dimanche</v>
      </c>
      <c r="C26" s="16">
        <f t="shared" si="3"/>
        <v>42232</v>
      </c>
      <c r="D26" s="29" t="e">
        <f>IF(B26="",#N/A,IF(OR(EXACT("dimanche",$B26),EXACT("samedi",$B26)),#N/A,$C$9*$A26*'CA Jour'!$Y$5))</f>
        <v>#N/A</v>
      </c>
      <c r="E26" s="25">
        <f ca="1">OFFSET(N!$G$3,(DAY($C26)-1),($C$4-1)*20)</f>
        <v>0</v>
      </c>
      <c r="F26" s="33" t="str">
        <f t="shared" ca="1" si="4"/>
        <v/>
      </c>
      <c r="G26" s="29" t="e">
        <f>IF(B26="",#N/A,IF(OR(EXACT("dimanche",$B26),EXACT("samedi",$B26)),#N/A,$C$9*$A26*'CA Jour'!$Y$6))</f>
        <v>#N/A</v>
      </c>
      <c r="H26" s="31">
        <f ca="1">OFFSET(N!$C$3,(DAY($C26)-1),($C$4-1)*20)</f>
        <v>0</v>
      </c>
      <c r="I26" s="34" t="str">
        <f t="shared" ca="1" si="5"/>
        <v/>
      </c>
      <c r="J26" s="29" t="e">
        <f>IF(B26="",#N/A,IF(OR(EXACT("dimanche",$B26),EXACT("samedi",$B26)),#N/A,$C$9*$A26*'CA Jour'!$Y$7))</f>
        <v>#N/A</v>
      </c>
      <c r="K26" s="31">
        <f ca="1">OFFSET(N!$K$3,(DAY($C26)-1),($C$4-1)*20)</f>
        <v>0</v>
      </c>
      <c r="L26" s="34" t="str">
        <f t="shared" ca="1" si="6"/>
        <v/>
      </c>
      <c r="M26" s="29" t="e">
        <f>IF(B26="",#N/A,IF(OR(EXACT("dimanche",$B26),EXACT("samedi",$B26)),#N/A,$C$9*$A26*'CA Jour'!$Y$8))</f>
        <v>#N/A</v>
      </c>
      <c r="N26" s="31">
        <f ca="1">OFFSET(N!$O$3,(DAY($C26)-1),($C$4-1)*20)</f>
        <v>0</v>
      </c>
      <c r="O26" s="34" t="str">
        <f t="shared" ca="1" si="7"/>
        <v/>
      </c>
      <c r="P26" s="26"/>
      <c r="Q26" s="25"/>
      <c r="R26" s="34" t="str">
        <f t="shared" si="8"/>
        <v/>
      </c>
      <c r="S26" s="161" t="e">
        <f t="shared" si="9"/>
        <v>#N/A</v>
      </c>
      <c r="T26" s="158">
        <f t="shared" ca="1" si="1"/>
        <v>0</v>
      </c>
      <c r="U26" s="34" t="str">
        <f t="shared" ca="1" si="10"/>
        <v/>
      </c>
    </row>
    <row r="27" spans="1:21" s="1" customFormat="1" ht="10" customHeight="1">
      <c r="A27" s="23">
        <f t="shared" si="0"/>
        <v>11</v>
      </c>
      <c r="B27" s="13" t="str">
        <f t="shared" si="2"/>
        <v>lundi</v>
      </c>
      <c r="C27" s="16">
        <f t="shared" si="3"/>
        <v>42233</v>
      </c>
      <c r="D27" s="29">
        <f>IF(B27="",#N/A,IF(OR(EXACT("dimanche",$B27),EXACT("samedi",$B27)),#N/A,$C$9*$A27*'CA Jour'!$Y$5))</f>
        <v>300.14285714285711</v>
      </c>
      <c r="E27" s="25">
        <f ca="1">OFFSET(N!$G$3,(DAY($C27)-1),($C$4-1)*20)</f>
        <v>0</v>
      </c>
      <c r="F27" s="33" t="str">
        <f t="shared" ca="1" si="4"/>
        <v/>
      </c>
      <c r="G27" s="29">
        <f>IF(B27="",#N/A,IF(OR(EXACT("dimanche",$B27),EXACT("samedi",$B27)),#N/A,$C$9*$A27*'CA Jour'!$Y$6))</f>
        <v>50.023809523809526</v>
      </c>
      <c r="H27" s="31">
        <f ca="1">OFFSET(N!$C$3,(DAY($C27)-1),($C$4-1)*20)</f>
        <v>0</v>
      </c>
      <c r="I27" s="34" t="str">
        <f t="shared" ca="1" si="5"/>
        <v/>
      </c>
      <c r="J27" s="29">
        <f>IF(B27="",#N/A,IF(OR(EXACT("dimanche",$B27),EXACT("samedi",$B27)),#N/A,$C$9*$A27*'CA Jour'!$Y$7))</f>
        <v>340.16190476190479</v>
      </c>
      <c r="K27" s="31">
        <f ca="1">OFFSET(N!$K$3,(DAY($C27)-1),($C$4-1)*20)</f>
        <v>0</v>
      </c>
      <c r="L27" s="34" t="str">
        <f t="shared" ca="1" si="6"/>
        <v/>
      </c>
      <c r="M27" s="29">
        <f>IF(B27="",#N/A,IF(OR(EXACT("dimanche",$B27),EXACT("samedi",$B27)),#N/A,$C$9*$A27*'CA Jour'!$Y$8))</f>
        <v>320.15238095238095</v>
      </c>
      <c r="N27" s="31">
        <f ca="1">OFFSET(N!$O$3,(DAY($C27)-1),($C$4-1)*20)</f>
        <v>0</v>
      </c>
      <c r="O27" s="34" t="str">
        <f t="shared" ca="1" si="7"/>
        <v/>
      </c>
      <c r="P27" s="26"/>
      <c r="Q27" s="25"/>
      <c r="R27" s="34" t="str">
        <f t="shared" si="8"/>
        <v/>
      </c>
      <c r="S27" s="161">
        <f t="shared" si="9"/>
        <v>1010.4809523809524</v>
      </c>
      <c r="T27" s="158">
        <f t="shared" ca="1" si="1"/>
        <v>0</v>
      </c>
      <c r="U27" s="34" t="str">
        <f t="shared" ca="1" si="10"/>
        <v/>
      </c>
    </row>
    <row r="28" spans="1:21" s="1" customFormat="1" ht="10" customHeight="1">
      <c r="A28" s="23">
        <f t="shared" si="0"/>
        <v>12</v>
      </c>
      <c r="B28" s="13" t="str">
        <f t="shared" si="2"/>
        <v>mardi</v>
      </c>
      <c r="C28" s="16">
        <f t="shared" si="3"/>
        <v>42234</v>
      </c>
      <c r="D28" s="29">
        <f>IF(B28="",#N/A,IF(OR(EXACT("dimanche",$B28),EXACT("samedi",$B28)),#N/A,$C$9*$A28*'CA Jour'!$Y$5))</f>
        <v>327.42857142857139</v>
      </c>
      <c r="E28" s="25">
        <f ca="1">OFFSET(N!$G$3,(DAY($C28)-1),($C$4-1)*20)</f>
        <v>0</v>
      </c>
      <c r="F28" s="33" t="str">
        <f t="shared" ca="1" si="4"/>
        <v/>
      </c>
      <c r="G28" s="29">
        <f>IF(B28="",#N/A,IF(OR(EXACT("dimanche",$B28),EXACT("samedi",$B28)),#N/A,$C$9*$A28*'CA Jour'!$Y$6))</f>
        <v>54.571428571428569</v>
      </c>
      <c r="H28" s="31">
        <f ca="1">OFFSET(N!$C$3,(DAY($C28)-1),($C$4-1)*20)</f>
        <v>0</v>
      </c>
      <c r="I28" s="34" t="str">
        <f t="shared" ca="1" si="5"/>
        <v/>
      </c>
      <c r="J28" s="29">
        <f>IF(B28="",#N/A,IF(OR(EXACT("dimanche",$B28),EXACT("samedi",$B28)),#N/A,$C$9*$A28*'CA Jour'!$Y$7))</f>
        <v>371.08571428571429</v>
      </c>
      <c r="K28" s="31">
        <f ca="1">OFFSET(N!$K$3,(DAY($C28)-1),($C$4-1)*20)</f>
        <v>0</v>
      </c>
      <c r="L28" s="34" t="str">
        <f t="shared" ca="1" si="6"/>
        <v/>
      </c>
      <c r="M28" s="29">
        <f>IF(B28="",#N/A,IF(OR(EXACT("dimanche",$B28),EXACT("samedi",$B28)),#N/A,$C$9*$A28*'CA Jour'!$Y$8))</f>
        <v>349.25714285714281</v>
      </c>
      <c r="N28" s="31">
        <f ca="1">OFFSET(N!$O$3,(DAY($C28)-1),($C$4-1)*20)</f>
        <v>0</v>
      </c>
      <c r="O28" s="34" t="str">
        <f t="shared" ca="1" si="7"/>
        <v/>
      </c>
      <c r="P28" s="26"/>
      <c r="Q28" s="25"/>
      <c r="R28" s="34" t="str">
        <f t="shared" si="8"/>
        <v/>
      </c>
      <c r="S28" s="161">
        <f t="shared" si="9"/>
        <v>1102.3428571428569</v>
      </c>
      <c r="T28" s="158">
        <f t="shared" ca="1" si="1"/>
        <v>0</v>
      </c>
      <c r="U28" s="34" t="str">
        <f t="shared" ca="1" si="10"/>
        <v/>
      </c>
    </row>
    <row r="29" spans="1:21" s="1" customFormat="1" ht="10" customHeight="1">
      <c r="A29" s="23">
        <f t="shared" si="0"/>
        <v>13</v>
      </c>
      <c r="B29" s="13" t="str">
        <f t="shared" si="2"/>
        <v>mercredi</v>
      </c>
      <c r="C29" s="16">
        <f t="shared" si="3"/>
        <v>42235</v>
      </c>
      <c r="D29" s="29">
        <f>IF(B29="",#N/A,IF(OR(EXACT("dimanche",$B29),EXACT("samedi",$B29)),#N/A,$C$9*$A29*'CA Jour'!$Y$5))</f>
        <v>354.71428571428567</v>
      </c>
      <c r="E29" s="25">
        <f ca="1">OFFSET(N!$G$3,(DAY($C29)-1),($C$4-1)*20)</f>
        <v>0</v>
      </c>
      <c r="F29" s="33" t="str">
        <f t="shared" ca="1" si="4"/>
        <v/>
      </c>
      <c r="G29" s="29">
        <f>IF(B29="",#N/A,IF(OR(EXACT("dimanche",$B29),EXACT("samedi",$B29)),#N/A,$C$9*$A29*'CA Jour'!$Y$6))</f>
        <v>59.11904761904762</v>
      </c>
      <c r="H29" s="31">
        <f ca="1">OFFSET(N!$C$3,(DAY($C29)-1),($C$4-1)*20)</f>
        <v>0</v>
      </c>
      <c r="I29" s="34" t="str">
        <f t="shared" ca="1" si="5"/>
        <v/>
      </c>
      <c r="J29" s="29">
        <f>IF(B29="",#N/A,IF(OR(EXACT("dimanche",$B29),EXACT("samedi",$B29)),#N/A,$C$9*$A29*'CA Jour'!$Y$7))</f>
        <v>402.00952380952378</v>
      </c>
      <c r="K29" s="31">
        <f ca="1">OFFSET(N!$K$3,(DAY($C29)-1),($C$4-1)*20)</f>
        <v>0</v>
      </c>
      <c r="L29" s="34" t="str">
        <f t="shared" ca="1" si="6"/>
        <v/>
      </c>
      <c r="M29" s="29">
        <f>IF(B29="",#N/A,IF(OR(EXACT("dimanche",$B29),EXACT("samedi",$B29)),#N/A,$C$9*$A29*'CA Jour'!$Y$8))</f>
        <v>378.36190476190473</v>
      </c>
      <c r="N29" s="31">
        <f ca="1">OFFSET(N!$O$3,(DAY($C29)-1),($C$4-1)*20)</f>
        <v>0</v>
      </c>
      <c r="O29" s="34" t="str">
        <f t="shared" ca="1" si="7"/>
        <v/>
      </c>
      <c r="P29" s="26"/>
      <c r="Q29" s="25"/>
      <c r="R29" s="34" t="str">
        <f t="shared" si="8"/>
        <v/>
      </c>
      <c r="S29" s="161">
        <f t="shared" si="9"/>
        <v>1194.2047619047617</v>
      </c>
      <c r="T29" s="158">
        <f t="shared" ca="1" si="1"/>
        <v>0</v>
      </c>
      <c r="U29" s="34" t="str">
        <f t="shared" ca="1" si="10"/>
        <v/>
      </c>
    </row>
    <row r="30" spans="1:21" s="1" customFormat="1" ht="10" customHeight="1">
      <c r="A30" s="23">
        <f t="shared" si="0"/>
        <v>14</v>
      </c>
      <c r="B30" s="13" t="str">
        <f t="shared" si="2"/>
        <v>jeudi</v>
      </c>
      <c r="C30" s="16">
        <f t="shared" si="3"/>
        <v>42236</v>
      </c>
      <c r="D30" s="29">
        <f>IF(B30="",#N/A,IF(OR(EXACT("dimanche",$B30),EXACT("samedi",$B30)),#N/A,$C$9*$A30*'CA Jour'!$Y$5))</f>
        <v>381.99999999999994</v>
      </c>
      <c r="E30" s="25">
        <f ca="1">OFFSET(N!$G$3,(DAY($C30)-1),($C$4-1)*20)</f>
        <v>0</v>
      </c>
      <c r="F30" s="33" t="str">
        <f t="shared" ca="1" si="4"/>
        <v/>
      </c>
      <c r="G30" s="29">
        <f>IF(B30="",#N/A,IF(OR(EXACT("dimanche",$B30),EXACT("samedi",$B30)),#N/A,$C$9*$A30*'CA Jour'!$Y$6))</f>
        <v>63.666666666666664</v>
      </c>
      <c r="H30" s="31">
        <f ca="1">OFFSET(N!$C$3,(DAY($C30)-1),($C$4-1)*20)</f>
        <v>0</v>
      </c>
      <c r="I30" s="34" t="str">
        <f t="shared" ca="1" si="5"/>
        <v/>
      </c>
      <c r="J30" s="29">
        <f>IF(B30="",#N/A,IF(OR(EXACT("dimanche",$B30),EXACT("samedi",$B30)),#N/A,$C$9*$A30*'CA Jour'!$Y$7))</f>
        <v>432.93333333333334</v>
      </c>
      <c r="K30" s="31">
        <f ca="1">OFFSET(N!$K$3,(DAY($C30)-1),($C$4-1)*20)</f>
        <v>0</v>
      </c>
      <c r="L30" s="34" t="str">
        <f t="shared" ca="1" si="6"/>
        <v/>
      </c>
      <c r="M30" s="29">
        <f>IF(B30="",#N/A,IF(OR(EXACT("dimanche",$B30),EXACT("samedi",$B30)),#N/A,$C$9*$A30*'CA Jour'!$Y$8))</f>
        <v>407.46666666666664</v>
      </c>
      <c r="N30" s="31">
        <f ca="1">OFFSET(N!$O$3,(DAY($C30)-1),($C$4-1)*20)</f>
        <v>0</v>
      </c>
      <c r="O30" s="34" t="str">
        <f t="shared" ca="1" si="7"/>
        <v/>
      </c>
      <c r="P30" s="26"/>
      <c r="Q30" s="25"/>
      <c r="R30" s="34" t="str">
        <f t="shared" si="8"/>
        <v/>
      </c>
      <c r="S30" s="161">
        <f t="shared" si="9"/>
        <v>1286.0666666666666</v>
      </c>
      <c r="T30" s="158">
        <f t="shared" ca="1" si="1"/>
        <v>0</v>
      </c>
      <c r="U30" s="34" t="str">
        <f t="shared" ca="1" si="10"/>
        <v/>
      </c>
    </row>
    <row r="31" spans="1:21" s="1" customFormat="1" ht="10" customHeight="1">
      <c r="A31" s="23">
        <f t="shared" si="0"/>
        <v>15</v>
      </c>
      <c r="B31" s="13" t="str">
        <f t="shared" si="2"/>
        <v>vendredi</v>
      </c>
      <c r="C31" s="16">
        <f t="shared" si="3"/>
        <v>42237</v>
      </c>
      <c r="D31" s="29">
        <f>IF(B31="",#N/A,IF(OR(EXACT("dimanche",$B31),EXACT("samedi",$B31)),#N/A,$C$9*$A31*'CA Jour'!$Y$5))</f>
        <v>409.28571428571428</v>
      </c>
      <c r="E31" s="25">
        <f ca="1">OFFSET(N!$G$3,(DAY($C31)-1),($C$4-1)*20)</f>
        <v>0</v>
      </c>
      <c r="F31" s="33" t="str">
        <f t="shared" ca="1" si="4"/>
        <v/>
      </c>
      <c r="G31" s="29">
        <f>IF(B31="",#N/A,IF(OR(EXACT("dimanche",$B31),EXACT("samedi",$B31)),#N/A,$C$9*$A31*'CA Jour'!$Y$6))</f>
        <v>68.214285714285708</v>
      </c>
      <c r="H31" s="31">
        <f ca="1">OFFSET(N!$C$3,(DAY($C31)-1),($C$4-1)*20)</f>
        <v>0</v>
      </c>
      <c r="I31" s="34" t="str">
        <f t="shared" ca="1" si="5"/>
        <v/>
      </c>
      <c r="J31" s="29">
        <f>IF(B31="",#N/A,IF(OR(EXACT("dimanche",$B31),EXACT("samedi",$B31)),#N/A,$C$9*$A31*'CA Jour'!$Y$7))</f>
        <v>463.85714285714289</v>
      </c>
      <c r="K31" s="31">
        <f ca="1">OFFSET(N!$K$3,(DAY($C31)-1),($C$4-1)*20)</f>
        <v>0</v>
      </c>
      <c r="L31" s="34" t="str">
        <f t="shared" ca="1" si="6"/>
        <v/>
      </c>
      <c r="M31" s="29">
        <f>IF(B31="",#N/A,IF(OR(EXACT("dimanche",$B31),EXACT("samedi",$B31)),#N/A,$C$9*$A31*'CA Jour'!$Y$8))</f>
        <v>436.57142857142856</v>
      </c>
      <c r="N31" s="31">
        <f ca="1">OFFSET(N!$O$3,(DAY($C31)-1),($C$4-1)*20)</f>
        <v>0</v>
      </c>
      <c r="O31" s="34" t="str">
        <f t="shared" ca="1" si="7"/>
        <v/>
      </c>
      <c r="P31" s="26"/>
      <c r="Q31" s="25"/>
      <c r="R31" s="34" t="str">
        <f t="shared" si="8"/>
        <v/>
      </c>
      <c r="S31" s="161">
        <f t="shared" si="9"/>
        <v>1377.9285714285716</v>
      </c>
      <c r="T31" s="158">
        <f t="shared" ca="1" si="1"/>
        <v>0</v>
      </c>
      <c r="U31" s="34" t="str">
        <f t="shared" ca="1" si="10"/>
        <v/>
      </c>
    </row>
    <row r="32" spans="1:21" s="1" customFormat="1" ht="10" customHeight="1">
      <c r="A32" s="23">
        <f t="shared" si="0"/>
        <v>15</v>
      </c>
      <c r="B32" s="13" t="str">
        <f t="shared" si="2"/>
        <v>samedi</v>
      </c>
      <c r="C32" s="16">
        <f t="shared" si="3"/>
        <v>42238</v>
      </c>
      <c r="D32" s="29" t="e">
        <f>IF(B32="",#N/A,IF(OR(EXACT("dimanche",$B32),EXACT("samedi",$B32)),#N/A,$C$9*$A32*'CA Jour'!$Y$5))</f>
        <v>#N/A</v>
      </c>
      <c r="E32" s="25">
        <f ca="1">OFFSET(N!$G$3,(DAY($C32)-1),($C$4-1)*20)</f>
        <v>0</v>
      </c>
      <c r="F32" s="33" t="str">
        <f t="shared" ca="1" si="4"/>
        <v/>
      </c>
      <c r="G32" s="29" t="e">
        <f>IF(B32="",#N/A,IF(OR(EXACT("dimanche",$B32),EXACT("samedi",$B32)),#N/A,$C$9*$A32*'CA Jour'!$Y$6))</f>
        <v>#N/A</v>
      </c>
      <c r="H32" s="31">
        <f ca="1">OFFSET(N!$C$3,(DAY($C32)-1),($C$4-1)*20)</f>
        <v>0</v>
      </c>
      <c r="I32" s="34" t="str">
        <f t="shared" ca="1" si="5"/>
        <v/>
      </c>
      <c r="J32" s="29" t="e">
        <f>IF(B32="",#N/A,IF(OR(EXACT("dimanche",$B32),EXACT("samedi",$B32)),#N/A,$C$9*$A32*'CA Jour'!$Y$7))</f>
        <v>#N/A</v>
      </c>
      <c r="K32" s="31">
        <f ca="1">OFFSET(N!$K$3,(DAY($C32)-1),($C$4-1)*20)</f>
        <v>0</v>
      </c>
      <c r="L32" s="34" t="str">
        <f t="shared" ca="1" si="6"/>
        <v/>
      </c>
      <c r="M32" s="29" t="e">
        <f>IF(B32="",#N/A,IF(OR(EXACT("dimanche",$B32),EXACT("samedi",$B32)),#N/A,$C$9*$A32*'CA Jour'!$Y$8))</f>
        <v>#N/A</v>
      </c>
      <c r="N32" s="31">
        <f ca="1">OFFSET(N!$O$3,(DAY($C32)-1),($C$4-1)*20)</f>
        <v>0</v>
      </c>
      <c r="O32" s="34" t="str">
        <f t="shared" ca="1" si="7"/>
        <v/>
      </c>
      <c r="P32" s="26"/>
      <c r="Q32" s="25"/>
      <c r="R32" s="34" t="str">
        <f t="shared" si="8"/>
        <v/>
      </c>
      <c r="S32" s="161" t="e">
        <f t="shared" si="9"/>
        <v>#N/A</v>
      </c>
      <c r="T32" s="158">
        <f t="shared" ca="1" si="1"/>
        <v>0</v>
      </c>
      <c r="U32" s="34" t="str">
        <f t="shared" ca="1" si="10"/>
        <v/>
      </c>
    </row>
    <row r="33" spans="1:21" s="1" customFormat="1" ht="10" customHeight="1">
      <c r="A33" s="23">
        <f t="shared" si="0"/>
        <v>15</v>
      </c>
      <c r="B33" s="13" t="str">
        <f t="shared" si="2"/>
        <v>dimanche</v>
      </c>
      <c r="C33" s="16">
        <f t="shared" si="3"/>
        <v>42239</v>
      </c>
      <c r="D33" s="29" t="e">
        <f>IF(B33="",#N/A,IF(OR(EXACT("dimanche",$B33),EXACT("samedi",$B33)),#N/A,$C$9*$A33*'CA Jour'!$Y$5))</f>
        <v>#N/A</v>
      </c>
      <c r="E33" s="25">
        <f ca="1">OFFSET(N!$G$3,(DAY($C33)-1),($C$4-1)*20)</f>
        <v>0</v>
      </c>
      <c r="F33" s="33" t="str">
        <f t="shared" ca="1" si="4"/>
        <v/>
      </c>
      <c r="G33" s="29" t="e">
        <f>IF(B33="",#N/A,IF(OR(EXACT("dimanche",$B33),EXACT("samedi",$B33)),#N/A,$C$9*$A33*'CA Jour'!$Y$6))</f>
        <v>#N/A</v>
      </c>
      <c r="H33" s="31">
        <f ca="1">OFFSET(N!$C$3,(DAY($C33)-1),($C$4-1)*20)</f>
        <v>0</v>
      </c>
      <c r="I33" s="34" t="str">
        <f t="shared" ca="1" si="5"/>
        <v/>
      </c>
      <c r="J33" s="29" t="e">
        <f>IF(B33="",#N/A,IF(OR(EXACT("dimanche",$B33),EXACT("samedi",$B33)),#N/A,$C$9*$A33*'CA Jour'!$Y$7))</f>
        <v>#N/A</v>
      </c>
      <c r="K33" s="31">
        <f ca="1">OFFSET(N!$K$3,(DAY($C33)-1),($C$4-1)*20)</f>
        <v>0</v>
      </c>
      <c r="L33" s="34" t="str">
        <f t="shared" ca="1" si="6"/>
        <v/>
      </c>
      <c r="M33" s="29" t="e">
        <f>IF(B33="",#N/A,IF(OR(EXACT("dimanche",$B33),EXACT("samedi",$B33)),#N/A,$C$9*$A33*'CA Jour'!$Y$8))</f>
        <v>#N/A</v>
      </c>
      <c r="N33" s="31">
        <f ca="1">OFFSET(N!$O$3,(DAY($C33)-1),($C$4-1)*20)</f>
        <v>0</v>
      </c>
      <c r="O33" s="34" t="str">
        <f t="shared" ca="1" si="7"/>
        <v/>
      </c>
      <c r="P33" s="26"/>
      <c r="Q33" s="25"/>
      <c r="R33" s="34" t="str">
        <f t="shared" si="8"/>
        <v/>
      </c>
      <c r="S33" s="161" t="e">
        <f t="shared" si="9"/>
        <v>#N/A</v>
      </c>
      <c r="T33" s="158">
        <f t="shared" ca="1" si="1"/>
        <v>0</v>
      </c>
      <c r="U33" s="34" t="str">
        <f t="shared" ca="1" si="10"/>
        <v/>
      </c>
    </row>
    <row r="34" spans="1:21" s="1" customFormat="1" ht="10" customHeight="1">
      <c r="A34" s="23">
        <f t="shared" si="0"/>
        <v>16</v>
      </c>
      <c r="B34" s="13" t="str">
        <f t="shared" si="2"/>
        <v>lundi</v>
      </c>
      <c r="C34" s="16">
        <f t="shared" si="3"/>
        <v>42240</v>
      </c>
      <c r="D34" s="29">
        <f>IF(B34="",#N/A,IF(OR(EXACT("dimanche",$B34),EXACT("samedi",$B34)),#N/A,$C$9*$A34*'CA Jour'!$Y$5))</f>
        <v>436.57142857142856</v>
      </c>
      <c r="E34" s="25">
        <f ca="1">OFFSET(N!$G$3,(DAY($C34)-1),($C$4-1)*20)</f>
        <v>0</v>
      </c>
      <c r="F34" s="33" t="str">
        <f t="shared" ca="1" si="4"/>
        <v/>
      </c>
      <c r="G34" s="29">
        <f>IF(B34="",#N/A,IF(OR(EXACT("dimanche",$B34),EXACT("samedi",$B34)),#N/A,$C$9*$A34*'CA Jour'!$Y$6))</f>
        <v>72.761904761904759</v>
      </c>
      <c r="H34" s="31">
        <f ca="1">OFFSET(N!$C$3,(DAY($C34)-1),($C$4-1)*20)</f>
        <v>0</v>
      </c>
      <c r="I34" s="34" t="str">
        <f t="shared" ca="1" si="5"/>
        <v/>
      </c>
      <c r="J34" s="29">
        <f>IF(B34="",#N/A,IF(OR(EXACT("dimanche",$B34),EXACT("samedi",$B34)),#N/A,$C$9*$A34*'CA Jour'!$Y$7))</f>
        <v>494.78095238095239</v>
      </c>
      <c r="K34" s="31">
        <f ca="1">OFFSET(N!$K$3,(DAY($C34)-1),($C$4-1)*20)</f>
        <v>0</v>
      </c>
      <c r="L34" s="34" t="str">
        <f t="shared" ca="1" si="6"/>
        <v/>
      </c>
      <c r="M34" s="29">
        <f>IF(B34="",#N/A,IF(OR(EXACT("dimanche",$B34),EXACT("samedi",$B34)),#N/A,$C$9*$A34*'CA Jour'!$Y$8))</f>
        <v>465.67619047619047</v>
      </c>
      <c r="N34" s="31">
        <f ca="1">OFFSET(N!$O$3,(DAY($C34)-1),($C$4-1)*20)</f>
        <v>0</v>
      </c>
      <c r="O34" s="34" t="str">
        <f t="shared" ca="1" si="7"/>
        <v/>
      </c>
      <c r="P34" s="26"/>
      <c r="Q34" s="25"/>
      <c r="R34" s="34" t="str">
        <f t="shared" si="8"/>
        <v/>
      </c>
      <c r="S34" s="161">
        <f t="shared" si="9"/>
        <v>1469.7904761904761</v>
      </c>
      <c r="T34" s="158">
        <f t="shared" ca="1" si="1"/>
        <v>0</v>
      </c>
      <c r="U34" s="34" t="str">
        <f t="shared" ca="1" si="10"/>
        <v/>
      </c>
    </row>
    <row r="35" spans="1:21" s="1" customFormat="1" ht="10" customHeight="1">
      <c r="A35" s="23">
        <f t="shared" si="0"/>
        <v>17</v>
      </c>
      <c r="B35" s="13" t="str">
        <f t="shared" si="2"/>
        <v>mardi</v>
      </c>
      <c r="C35" s="16">
        <f t="shared" si="3"/>
        <v>42241</v>
      </c>
      <c r="D35" s="29">
        <f>IF(B35="",#N/A,IF(OR(EXACT("dimanche",$B35),EXACT("samedi",$B35)),#N/A,$C$9*$A35*'CA Jour'!$Y$5))</f>
        <v>463.85714285714283</v>
      </c>
      <c r="E35" s="25">
        <f ca="1">OFFSET(N!$G$3,(DAY($C35)-1),($C$4-1)*20)</f>
        <v>0</v>
      </c>
      <c r="F35" s="33" t="str">
        <f t="shared" ca="1" si="4"/>
        <v/>
      </c>
      <c r="G35" s="29">
        <f>IF(B35="",#N/A,IF(OR(EXACT("dimanche",$B35),EXACT("samedi",$B35)),#N/A,$C$9*$A35*'CA Jour'!$Y$6))</f>
        <v>77.30952380952381</v>
      </c>
      <c r="H35" s="31">
        <f ca="1">OFFSET(N!$C$3,(DAY($C35)-1),($C$4-1)*20)</f>
        <v>0</v>
      </c>
      <c r="I35" s="34" t="str">
        <f t="shared" ca="1" si="5"/>
        <v/>
      </c>
      <c r="J35" s="29">
        <f>IF(B35="",#N/A,IF(OR(EXACT("dimanche",$B35),EXACT("samedi",$B35)),#N/A,$C$9*$A35*'CA Jour'!$Y$7))</f>
        <v>525.70476190476188</v>
      </c>
      <c r="K35" s="31">
        <f ca="1">OFFSET(N!$K$3,(DAY($C35)-1),($C$4-1)*20)</f>
        <v>0</v>
      </c>
      <c r="L35" s="34" t="str">
        <f t="shared" ca="1" si="6"/>
        <v/>
      </c>
      <c r="M35" s="29">
        <f>IF(B35="",#N/A,IF(OR(EXACT("dimanche",$B35),EXACT("samedi",$B35)),#N/A,$C$9*$A35*'CA Jour'!$Y$8))</f>
        <v>494.78095238095239</v>
      </c>
      <c r="N35" s="31">
        <f ca="1">OFFSET(N!$O$3,(DAY($C35)-1),($C$4-1)*20)</f>
        <v>0</v>
      </c>
      <c r="O35" s="34" t="str">
        <f t="shared" ca="1" si="7"/>
        <v/>
      </c>
      <c r="P35" s="26"/>
      <c r="Q35" s="25"/>
      <c r="R35" s="34" t="str">
        <f t="shared" si="8"/>
        <v/>
      </c>
      <c r="S35" s="161">
        <f t="shared" si="9"/>
        <v>1561.652380952381</v>
      </c>
      <c r="T35" s="158">
        <f t="shared" ca="1" si="1"/>
        <v>0</v>
      </c>
      <c r="U35" s="34" t="str">
        <f t="shared" ca="1" si="10"/>
        <v/>
      </c>
    </row>
    <row r="36" spans="1:21" s="1" customFormat="1" ht="10" customHeight="1">
      <c r="A36" s="23">
        <f t="shared" si="0"/>
        <v>18</v>
      </c>
      <c r="B36" s="13" t="str">
        <f t="shared" si="2"/>
        <v>mercredi</v>
      </c>
      <c r="C36" s="16">
        <f t="shared" si="3"/>
        <v>42242</v>
      </c>
      <c r="D36" s="29">
        <f>IF(B36="",#N/A,IF(OR(EXACT("dimanche",$B36),EXACT("samedi",$B36)),#N/A,$C$9*$A36*'CA Jour'!$Y$5))</f>
        <v>491.14285714285711</v>
      </c>
      <c r="E36" s="25">
        <f ca="1">OFFSET(N!$G$3,(DAY($C36)-1),($C$4-1)*20)</f>
        <v>0</v>
      </c>
      <c r="F36" s="33" t="str">
        <f t="shared" ca="1" si="4"/>
        <v/>
      </c>
      <c r="G36" s="29">
        <f>IF(B36="",#N/A,IF(OR(EXACT("dimanche",$B36),EXACT("samedi",$B36)),#N/A,$C$9*$A36*'CA Jour'!$Y$6))</f>
        <v>81.857142857142861</v>
      </c>
      <c r="H36" s="31">
        <f ca="1">OFFSET(N!$C$3,(DAY($C36)-1),($C$4-1)*20)</f>
        <v>0</v>
      </c>
      <c r="I36" s="34" t="str">
        <f t="shared" ca="1" si="5"/>
        <v/>
      </c>
      <c r="J36" s="29">
        <f>IF(B36="",#N/A,IF(OR(EXACT("dimanche",$B36),EXACT("samedi",$B36)),#N/A,$C$9*$A36*'CA Jour'!$Y$7))</f>
        <v>556.62857142857149</v>
      </c>
      <c r="K36" s="31">
        <f ca="1">OFFSET(N!$K$3,(DAY($C36)-1),($C$4-1)*20)</f>
        <v>0</v>
      </c>
      <c r="L36" s="34" t="str">
        <f t="shared" ca="1" si="6"/>
        <v/>
      </c>
      <c r="M36" s="29">
        <f>IF(B36="",#N/A,IF(OR(EXACT("dimanche",$B36),EXACT("samedi",$B36)),#N/A,$C$9*$A36*'CA Jour'!$Y$8))</f>
        <v>523.88571428571424</v>
      </c>
      <c r="N36" s="31">
        <f ca="1">OFFSET(N!$O$3,(DAY($C36)-1),($C$4-1)*20)</f>
        <v>0</v>
      </c>
      <c r="O36" s="34" t="str">
        <f t="shared" ca="1" si="7"/>
        <v/>
      </c>
      <c r="P36" s="26"/>
      <c r="Q36" s="25"/>
      <c r="R36" s="34" t="str">
        <f t="shared" si="8"/>
        <v/>
      </c>
      <c r="S36" s="161">
        <f t="shared" si="9"/>
        <v>1653.5142857142855</v>
      </c>
      <c r="T36" s="158">
        <f t="shared" ca="1" si="1"/>
        <v>0</v>
      </c>
      <c r="U36" s="34" t="str">
        <f t="shared" ca="1" si="10"/>
        <v/>
      </c>
    </row>
    <row r="37" spans="1:21" s="1" customFormat="1" ht="10" customHeight="1">
      <c r="A37" s="23">
        <f t="shared" si="0"/>
        <v>19</v>
      </c>
      <c r="B37" s="13" t="str">
        <f t="shared" si="2"/>
        <v>jeudi</v>
      </c>
      <c r="C37" s="16">
        <f t="shared" si="3"/>
        <v>42243</v>
      </c>
      <c r="D37" s="29">
        <f>IF(B37="",#N/A,IF(OR(EXACT("dimanche",$B37),EXACT("samedi",$B37)),#N/A,$C$9*$A37*'CA Jour'!$Y$5))</f>
        <v>518.42857142857144</v>
      </c>
      <c r="E37" s="25">
        <f ca="1">OFFSET(N!$G$3,(DAY($C37)-1),($C$4-1)*20)</f>
        <v>0</v>
      </c>
      <c r="F37" s="33" t="str">
        <f t="shared" ca="1" si="4"/>
        <v/>
      </c>
      <c r="G37" s="29">
        <f>IF(B37="",#N/A,IF(OR(EXACT("dimanche",$B37),EXACT("samedi",$B37)),#N/A,$C$9*$A37*'CA Jour'!$Y$6))</f>
        <v>86.404761904761912</v>
      </c>
      <c r="H37" s="31">
        <f ca="1">OFFSET(N!$C$3,(DAY($C37)-1),($C$4-1)*20)</f>
        <v>0</v>
      </c>
      <c r="I37" s="34" t="str">
        <f t="shared" ca="1" si="5"/>
        <v/>
      </c>
      <c r="J37" s="29">
        <f>IF(B37="",#N/A,IF(OR(EXACT("dimanche",$B37),EXACT("samedi",$B37)),#N/A,$C$9*$A37*'CA Jour'!$Y$7))</f>
        <v>587.55238095238099</v>
      </c>
      <c r="K37" s="31">
        <f ca="1">OFFSET(N!$K$3,(DAY($C37)-1),($C$4-1)*20)</f>
        <v>0</v>
      </c>
      <c r="L37" s="34" t="str">
        <f t="shared" ca="1" si="6"/>
        <v/>
      </c>
      <c r="M37" s="29">
        <f>IF(B37="",#N/A,IF(OR(EXACT("dimanche",$B37),EXACT("samedi",$B37)),#N/A,$C$9*$A37*'CA Jour'!$Y$8))</f>
        <v>552.99047619047622</v>
      </c>
      <c r="N37" s="31">
        <f ca="1">OFFSET(N!$O$3,(DAY($C37)-1),($C$4-1)*20)</f>
        <v>0</v>
      </c>
      <c r="O37" s="34" t="str">
        <f t="shared" ca="1" si="7"/>
        <v/>
      </c>
      <c r="P37" s="26"/>
      <c r="Q37" s="25"/>
      <c r="R37" s="34" t="str">
        <f t="shared" si="8"/>
        <v/>
      </c>
      <c r="S37" s="161">
        <f t="shared" si="9"/>
        <v>1745.3761904761905</v>
      </c>
      <c r="T37" s="158">
        <f t="shared" ca="1" si="1"/>
        <v>0</v>
      </c>
      <c r="U37" s="34" t="str">
        <f t="shared" ca="1" si="10"/>
        <v/>
      </c>
    </row>
    <row r="38" spans="1:21" s="1" customFormat="1" ht="10" customHeight="1">
      <c r="A38" s="23">
        <f t="shared" si="0"/>
        <v>20</v>
      </c>
      <c r="B38" s="13" t="str">
        <f t="shared" si="2"/>
        <v>vendredi</v>
      </c>
      <c r="C38" s="16">
        <f t="shared" si="3"/>
        <v>42244</v>
      </c>
      <c r="D38" s="29">
        <f>IF(B38="",#N/A,IF(OR(EXACT("dimanche",$B38),EXACT("samedi",$B38)),#N/A,$C$9*$A38*'CA Jour'!$Y$5))</f>
        <v>545.71428571428567</v>
      </c>
      <c r="E38" s="25">
        <f ca="1">OFFSET(N!$G$3,(DAY($C38)-1),($C$4-1)*20)</f>
        <v>0</v>
      </c>
      <c r="F38" s="33" t="str">
        <f t="shared" ca="1" si="4"/>
        <v/>
      </c>
      <c r="G38" s="29">
        <f>IF(B38="",#N/A,IF(OR(EXACT("dimanche",$B38),EXACT("samedi",$B38)),#N/A,$C$9*$A38*'CA Jour'!$Y$6))</f>
        <v>90.952380952380963</v>
      </c>
      <c r="H38" s="31">
        <f ca="1">OFFSET(N!$C$3,(DAY($C38)-1),($C$4-1)*20)</f>
        <v>0</v>
      </c>
      <c r="I38" s="34" t="str">
        <f t="shared" ca="1" si="5"/>
        <v/>
      </c>
      <c r="J38" s="29">
        <f>IF(B38="",#N/A,IF(OR(EXACT("dimanche",$B38),EXACT("samedi",$B38)),#N/A,$C$9*$A38*'CA Jour'!$Y$7))</f>
        <v>618.47619047619048</v>
      </c>
      <c r="K38" s="31">
        <f ca="1">OFFSET(N!$K$3,(DAY($C38)-1),($C$4-1)*20)</f>
        <v>0</v>
      </c>
      <c r="L38" s="34" t="str">
        <f t="shared" ca="1" si="6"/>
        <v/>
      </c>
      <c r="M38" s="29">
        <f>IF(B38="",#N/A,IF(OR(EXACT("dimanche",$B38),EXACT("samedi",$B38)),#N/A,$C$9*$A38*'CA Jour'!$Y$8))</f>
        <v>582.09523809523807</v>
      </c>
      <c r="N38" s="31">
        <f ca="1">OFFSET(N!$O$3,(DAY($C38)-1),($C$4-1)*20)</f>
        <v>0</v>
      </c>
      <c r="O38" s="34" t="str">
        <f t="shared" ca="1" si="7"/>
        <v/>
      </c>
      <c r="P38" s="26"/>
      <c r="Q38" s="25"/>
      <c r="R38" s="34" t="str">
        <f t="shared" si="8"/>
        <v/>
      </c>
      <c r="S38" s="161">
        <f t="shared" si="9"/>
        <v>1837.2380952380952</v>
      </c>
      <c r="T38" s="158">
        <f t="shared" ca="1" si="1"/>
        <v>0</v>
      </c>
      <c r="U38" s="34" t="str">
        <f t="shared" ca="1" si="10"/>
        <v/>
      </c>
    </row>
    <row r="39" spans="1:21" s="1" customFormat="1" ht="10" customHeight="1">
      <c r="A39" s="23">
        <f t="shared" si="0"/>
        <v>20</v>
      </c>
      <c r="B39" s="13" t="str">
        <f t="shared" si="2"/>
        <v>samedi</v>
      </c>
      <c r="C39" s="16">
        <f t="shared" si="3"/>
        <v>42245</v>
      </c>
      <c r="D39" s="29" t="e">
        <f>IF(B39="",#N/A,IF(OR(EXACT("dimanche",$B39),EXACT("samedi",$B39)),#N/A,$C$9*$A39*'CA Jour'!$Y$5))</f>
        <v>#N/A</v>
      </c>
      <c r="E39" s="25">
        <f ca="1">OFFSET(N!$G$3,(DAY($C39)-1),($C$4-1)*20)</f>
        <v>0</v>
      </c>
      <c r="F39" s="33" t="str">
        <f t="shared" ca="1" si="4"/>
        <v/>
      </c>
      <c r="G39" s="29" t="e">
        <f>IF(B39="",#N/A,IF(OR(EXACT("dimanche",$B39),EXACT("samedi",$B39)),#N/A,$C$9*$A39*'CA Jour'!$Y$6))</f>
        <v>#N/A</v>
      </c>
      <c r="H39" s="31">
        <f ca="1">OFFSET(N!$C$3,(DAY($C39)-1),($C$4-1)*20)</f>
        <v>0</v>
      </c>
      <c r="I39" s="34" t="str">
        <f t="shared" ca="1" si="5"/>
        <v/>
      </c>
      <c r="J39" s="29" t="e">
        <f>IF(B39="",#N/A,IF(OR(EXACT("dimanche",$B39),EXACT("samedi",$B39)),#N/A,$C$9*$A39*'CA Jour'!$Y$7))</f>
        <v>#N/A</v>
      </c>
      <c r="K39" s="31">
        <f ca="1">OFFSET(N!$K$3,(DAY($C39)-1),($C$4-1)*20)</f>
        <v>0</v>
      </c>
      <c r="L39" s="34" t="str">
        <f t="shared" ca="1" si="6"/>
        <v/>
      </c>
      <c r="M39" s="29" t="e">
        <f>IF(B39="",#N/A,IF(OR(EXACT("dimanche",$B39),EXACT("samedi",$B39)),#N/A,$C$9*$A39*'CA Jour'!$Y$8))</f>
        <v>#N/A</v>
      </c>
      <c r="N39" s="31">
        <f ca="1">OFFSET(N!$O$3,(DAY($C39)-1),($C$4-1)*20)</f>
        <v>0</v>
      </c>
      <c r="O39" s="34" t="str">
        <f t="shared" ca="1" si="7"/>
        <v/>
      </c>
      <c r="P39" s="26"/>
      <c r="Q39" s="25"/>
      <c r="R39" s="34" t="str">
        <f t="shared" si="8"/>
        <v/>
      </c>
      <c r="S39" s="161" t="e">
        <f t="shared" si="9"/>
        <v>#N/A</v>
      </c>
      <c r="T39" s="158">
        <f t="shared" ca="1" si="1"/>
        <v>0</v>
      </c>
      <c r="U39" s="34" t="str">
        <f t="shared" ca="1" si="10"/>
        <v/>
      </c>
    </row>
    <row r="40" spans="1:21" s="1" customFormat="1" ht="10" customHeight="1">
      <c r="A40" s="23">
        <f t="shared" si="0"/>
        <v>20</v>
      </c>
      <c r="B40" s="13" t="str">
        <f t="shared" si="2"/>
        <v>dimanche</v>
      </c>
      <c r="C40" s="16">
        <f t="shared" si="3"/>
        <v>42246</v>
      </c>
      <c r="D40" s="29" t="e">
        <f>IF(B40="",#N/A,IF(OR(EXACT("dimanche",$B40),EXACT("samedi",$B40)),#N/A,$C$9*$A40*'CA Jour'!$Y$5))</f>
        <v>#N/A</v>
      </c>
      <c r="E40" s="25">
        <f ca="1">OFFSET(N!$G$3,(DAY($C40)-1),($C$4-1)*20)</f>
        <v>0</v>
      </c>
      <c r="F40" s="33" t="str">
        <f t="shared" ca="1" si="4"/>
        <v/>
      </c>
      <c r="G40" s="29" t="e">
        <f>IF(B40="",#N/A,IF(OR(EXACT("dimanche",$B40),EXACT("samedi",$B40)),#N/A,$C$9*$A40*'CA Jour'!$Y$6))</f>
        <v>#N/A</v>
      </c>
      <c r="H40" s="31">
        <f ca="1">OFFSET(N!$C$3,(DAY($C40)-1),($C$4-1)*20)</f>
        <v>0</v>
      </c>
      <c r="I40" s="34" t="str">
        <f t="shared" ca="1" si="5"/>
        <v/>
      </c>
      <c r="J40" s="29" t="e">
        <f>IF(B40="",#N/A,IF(OR(EXACT("dimanche",$B40),EXACT("samedi",$B40)),#N/A,$C$9*$A40*'CA Jour'!$Y$7))</f>
        <v>#N/A</v>
      </c>
      <c r="K40" s="31">
        <f ca="1">OFFSET(N!$K$3,(DAY($C40)-1),($C$4-1)*20)</f>
        <v>0</v>
      </c>
      <c r="L40" s="34" t="str">
        <f t="shared" ca="1" si="6"/>
        <v/>
      </c>
      <c r="M40" s="29" t="e">
        <f>IF(B40="",#N/A,IF(OR(EXACT("dimanche",$B40),EXACT("samedi",$B40)),#N/A,$C$9*$A40*'CA Jour'!$Y$8))</f>
        <v>#N/A</v>
      </c>
      <c r="N40" s="31">
        <f ca="1">OFFSET(N!$O$3,(DAY($C40)-1),($C$4-1)*20)</f>
        <v>0</v>
      </c>
      <c r="O40" s="34" t="str">
        <f t="shared" ca="1" si="7"/>
        <v/>
      </c>
      <c r="P40" s="26"/>
      <c r="Q40" s="25"/>
      <c r="R40" s="34" t="str">
        <f t="shared" si="8"/>
        <v/>
      </c>
      <c r="S40" s="161" t="e">
        <f t="shared" si="9"/>
        <v>#N/A</v>
      </c>
      <c r="T40" s="158">
        <f t="shared" ca="1" si="1"/>
        <v>0</v>
      </c>
      <c r="U40" s="34" t="str">
        <f t="shared" ca="1" si="10"/>
        <v/>
      </c>
    </row>
    <row r="41" spans="1:21" s="1" customFormat="1" ht="10" customHeight="1" thickBot="1">
      <c r="A41" s="23">
        <f t="shared" si="0"/>
        <v>21</v>
      </c>
      <c r="B41" s="14" t="str">
        <f t="shared" si="2"/>
        <v>lundi</v>
      </c>
      <c r="C41" s="18">
        <f t="shared" si="3"/>
        <v>42247</v>
      </c>
      <c r="D41" s="30">
        <f>IF(B41="",#N/A,IF(OR(EXACT("dimanche",$B41),EXACT("samedi",$B41)),#N/A,$C$9*$A41*'CA Jour'!$Y$5))</f>
        <v>573</v>
      </c>
      <c r="E41" s="27">
        <f ca="1">OFFSET(N!$G$3,(DAY($C41)-1),($C$4-1)*20)</f>
        <v>0</v>
      </c>
      <c r="F41" s="219" t="str">
        <f t="shared" ca="1" si="4"/>
        <v/>
      </c>
      <c r="G41" s="30">
        <f>IF(B41="",#N/A,IF(OR(EXACT("dimanche",$B41),EXACT("samedi",$B41)),#N/A,$C$9*$A41*'CA Jour'!$Y$6))</f>
        <v>95.5</v>
      </c>
      <c r="H41" s="32">
        <f ca="1">OFFSET(N!$C$3,(DAY($C41)-1),($C$4-1)*20)</f>
        <v>0</v>
      </c>
      <c r="I41" s="35" t="str">
        <f t="shared" ca="1" si="5"/>
        <v/>
      </c>
      <c r="J41" s="30">
        <f>IF(B41="",#N/A,IF(OR(EXACT("dimanche",$B41),EXACT("samedi",$B41)),#N/A,$C$9*$A41*'CA Jour'!$Y$7))</f>
        <v>649.40000000000009</v>
      </c>
      <c r="K41" s="32">
        <f ca="1">OFFSET(N!$K$3,(DAY($C41)-1),($C$4-1)*20)</f>
        <v>0</v>
      </c>
      <c r="L41" s="35" t="str">
        <f t="shared" ca="1" si="6"/>
        <v/>
      </c>
      <c r="M41" s="30">
        <f>IF(B41="",#N/A,IF(OR(EXACT("dimanche",$B41),EXACT("samedi",$B41)),#N/A,$C$9*$A41*'CA Jour'!$Y$8))</f>
        <v>611.20000000000005</v>
      </c>
      <c r="N41" s="32">
        <f ca="1">OFFSET(N!$O$3,(DAY($C41)-1),($C$4-1)*20)</f>
        <v>0</v>
      </c>
      <c r="O41" s="35" t="str">
        <f t="shared" ca="1" si="7"/>
        <v/>
      </c>
      <c r="P41" s="28"/>
      <c r="Q41" s="27"/>
      <c r="R41" s="35" t="str">
        <f t="shared" si="8"/>
        <v/>
      </c>
      <c r="S41" s="30">
        <f t="shared" si="9"/>
        <v>1929.1000000000001</v>
      </c>
      <c r="T41" s="159">
        <f t="shared" ca="1" si="1"/>
        <v>0</v>
      </c>
      <c r="U41" s="35" t="str">
        <f t="shared" ca="1" si="10"/>
        <v/>
      </c>
    </row>
    <row r="42" spans="1:21" ht="10" customHeight="1">
      <c r="A42" s="22"/>
      <c r="C42" s="17"/>
    </row>
    <row r="43" spans="1:21" ht="10" customHeight="1">
      <c r="C43" s="17"/>
    </row>
    <row r="44" spans="1:21" ht="10" customHeight="1">
      <c r="C44" s="17"/>
    </row>
    <row r="45" spans="1:21" ht="10" customHeight="1">
      <c r="C45" s="17"/>
    </row>
    <row r="61" spans="2:19">
      <c r="C61" s="2" t="s">
        <v>168</v>
      </c>
      <c r="D61" t="s">
        <v>169</v>
      </c>
      <c r="F61" t="s">
        <v>168</v>
      </c>
      <c r="G61" t="s">
        <v>169</v>
      </c>
      <c r="I61" t="s">
        <v>168</v>
      </c>
      <c r="J61" t="s">
        <v>169</v>
      </c>
      <c r="L61" t="s">
        <v>168</v>
      </c>
      <c r="M61" t="s">
        <v>169</v>
      </c>
      <c r="R61" t="s">
        <v>168</v>
      </c>
      <c r="S61" t="s">
        <v>169</v>
      </c>
    </row>
    <row r="62" spans="2:19">
      <c r="B62" s="2">
        <v>1</v>
      </c>
      <c r="C62" s="220">
        <v>27.285714285714285</v>
      </c>
      <c r="D62">
        <v>11</v>
      </c>
      <c r="E62">
        <v>1</v>
      </c>
      <c r="F62" s="221">
        <v>4.5476190476190474</v>
      </c>
      <c r="G62">
        <v>0</v>
      </c>
      <c r="H62">
        <v>1</v>
      </c>
      <c r="I62" s="221">
        <v>30.923809523809524</v>
      </c>
      <c r="J62">
        <v>0</v>
      </c>
      <c r="K62">
        <v>1</v>
      </c>
      <c r="L62" s="221">
        <v>29.104761904761904</v>
      </c>
      <c r="M62">
        <v>29</v>
      </c>
      <c r="Q62">
        <v>1</v>
      </c>
      <c r="R62" s="221">
        <v>91.861904761904754</v>
      </c>
      <c r="S62">
        <v>40</v>
      </c>
    </row>
    <row r="63" spans="2:19">
      <c r="B63" s="2">
        <v>2</v>
      </c>
      <c r="C63" s="220">
        <v>54.571428571428569</v>
      </c>
      <c r="D63">
        <v>32</v>
      </c>
      <c r="E63">
        <v>2</v>
      </c>
      <c r="F63" s="221">
        <v>9.0952380952380949</v>
      </c>
      <c r="G63">
        <v>0</v>
      </c>
      <c r="H63">
        <v>2</v>
      </c>
      <c r="I63" s="221">
        <v>61.847619047619048</v>
      </c>
      <c r="J63">
        <v>0</v>
      </c>
      <c r="K63">
        <v>2</v>
      </c>
      <c r="L63" s="221">
        <v>58.209523809523809</v>
      </c>
      <c r="M63">
        <v>67</v>
      </c>
      <c r="Q63">
        <v>2</v>
      </c>
      <c r="R63" s="221">
        <v>183.72380952380951</v>
      </c>
      <c r="S63">
        <v>99</v>
      </c>
    </row>
    <row r="64" spans="2:19">
      <c r="B64" s="2">
        <v>3</v>
      </c>
      <c r="C64" s="220">
        <v>81.857142857142847</v>
      </c>
      <c r="D64">
        <v>34</v>
      </c>
      <c r="E64">
        <v>3</v>
      </c>
      <c r="F64" s="221">
        <v>13.642857142857142</v>
      </c>
      <c r="G64">
        <v>0</v>
      </c>
      <c r="H64">
        <v>3</v>
      </c>
      <c r="I64" s="221">
        <v>92.771428571428572</v>
      </c>
      <c r="J64">
        <v>52</v>
      </c>
      <c r="K64">
        <v>3</v>
      </c>
      <c r="L64" s="221">
        <v>87.314285714285703</v>
      </c>
      <c r="M64">
        <v>94</v>
      </c>
      <c r="Q64">
        <v>3</v>
      </c>
      <c r="R64" s="221">
        <v>275.58571428571423</v>
      </c>
      <c r="S64">
        <v>180</v>
      </c>
    </row>
    <row r="65" spans="2:19">
      <c r="B65" s="2">
        <v>4</v>
      </c>
      <c r="C65" s="220">
        <v>109.14285714285714</v>
      </c>
      <c r="D65">
        <v>59</v>
      </c>
      <c r="E65">
        <v>4</v>
      </c>
      <c r="F65" s="221">
        <v>18.19047619047619</v>
      </c>
      <c r="G65">
        <v>0</v>
      </c>
      <c r="H65">
        <v>4</v>
      </c>
      <c r="I65" s="221">
        <v>123.6952380952381</v>
      </c>
      <c r="J65">
        <v>59</v>
      </c>
      <c r="K65">
        <v>4</v>
      </c>
      <c r="L65" s="221">
        <v>116.41904761904762</v>
      </c>
      <c r="M65">
        <v>122</v>
      </c>
      <c r="Q65">
        <v>4</v>
      </c>
      <c r="R65" s="221">
        <v>367.44761904761901</v>
      </c>
      <c r="S65">
        <v>240</v>
      </c>
    </row>
    <row r="66" spans="2:19">
      <c r="B66" s="2">
        <v>5</v>
      </c>
      <c r="C66" s="220">
        <v>136.42857142857142</v>
      </c>
      <c r="D66">
        <v>90</v>
      </c>
      <c r="E66">
        <v>5</v>
      </c>
      <c r="F66" s="221">
        <v>22.738095238095241</v>
      </c>
      <c r="G66">
        <v>0</v>
      </c>
      <c r="H66">
        <v>5</v>
      </c>
      <c r="I66" s="221">
        <v>154.61904761904762</v>
      </c>
      <c r="J66">
        <v>104</v>
      </c>
      <c r="K66">
        <v>5</v>
      </c>
      <c r="L66" s="221">
        <v>145.52380952380952</v>
      </c>
      <c r="M66">
        <v>172</v>
      </c>
      <c r="Q66">
        <v>5</v>
      </c>
      <c r="R66" s="221">
        <v>459.3095238095238</v>
      </c>
      <c r="S66">
        <v>366</v>
      </c>
    </row>
    <row r="67" spans="2:19">
      <c r="B67" s="2">
        <v>6</v>
      </c>
      <c r="C67" s="220">
        <v>163.71428571428569</v>
      </c>
      <c r="D67">
        <v>100</v>
      </c>
      <c r="E67">
        <v>6</v>
      </c>
      <c r="F67" s="221">
        <v>27.285714285714285</v>
      </c>
      <c r="G67">
        <v>0</v>
      </c>
      <c r="H67">
        <v>6</v>
      </c>
      <c r="I67" s="221">
        <v>185.54285714285714</v>
      </c>
      <c r="J67">
        <v>106</v>
      </c>
      <c r="K67">
        <v>6</v>
      </c>
      <c r="L67" s="221">
        <v>174.62857142857141</v>
      </c>
      <c r="M67">
        <v>196</v>
      </c>
      <c r="Q67">
        <v>6</v>
      </c>
      <c r="R67" s="221">
        <v>551.17142857142846</v>
      </c>
      <c r="S67">
        <v>402</v>
      </c>
    </row>
    <row r="68" spans="2:19">
      <c r="B68" s="2">
        <v>7</v>
      </c>
      <c r="C68" s="220">
        <v>190.99999999999997</v>
      </c>
      <c r="D68">
        <v>125</v>
      </c>
      <c r="E68">
        <v>7</v>
      </c>
      <c r="F68" s="221">
        <v>31.833333333333332</v>
      </c>
      <c r="G68">
        <v>0</v>
      </c>
      <c r="H68">
        <v>7</v>
      </c>
      <c r="I68" s="221">
        <v>216.46666666666667</v>
      </c>
      <c r="J68">
        <v>132</v>
      </c>
      <c r="K68">
        <v>7</v>
      </c>
      <c r="L68" s="221">
        <v>203.73333333333332</v>
      </c>
      <c r="M68">
        <v>228</v>
      </c>
      <c r="Q68">
        <v>7</v>
      </c>
      <c r="R68" s="221">
        <v>643.0333333333333</v>
      </c>
      <c r="S68">
        <v>485</v>
      </c>
    </row>
    <row r="69" spans="2:19">
      <c r="B69" s="2">
        <v>8</v>
      </c>
      <c r="C69" s="220">
        <v>218.28571428571428</v>
      </c>
      <c r="D69">
        <v>0</v>
      </c>
      <c r="E69">
        <v>8</v>
      </c>
      <c r="F69" s="221">
        <v>36.38095238095238</v>
      </c>
      <c r="G69">
        <v>0</v>
      </c>
      <c r="H69">
        <v>8</v>
      </c>
      <c r="I69" s="221">
        <v>247.39047619047619</v>
      </c>
      <c r="J69">
        <v>0</v>
      </c>
      <c r="K69">
        <v>8</v>
      </c>
      <c r="L69" s="221">
        <v>232.83809523809524</v>
      </c>
      <c r="M69">
        <v>0</v>
      </c>
      <c r="Q69">
        <v>8</v>
      </c>
      <c r="R69" s="221">
        <v>734.89523809523803</v>
      </c>
      <c r="S69">
        <v>0</v>
      </c>
    </row>
    <row r="70" spans="2:19">
      <c r="B70" s="2">
        <v>9</v>
      </c>
      <c r="C70" s="220">
        <v>245.57142857142856</v>
      </c>
      <c r="D70">
        <v>0</v>
      </c>
      <c r="E70">
        <v>9</v>
      </c>
      <c r="F70" s="221">
        <v>40.928571428571431</v>
      </c>
      <c r="G70">
        <v>0</v>
      </c>
      <c r="H70">
        <v>9</v>
      </c>
      <c r="I70" s="221">
        <v>278.31428571428575</v>
      </c>
      <c r="J70">
        <v>0</v>
      </c>
      <c r="K70">
        <v>9</v>
      </c>
      <c r="L70" s="221">
        <v>261.94285714285712</v>
      </c>
      <c r="M70">
        <v>0</v>
      </c>
      <c r="Q70">
        <v>9</v>
      </c>
      <c r="R70" s="221">
        <v>826.75714285714275</v>
      </c>
      <c r="S70">
        <v>0</v>
      </c>
    </row>
    <row r="71" spans="2:19">
      <c r="B71" s="2">
        <v>10</v>
      </c>
      <c r="C71" s="220">
        <v>272.85714285714283</v>
      </c>
      <c r="D71">
        <v>0</v>
      </c>
      <c r="E71">
        <v>10</v>
      </c>
      <c r="F71" s="221">
        <v>45.476190476190482</v>
      </c>
      <c r="G71">
        <v>0</v>
      </c>
      <c r="H71">
        <v>10</v>
      </c>
      <c r="I71" s="221">
        <v>309.23809523809524</v>
      </c>
      <c r="J71">
        <v>0</v>
      </c>
      <c r="K71">
        <v>10</v>
      </c>
      <c r="L71" s="221">
        <v>291.04761904761904</v>
      </c>
      <c r="M71">
        <v>0</v>
      </c>
      <c r="Q71">
        <v>10</v>
      </c>
      <c r="R71" s="221">
        <v>918.61904761904759</v>
      </c>
      <c r="S71">
        <v>0</v>
      </c>
    </row>
    <row r="72" spans="2:19">
      <c r="B72" s="2">
        <v>11</v>
      </c>
      <c r="C72" s="220">
        <v>300.14285714285711</v>
      </c>
      <c r="D72">
        <v>0</v>
      </c>
      <c r="E72">
        <v>11</v>
      </c>
      <c r="F72" s="221">
        <v>50.023809523809526</v>
      </c>
      <c r="G72">
        <v>0</v>
      </c>
      <c r="H72">
        <v>11</v>
      </c>
      <c r="I72" s="221">
        <v>340.16190476190479</v>
      </c>
      <c r="J72">
        <v>0</v>
      </c>
      <c r="K72">
        <v>11</v>
      </c>
      <c r="L72" s="221">
        <v>320.15238095238095</v>
      </c>
      <c r="M72">
        <v>0</v>
      </c>
      <c r="Q72">
        <v>11</v>
      </c>
      <c r="R72" s="221">
        <v>1010.4809523809524</v>
      </c>
      <c r="S72">
        <v>0</v>
      </c>
    </row>
    <row r="73" spans="2:19">
      <c r="B73" s="2">
        <v>12</v>
      </c>
      <c r="C73" s="220">
        <v>327.42857142857139</v>
      </c>
      <c r="D73">
        <v>0</v>
      </c>
      <c r="E73">
        <v>12</v>
      </c>
      <c r="F73" s="221">
        <v>54.571428571428569</v>
      </c>
      <c r="G73">
        <v>0</v>
      </c>
      <c r="H73">
        <v>12</v>
      </c>
      <c r="I73" s="221">
        <v>371.08571428571429</v>
      </c>
      <c r="J73">
        <v>0</v>
      </c>
      <c r="K73">
        <v>12</v>
      </c>
      <c r="L73" s="221">
        <v>349.25714285714281</v>
      </c>
      <c r="M73">
        <v>0</v>
      </c>
      <c r="Q73">
        <v>12</v>
      </c>
      <c r="R73" s="221">
        <v>1102.3428571428569</v>
      </c>
      <c r="S73">
        <v>0</v>
      </c>
    </row>
    <row r="74" spans="2:19">
      <c r="B74" s="2">
        <v>13</v>
      </c>
      <c r="C74" s="220">
        <v>354.71428571428567</v>
      </c>
      <c r="D74">
        <v>0</v>
      </c>
      <c r="E74">
        <v>13</v>
      </c>
      <c r="F74" s="221">
        <v>59.11904761904762</v>
      </c>
      <c r="G74">
        <v>0</v>
      </c>
      <c r="H74">
        <v>13</v>
      </c>
      <c r="I74" s="221">
        <v>402.00952380952378</v>
      </c>
      <c r="J74">
        <v>0</v>
      </c>
      <c r="K74">
        <v>13</v>
      </c>
      <c r="L74" s="221">
        <v>378.36190476190473</v>
      </c>
      <c r="M74">
        <v>0</v>
      </c>
      <c r="Q74">
        <v>13</v>
      </c>
      <c r="R74" s="221">
        <v>1194.2047619047617</v>
      </c>
      <c r="S74">
        <v>0</v>
      </c>
    </row>
    <row r="75" spans="2:19">
      <c r="B75" s="2">
        <v>14</v>
      </c>
      <c r="C75" s="220">
        <v>381.99999999999994</v>
      </c>
      <c r="D75">
        <v>0</v>
      </c>
      <c r="E75">
        <v>14</v>
      </c>
      <c r="F75" s="221">
        <v>63.666666666666664</v>
      </c>
      <c r="G75">
        <v>0</v>
      </c>
      <c r="H75">
        <v>14</v>
      </c>
      <c r="I75" s="221">
        <v>432.93333333333334</v>
      </c>
      <c r="J75">
        <v>0</v>
      </c>
      <c r="K75">
        <v>14</v>
      </c>
      <c r="L75" s="221">
        <v>407.46666666666664</v>
      </c>
      <c r="M75">
        <v>0</v>
      </c>
      <c r="Q75">
        <v>14</v>
      </c>
      <c r="R75" s="221">
        <v>1286.0666666666666</v>
      </c>
      <c r="S75">
        <v>0</v>
      </c>
    </row>
    <row r="76" spans="2:19">
      <c r="B76" s="2">
        <v>15</v>
      </c>
      <c r="C76" s="220">
        <v>409.28571428571428</v>
      </c>
      <c r="D76">
        <v>0</v>
      </c>
      <c r="E76">
        <v>15</v>
      </c>
      <c r="F76" s="221">
        <v>68.214285714285708</v>
      </c>
      <c r="G76">
        <v>0</v>
      </c>
      <c r="H76">
        <v>15</v>
      </c>
      <c r="I76" s="221">
        <v>463.85714285714289</v>
      </c>
      <c r="J76">
        <v>0</v>
      </c>
      <c r="K76">
        <v>15</v>
      </c>
      <c r="L76" s="221">
        <v>436.57142857142856</v>
      </c>
      <c r="M76">
        <v>0</v>
      </c>
      <c r="Q76">
        <v>15</v>
      </c>
      <c r="R76" s="221">
        <v>1377.9285714285716</v>
      </c>
      <c r="S76">
        <v>0</v>
      </c>
    </row>
    <row r="77" spans="2:19">
      <c r="B77" s="2">
        <v>16</v>
      </c>
      <c r="C77" s="220">
        <v>436.57142857142856</v>
      </c>
      <c r="D77">
        <v>0</v>
      </c>
      <c r="E77">
        <v>16</v>
      </c>
      <c r="F77" s="221">
        <v>72.761904761904759</v>
      </c>
      <c r="G77">
        <v>0</v>
      </c>
      <c r="H77">
        <v>16</v>
      </c>
      <c r="I77" s="221">
        <v>494.78095238095239</v>
      </c>
      <c r="J77">
        <v>0</v>
      </c>
      <c r="K77">
        <v>16</v>
      </c>
      <c r="L77" s="221">
        <v>465.67619047619047</v>
      </c>
      <c r="M77">
        <v>0</v>
      </c>
      <c r="Q77">
        <v>16</v>
      </c>
      <c r="R77" s="221">
        <v>1469.7904761904761</v>
      </c>
      <c r="S77">
        <v>0</v>
      </c>
    </row>
    <row r="78" spans="2:19">
      <c r="B78" s="2">
        <v>17</v>
      </c>
      <c r="C78" s="220">
        <v>463.85714285714283</v>
      </c>
      <c r="D78">
        <v>0</v>
      </c>
      <c r="E78">
        <v>17</v>
      </c>
      <c r="F78" s="221">
        <v>77.30952380952381</v>
      </c>
      <c r="G78">
        <v>0</v>
      </c>
      <c r="H78">
        <v>17</v>
      </c>
      <c r="I78" s="221">
        <v>525.70476190476188</v>
      </c>
      <c r="J78">
        <v>0</v>
      </c>
      <c r="K78">
        <v>17</v>
      </c>
      <c r="L78" s="221">
        <v>494.78095238095239</v>
      </c>
      <c r="M78">
        <v>0</v>
      </c>
      <c r="Q78">
        <v>17</v>
      </c>
      <c r="R78" s="221">
        <v>1561.652380952381</v>
      </c>
      <c r="S78">
        <v>0</v>
      </c>
    </row>
    <row r="79" spans="2:19">
      <c r="B79" s="2">
        <v>18</v>
      </c>
      <c r="C79" s="220">
        <v>491.14285714285711</v>
      </c>
      <c r="D79">
        <v>0</v>
      </c>
      <c r="E79">
        <v>18</v>
      </c>
      <c r="F79" s="221">
        <v>81.857142857142861</v>
      </c>
      <c r="G79">
        <v>0</v>
      </c>
      <c r="H79">
        <v>18</v>
      </c>
      <c r="I79" s="221">
        <v>556.62857142857149</v>
      </c>
      <c r="J79">
        <v>0</v>
      </c>
      <c r="K79">
        <v>18</v>
      </c>
      <c r="L79" s="221">
        <v>523.88571428571424</v>
      </c>
      <c r="M79">
        <v>0</v>
      </c>
      <c r="Q79">
        <v>18</v>
      </c>
      <c r="R79" s="221">
        <v>1653.5142857142855</v>
      </c>
      <c r="S79">
        <v>0</v>
      </c>
    </row>
    <row r="80" spans="2:19">
      <c r="B80" s="2">
        <v>19</v>
      </c>
      <c r="C80" s="220">
        <v>518.42857142857144</v>
      </c>
      <c r="D80">
        <v>0</v>
      </c>
      <c r="E80">
        <v>19</v>
      </c>
      <c r="F80" s="221">
        <v>86.404761904761912</v>
      </c>
      <c r="G80">
        <v>0</v>
      </c>
      <c r="H80">
        <v>19</v>
      </c>
      <c r="I80" s="221">
        <v>587.55238095238099</v>
      </c>
      <c r="J80">
        <v>0</v>
      </c>
      <c r="K80">
        <v>19</v>
      </c>
      <c r="L80" s="221">
        <v>552.99047619047622</v>
      </c>
      <c r="M80">
        <v>0</v>
      </c>
      <c r="Q80">
        <v>19</v>
      </c>
      <c r="R80" s="221">
        <v>1745.3761904761905</v>
      </c>
      <c r="S80">
        <v>0</v>
      </c>
    </row>
    <row r="81" spans="2:19">
      <c r="B81" s="2">
        <v>20</v>
      </c>
      <c r="C81" s="220">
        <v>545.71428571428567</v>
      </c>
      <c r="D81">
        <v>0</v>
      </c>
      <c r="E81">
        <v>20</v>
      </c>
      <c r="F81" s="221">
        <v>90.952380952380963</v>
      </c>
      <c r="G81">
        <v>0</v>
      </c>
      <c r="H81">
        <v>20</v>
      </c>
      <c r="I81" s="221">
        <v>618.47619047619048</v>
      </c>
      <c r="J81">
        <v>0</v>
      </c>
      <c r="K81">
        <v>20</v>
      </c>
      <c r="L81" s="221">
        <v>582.09523809523807</v>
      </c>
      <c r="M81">
        <v>0</v>
      </c>
      <c r="Q81">
        <v>20</v>
      </c>
      <c r="R81" s="221">
        <v>1837.2380952380952</v>
      </c>
      <c r="S81">
        <v>0</v>
      </c>
    </row>
    <row r="82" spans="2:19">
      <c r="B82" s="2">
        <v>21</v>
      </c>
      <c r="C82" s="220">
        <v>573</v>
      </c>
      <c r="D82">
        <v>0</v>
      </c>
      <c r="E82">
        <v>21</v>
      </c>
      <c r="F82" s="221">
        <v>95.5</v>
      </c>
      <c r="G82">
        <v>0</v>
      </c>
      <c r="H82">
        <v>21</v>
      </c>
      <c r="I82" s="221">
        <v>649.40000000000009</v>
      </c>
      <c r="J82">
        <v>0</v>
      </c>
      <c r="K82">
        <v>21</v>
      </c>
      <c r="L82" s="221">
        <v>611.20000000000005</v>
      </c>
      <c r="M82">
        <v>0</v>
      </c>
      <c r="Q82">
        <v>21</v>
      </c>
      <c r="R82" s="221">
        <v>1929.1000000000001</v>
      </c>
      <c r="S82">
        <v>0</v>
      </c>
    </row>
    <row r="83" spans="2:19">
      <c r="C83" s="220"/>
      <c r="F83" s="221"/>
      <c r="I83" s="221"/>
      <c r="L83" s="221"/>
      <c r="R83" s="221"/>
    </row>
    <row r="84" spans="2:19">
      <c r="C84" s="220"/>
      <c r="F84" s="221"/>
      <c r="I84" s="221"/>
      <c r="L84" s="221"/>
      <c r="R84" s="221"/>
    </row>
    <row r="85" spans="2:19">
      <c r="F85" s="221"/>
      <c r="I85" s="221"/>
      <c r="L85" s="221"/>
      <c r="R85" s="221"/>
    </row>
    <row r="86" spans="2:19">
      <c r="L86" s="221"/>
      <c r="R86" s="221"/>
    </row>
    <row r="87" spans="2:19">
      <c r="L87" s="221"/>
      <c r="R87" s="221"/>
    </row>
    <row r="88" spans="2:19">
      <c r="R88" s="221"/>
    </row>
  </sheetData>
  <mergeCells count="44">
    <mergeCell ref="S2:U2"/>
    <mergeCell ref="D3:U4"/>
    <mergeCell ref="B5:B8"/>
    <mergeCell ref="C5:C8"/>
    <mergeCell ref="D5:F6"/>
    <mergeCell ref="G5:I6"/>
    <mergeCell ref="J5:L6"/>
    <mergeCell ref="M5:O6"/>
    <mergeCell ref="P5:R6"/>
    <mergeCell ref="K7:L8"/>
    <mergeCell ref="M7:M8"/>
    <mergeCell ref="N7:O8"/>
    <mergeCell ref="P7:P8"/>
    <mergeCell ref="B2:R2"/>
    <mergeCell ref="N9:N10"/>
    <mergeCell ref="Q7:R8"/>
    <mergeCell ref="S7:S8"/>
    <mergeCell ref="T7:U8"/>
    <mergeCell ref="B9:B10"/>
    <mergeCell ref="C9:C10"/>
    <mergeCell ref="D9:D10"/>
    <mergeCell ref="E9:E10"/>
    <mergeCell ref="F9:F10"/>
    <mergeCell ref="G9:G10"/>
    <mergeCell ref="H9:H10"/>
    <mergeCell ref="D7:D8"/>
    <mergeCell ref="E7:F8"/>
    <mergeCell ref="G7:G8"/>
    <mergeCell ref="H7:I8"/>
    <mergeCell ref="J7:J8"/>
    <mergeCell ref="I9:I10"/>
    <mergeCell ref="J9:J10"/>
    <mergeCell ref="K9:K10"/>
    <mergeCell ref="L9:L10"/>
    <mergeCell ref="M9:M10"/>
    <mergeCell ref="U9:U10"/>
    <mergeCell ref="X4:Y4"/>
    <mergeCell ref="O9:O10"/>
    <mergeCell ref="P9:P10"/>
    <mergeCell ref="Q9:Q10"/>
    <mergeCell ref="R9:R10"/>
    <mergeCell ref="S9:S10"/>
    <mergeCell ref="T9:T10"/>
    <mergeCell ref="S5:U6"/>
  </mergeCells>
  <phoneticPr fontId="23" type="noConversion"/>
  <conditionalFormatting sqref="A11:A41">
    <cfRule type="expression" dxfId="8" priority="1">
      <formula>EXACT(0,IF(COUNTIF(Fériés,"="&amp;$C11)&gt;0,"0",""))</formula>
    </cfRule>
    <cfRule type="expression" dxfId="7" priority="6">
      <formula>EXACT(0,IF(OR(EXACT("dimanche",$B11),EXACT("samedi",$B11)),"0",IF(COUNTIF(Fériés,"="&amp;$B11)&gt;0,"0","")))</formula>
    </cfRule>
  </conditionalFormatting>
  <conditionalFormatting sqref="A11:XFD41">
    <cfRule type="expression" dxfId="6" priority="8">
      <formula>ISERROR(A11)</formula>
    </cfRule>
  </conditionalFormatting>
  <conditionalFormatting sqref="B11:U41">
    <cfRule type="expression" dxfId="5" priority="9">
      <formula>EXACT(0,IF(OR(EXACT("dimanche",$B11),EXACT("samedi",$B11)),"0",IF(COUNTIF(Fériés,"="&amp;$B11)&gt;0,"0","")))</formula>
    </cfRule>
  </conditionalFormatting>
  <conditionalFormatting sqref="B39:C41">
    <cfRule type="expression" dxfId="4" priority="5">
      <formula>AND($C39="0")</formula>
    </cfRule>
  </conditionalFormatting>
  <conditionalFormatting sqref="D11:U41">
    <cfRule type="expression" dxfId="3" priority="3">
      <formula>EXACT(0,IF(COUNTIF(Fériés,"="&amp;$C11)&gt;0,"0",""))</formula>
    </cfRule>
    <cfRule type="expression" dxfId="2" priority="4">
      <formula>EXACT(0,IF(OR(EXACT("dimanche",$B11),EXACT("samedi",$B11)),"0",""))</formula>
    </cfRule>
  </conditionalFormatting>
  <conditionalFormatting sqref="B11:C41">
    <cfRule type="expression" dxfId="1" priority="7">
      <formula>EXACT(0,IF(COUNTIF(Fériés,"="&amp;$C11)&gt;0,"0",""))</formula>
    </cfRule>
  </conditionalFormatting>
  <conditionalFormatting sqref="D39:U41">
    <cfRule type="expression" dxfId="0" priority="2">
      <formula>AND($C39="0")</formula>
    </cfRule>
  </conditionalFormatting>
  <printOptions horizontalCentered="1" verticalCentered="1"/>
  <pageMargins left="0.31" right="0.31" top="1.968503937007874E-2" bottom="1.968503937007874E-2" header="0" footer="0"/>
  <pageSetup paperSize="9" scale="43" orientation="portrait"/>
  <drawing r:id="rId1"/>
  <extLst>
    <ext xmlns:mx="http://schemas.microsoft.com/office/mac/excel/2008/main" uri="{64002731-A6B0-56B0-2670-7721B7C09600}">
      <mx:PLV Mode="0" OnePage="0" WScale="41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IH34"/>
  <sheetViews>
    <sheetView showGridLines="0" zoomScale="80" zoomScaleNormal="80" zoomScalePageLayoutView="80" workbookViewId="0">
      <pane xSplit="2" ySplit="1" topLeftCell="EI2" activePane="bottomRight" state="frozen"/>
      <selection activeCell="A17" sqref="A17"/>
      <selection pane="topRight" activeCell="A17" sqref="A17"/>
      <selection pane="bottomLeft" activeCell="A17" sqref="A17"/>
      <selection pane="bottomRight" activeCell="EM13" sqref="EM13:FF13"/>
    </sheetView>
  </sheetViews>
  <sheetFormatPr baseColWidth="10" defaultColWidth="10.83203125" defaultRowHeight="12" x14ac:dyDescent="0"/>
  <cols>
    <col min="1" max="16384" width="10.83203125" style="168"/>
  </cols>
  <sheetData>
    <row r="1" spans="1:242" ht="13" thickBot="1">
      <c r="A1" s="167">
        <v>11</v>
      </c>
      <c r="C1" s="332" t="s">
        <v>26</v>
      </c>
      <c r="D1" s="333"/>
      <c r="E1" s="333"/>
      <c r="F1" s="333"/>
      <c r="G1" s="333"/>
      <c r="H1" s="333"/>
      <c r="I1" s="333"/>
      <c r="J1" s="333"/>
      <c r="K1" s="333"/>
      <c r="L1" s="333"/>
      <c r="M1" s="333"/>
      <c r="N1" s="333"/>
      <c r="O1" s="333"/>
      <c r="P1" s="333"/>
      <c r="Q1" s="333"/>
      <c r="R1" s="333"/>
      <c r="S1" s="333"/>
      <c r="T1" s="333"/>
      <c r="U1" s="333"/>
      <c r="V1" s="334"/>
      <c r="W1" s="332" t="s">
        <v>27</v>
      </c>
      <c r="X1" s="333"/>
      <c r="Y1" s="333"/>
      <c r="Z1" s="333"/>
      <c r="AA1" s="333"/>
      <c r="AB1" s="333"/>
      <c r="AC1" s="333"/>
      <c r="AD1" s="333"/>
      <c r="AE1" s="333"/>
      <c r="AF1" s="333"/>
      <c r="AG1" s="333"/>
      <c r="AH1" s="333"/>
      <c r="AI1" s="333"/>
      <c r="AJ1" s="333"/>
      <c r="AK1" s="333"/>
      <c r="AL1" s="333"/>
      <c r="AM1" s="333"/>
      <c r="AN1" s="333"/>
      <c r="AO1" s="333"/>
      <c r="AP1" s="334"/>
      <c r="AQ1" s="332" t="s">
        <v>28</v>
      </c>
      <c r="AR1" s="333"/>
      <c r="AS1" s="333"/>
      <c r="AT1" s="333"/>
      <c r="AU1" s="333"/>
      <c r="AV1" s="333"/>
      <c r="AW1" s="333"/>
      <c r="AX1" s="333"/>
      <c r="AY1" s="333"/>
      <c r="AZ1" s="333"/>
      <c r="BA1" s="333"/>
      <c r="BB1" s="333"/>
      <c r="BC1" s="333"/>
      <c r="BD1" s="333"/>
      <c r="BE1" s="333"/>
      <c r="BF1" s="333"/>
      <c r="BG1" s="333"/>
      <c r="BH1" s="333"/>
      <c r="BI1" s="333"/>
      <c r="BJ1" s="334"/>
      <c r="BK1" s="332" t="s">
        <v>29</v>
      </c>
      <c r="BL1" s="333"/>
      <c r="BM1" s="333"/>
      <c r="BN1" s="333"/>
      <c r="BO1" s="333"/>
      <c r="BP1" s="333"/>
      <c r="BQ1" s="333"/>
      <c r="BR1" s="333"/>
      <c r="BS1" s="333"/>
      <c r="BT1" s="333"/>
      <c r="BU1" s="333"/>
      <c r="BV1" s="333"/>
      <c r="BW1" s="333"/>
      <c r="BX1" s="333"/>
      <c r="BY1" s="333"/>
      <c r="BZ1" s="333"/>
      <c r="CA1" s="333"/>
      <c r="CB1" s="333"/>
      <c r="CC1" s="333"/>
      <c r="CD1" s="334"/>
      <c r="CE1" s="332" t="s">
        <v>30</v>
      </c>
      <c r="CF1" s="333"/>
      <c r="CG1" s="333"/>
      <c r="CH1" s="333"/>
      <c r="CI1" s="333"/>
      <c r="CJ1" s="333"/>
      <c r="CK1" s="333"/>
      <c r="CL1" s="333"/>
      <c r="CM1" s="333"/>
      <c r="CN1" s="333"/>
      <c r="CO1" s="333"/>
      <c r="CP1" s="333"/>
      <c r="CQ1" s="333"/>
      <c r="CR1" s="333"/>
      <c r="CS1" s="333"/>
      <c r="CT1" s="333"/>
      <c r="CU1" s="333"/>
      <c r="CV1" s="333"/>
      <c r="CW1" s="333"/>
      <c r="CX1" s="334"/>
      <c r="CY1" s="332" t="s">
        <v>31</v>
      </c>
      <c r="CZ1" s="333"/>
      <c r="DA1" s="333"/>
      <c r="DB1" s="333"/>
      <c r="DC1" s="333"/>
      <c r="DD1" s="333"/>
      <c r="DE1" s="333"/>
      <c r="DF1" s="333"/>
      <c r="DG1" s="333"/>
      <c r="DH1" s="333"/>
      <c r="DI1" s="333"/>
      <c r="DJ1" s="333"/>
      <c r="DK1" s="333"/>
      <c r="DL1" s="333"/>
      <c r="DM1" s="333"/>
      <c r="DN1" s="333"/>
      <c r="DO1" s="333"/>
      <c r="DP1" s="333"/>
      <c r="DQ1" s="333"/>
      <c r="DR1" s="334"/>
      <c r="DS1" s="332" t="s">
        <v>32</v>
      </c>
      <c r="DT1" s="333"/>
      <c r="DU1" s="333"/>
      <c r="DV1" s="333"/>
      <c r="DW1" s="333"/>
      <c r="DX1" s="333"/>
      <c r="DY1" s="333"/>
      <c r="DZ1" s="333"/>
      <c r="EA1" s="333"/>
      <c r="EB1" s="333"/>
      <c r="EC1" s="333"/>
      <c r="ED1" s="333"/>
      <c r="EE1" s="333"/>
      <c r="EF1" s="333"/>
      <c r="EG1" s="333"/>
      <c r="EH1" s="333"/>
      <c r="EI1" s="333"/>
      <c r="EJ1" s="333"/>
      <c r="EK1" s="333"/>
      <c r="EL1" s="334"/>
      <c r="EM1" s="332" t="s">
        <v>161</v>
      </c>
      <c r="EN1" s="333"/>
      <c r="EO1" s="333"/>
      <c r="EP1" s="333"/>
      <c r="EQ1" s="333"/>
      <c r="ER1" s="333"/>
      <c r="ES1" s="333"/>
      <c r="ET1" s="333"/>
      <c r="EU1" s="333"/>
      <c r="EV1" s="333"/>
      <c r="EW1" s="333"/>
      <c r="EX1" s="333"/>
      <c r="EY1" s="333"/>
      <c r="EZ1" s="333"/>
      <c r="FA1" s="333"/>
      <c r="FB1" s="333"/>
      <c r="FC1" s="333"/>
      <c r="FD1" s="333"/>
      <c r="FE1" s="333"/>
      <c r="FF1" s="334"/>
      <c r="FG1" s="332" t="s">
        <v>34</v>
      </c>
      <c r="FH1" s="333"/>
      <c r="FI1" s="333"/>
      <c r="FJ1" s="333"/>
      <c r="FK1" s="333"/>
      <c r="FL1" s="333"/>
      <c r="FM1" s="333"/>
      <c r="FN1" s="333"/>
      <c r="FO1" s="333"/>
      <c r="FP1" s="333"/>
      <c r="FQ1" s="333"/>
      <c r="FR1" s="333"/>
      <c r="FS1" s="333"/>
      <c r="FT1" s="333"/>
      <c r="FU1" s="333"/>
      <c r="FV1" s="333"/>
      <c r="FW1" s="333"/>
      <c r="FX1" s="333"/>
      <c r="FY1" s="333"/>
      <c r="FZ1" s="334"/>
      <c r="GA1" s="332" t="s">
        <v>35</v>
      </c>
      <c r="GB1" s="333"/>
      <c r="GC1" s="333"/>
      <c r="GD1" s="333"/>
      <c r="GE1" s="333"/>
      <c r="GF1" s="333"/>
      <c r="GG1" s="333"/>
      <c r="GH1" s="333"/>
      <c r="GI1" s="333"/>
      <c r="GJ1" s="333"/>
      <c r="GK1" s="333"/>
      <c r="GL1" s="333"/>
      <c r="GM1" s="333"/>
      <c r="GN1" s="333"/>
      <c r="GO1" s="333"/>
      <c r="GP1" s="333"/>
      <c r="GQ1" s="333"/>
      <c r="GR1" s="333"/>
      <c r="GS1" s="333"/>
      <c r="GT1" s="334"/>
      <c r="GU1" s="332" t="s">
        <v>36</v>
      </c>
      <c r="GV1" s="333"/>
      <c r="GW1" s="333"/>
      <c r="GX1" s="333"/>
      <c r="GY1" s="333"/>
      <c r="GZ1" s="333"/>
      <c r="HA1" s="333"/>
      <c r="HB1" s="333"/>
      <c r="HC1" s="333"/>
      <c r="HD1" s="333"/>
      <c r="HE1" s="333"/>
      <c r="HF1" s="333"/>
      <c r="HG1" s="333"/>
      <c r="HH1" s="333"/>
      <c r="HI1" s="333"/>
      <c r="HJ1" s="333"/>
      <c r="HK1" s="333"/>
      <c r="HL1" s="333"/>
      <c r="HM1" s="333"/>
      <c r="HN1" s="334"/>
      <c r="HO1" s="332" t="s">
        <v>37</v>
      </c>
      <c r="HP1" s="333"/>
      <c r="HQ1" s="333"/>
      <c r="HR1" s="333"/>
      <c r="HS1" s="333"/>
      <c r="HT1" s="333"/>
      <c r="HU1" s="333"/>
      <c r="HV1" s="333"/>
      <c r="HW1" s="333"/>
      <c r="HX1" s="333"/>
      <c r="HY1" s="333"/>
      <c r="HZ1" s="333"/>
      <c r="IA1" s="333"/>
      <c r="IB1" s="333"/>
      <c r="IC1" s="333"/>
      <c r="ID1" s="333"/>
      <c r="IE1" s="333"/>
      <c r="IF1" s="333"/>
      <c r="IG1" s="333"/>
      <c r="IH1" s="334"/>
    </row>
    <row r="2" spans="1:242" ht="13" thickBot="1">
      <c r="A2" s="169">
        <v>8</v>
      </c>
      <c r="B2" s="170" t="s">
        <v>162</v>
      </c>
      <c r="C2" s="171">
        <v>51</v>
      </c>
      <c r="D2" s="172">
        <v>52</v>
      </c>
      <c r="E2" s="172">
        <v>112</v>
      </c>
      <c r="F2" s="172">
        <v>113</v>
      </c>
      <c r="G2" s="172">
        <v>173</v>
      </c>
      <c r="H2" s="172">
        <v>174</v>
      </c>
      <c r="I2" s="172">
        <v>234</v>
      </c>
      <c r="J2" s="172">
        <v>235</v>
      </c>
      <c r="K2" s="172">
        <v>295</v>
      </c>
      <c r="L2" s="172">
        <v>296</v>
      </c>
      <c r="M2" s="172">
        <v>356</v>
      </c>
      <c r="N2" s="172">
        <v>357</v>
      </c>
      <c r="O2" s="172">
        <v>539</v>
      </c>
      <c r="P2" s="172">
        <v>540</v>
      </c>
      <c r="Q2" s="172">
        <v>600</v>
      </c>
      <c r="R2" s="172">
        <v>601</v>
      </c>
      <c r="S2" s="172">
        <v>661</v>
      </c>
      <c r="T2" s="172">
        <v>662</v>
      </c>
      <c r="U2" s="172">
        <v>722</v>
      </c>
      <c r="V2" s="173">
        <v>723</v>
      </c>
      <c r="W2" s="171">
        <v>51</v>
      </c>
      <c r="X2" s="172">
        <v>52</v>
      </c>
      <c r="Y2" s="172">
        <v>112</v>
      </c>
      <c r="Z2" s="172">
        <v>113</v>
      </c>
      <c r="AA2" s="172">
        <v>173</v>
      </c>
      <c r="AB2" s="172">
        <v>174</v>
      </c>
      <c r="AC2" s="172">
        <v>234</v>
      </c>
      <c r="AD2" s="172">
        <v>235</v>
      </c>
      <c r="AE2" s="172">
        <v>295</v>
      </c>
      <c r="AF2" s="172">
        <v>296</v>
      </c>
      <c r="AG2" s="172">
        <v>356</v>
      </c>
      <c r="AH2" s="172">
        <v>357</v>
      </c>
      <c r="AI2" s="172">
        <v>539</v>
      </c>
      <c r="AJ2" s="172">
        <v>540</v>
      </c>
      <c r="AK2" s="172">
        <v>600</v>
      </c>
      <c r="AL2" s="172">
        <v>601</v>
      </c>
      <c r="AM2" s="172">
        <v>661</v>
      </c>
      <c r="AN2" s="172">
        <v>662</v>
      </c>
      <c r="AO2" s="172">
        <v>722</v>
      </c>
      <c r="AP2" s="173">
        <v>723</v>
      </c>
      <c r="AQ2" s="171">
        <v>51</v>
      </c>
      <c r="AR2" s="172">
        <v>52</v>
      </c>
      <c r="AS2" s="172">
        <v>112</v>
      </c>
      <c r="AT2" s="172">
        <v>113</v>
      </c>
      <c r="AU2" s="172">
        <v>173</v>
      </c>
      <c r="AV2" s="172">
        <v>174</v>
      </c>
      <c r="AW2" s="172">
        <v>234</v>
      </c>
      <c r="AX2" s="172">
        <v>235</v>
      </c>
      <c r="AY2" s="172">
        <v>295</v>
      </c>
      <c r="AZ2" s="172">
        <v>296</v>
      </c>
      <c r="BA2" s="172">
        <v>356</v>
      </c>
      <c r="BB2" s="172">
        <v>357</v>
      </c>
      <c r="BC2" s="172">
        <v>539</v>
      </c>
      <c r="BD2" s="172">
        <v>540</v>
      </c>
      <c r="BE2" s="172">
        <v>600</v>
      </c>
      <c r="BF2" s="172">
        <v>601</v>
      </c>
      <c r="BG2" s="172">
        <v>661</v>
      </c>
      <c r="BH2" s="172">
        <v>662</v>
      </c>
      <c r="BI2" s="172">
        <v>722</v>
      </c>
      <c r="BJ2" s="173">
        <v>723</v>
      </c>
      <c r="BK2" s="171">
        <v>51</v>
      </c>
      <c r="BL2" s="172">
        <v>52</v>
      </c>
      <c r="BM2" s="172">
        <v>112</v>
      </c>
      <c r="BN2" s="172">
        <v>113</v>
      </c>
      <c r="BO2" s="172">
        <v>173</v>
      </c>
      <c r="BP2" s="172">
        <v>174</v>
      </c>
      <c r="BQ2" s="172">
        <v>234</v>
      </c>
      <c r="BR2" s="172">
        <v>235</v>
      </c>
      <c r="BS2" s="172">
        <v>295</v>
      </c>
      <c r="BT2" s="172">
        <v>296</v>
      </c>
      <c r="BU2" s="172">
        <v>356</v>
      </c>
      <c r="BV2" s="172">
        <v>357</v>
      </c>
      <c r="BW2" s="172">
        <v>539</v>
      </c>
      <c r="BX2" s="172">
        <v>540</v>
      </c>
      <c r="BY2" s="172">
        <v>600</v>
      </c>
      <c r="BZ2" s="172">
        <v>601</v>
      </c>
      <c r="CA2" s="172">
        <v>661</v>
      </c>
      <c r="CB2" s="172">
        <v>662</v>
      </c>
      <c r="CC2" s="172">
        <v>722</v>
      </c>
      <c r="CD2" s="173">
        <v>723</v>
      </c>
      <c r="CE2" s="171">
        <v>51</v>
      </c>
      <c r="CF2" s="172">
        <v>52</v>
      </c>
      <c r="CG2" s="172">
        <v>112</v>
      </c>
      <c r="CH2" s="172">
        <v>113</v>
      </c>
      <c r="CI2" s="172">
        <v>173</v>
      </c>
      <c r="CJ2" s="172">
        <v>174</v>
      </c>
      <c r="CK2" s="172">
        <v>234</v>
      </c>
      <c r="CL2" s="172">
        <v>235</v>
      </c>
      <c r="CM2" s="172">
        <v>295</v>
      </c>
      <c r="CN2" s="172">
        <v>296</v>
      </c>
      <c r="CO2" s="172">
        <v>356</v>
      </c>
      <c r="CP2" s="172">
        <v>357</v>
      </c>
      <c r="CQ2" s="172">
        <v>539</v>
      </c>
      <c r="CR2" s="172">
        <v>540</v>
      </c>
      <c r="CS2" s="172">
        <v>600</v>
      </c>
      <c r="CT2" s="172">
        <v>601</v>
      </c>
      <c r="CU2" s="172">
        <v>661</v>
      </c>
      <c r="CV2" s="172">
        <v>662</v>
      </c>
      <c r="CW2" s="172">
        <v>722</v>
      </c>
      <c r="CX2" s="173">
        <v>723</v>
      </c>
      <c r="CY2" s="171">
        <v>51</v>
      </c>
      <c r="CZ2" s="172">
        <v>52</v>
      </c>
      <c r="DA2" s="172">
        <v>112</v>
      </c>
      <c r="DB2" s="172">
        <v>113</v>
      </c>
      <c r="DC2" s="172">
        <v>173</v>
      </c>
      <c r="DD2" s="172">
        <v>174</v>
      </c>
      <c r="DE2" s="172">
        <v>234</v>
      </c>
      <c r="DF2" s="172">
        <v>235</v>
      </c>
      <c r="DG2" s="172">
        <v>295</v>
      </c>
      <c r="DH2" s="172">
        <v>296</v>
      </c>
      <c r="DI2" s="172">
        <v>356</v>
      </c>
      <c r="DJ2" s="172">
        <v>357</v>
      </c>
      <c r="DK2" s="172">
        <v>539</v>
      </c>
      <c r="DL2" s="172">
        <v>540</v>
      </c>
      <c r="DM2" s="172">
        <v>600</v>
      </c>
      <c r="DN2" s="172">
        <v>601</v>
      </c>
      <c r="DO2" s="172">
        <v>661</v>
      </c>
      <c r="DP2" s="172">
        <v>662</v>
      </c>
      <c r="DQ2" s="172">
        <v>722</v>
      </c>
      <c r="DR2" s="173">
        <v>723</v>
      </c>
      <c r="DS2" s="171">
        <v>51</v>
      </c>
      <c r="DT2" s="172">
        <v>52</v>
      </c>
      <c r="DU2" s="172">
        <v>112</v>
      </c>
      <c r="DV2" s="172">
        <v>113</v>
      </c>
      <c r="DW2" s="172">
        <v>173</v>
      </c>
      <c r="DX2" s="172">
        <v>174</v>
      </c>
      <c r="DY2" s="172">
        <v>234</v>
      </c>
      <c r="DZ2" s="172">
        <v>235</v>
      </c>
      <c r="EA2" s="172">
        <v>295</v>
      </c>
      <c r="EB2" s="172">
        <v>296</v>
      </c>
      <c r="EC2" s="172">
        <v>356</v>
      </c>
      <c r="ED2" s="172">
        <v>357</v>
      </c>
      <c r="EE2" s="172">
        <v>539</v>
      </c>
      <c r="EF2" s="172">
        <v>540</v>
      </c>
      <c r="EG2" s="172">
        <v>600</v>
      </c>
      <c r="EH2" s="172">
        <v>601</v>
      </c>
      <c r="EI2" s="172">
        <v>661</v>
      </c>
      <c r="EJ2" s="172">
        <v>662</v>
      </c>
      <c r="EK2" s="172">
        <v>722</v>
      </c>
      <c r="EL2" s="173">
        <v>723</v>
      </c>
      <c r="EM2" s="171">
        <v>51</v>
      </c>
      <c r="EN2" s="172">
        <v>52</v>
      </c>
      <c r="EO2" s="172">
        <v>112</v>
      </c>
      <c r="EP2" s="172">
        <v>113</v>
      </c>
      <c r="EQ2" s="172">
        <v>173</v>
      </c>
      <c r="ER2" s="172">
        <v>174</v>
      </c>
      <c r="ES2" s="172">
        <v>234</v>
      </c>
      <c r="ET2" s="172">
        <v>235</v>
      </c>
      <c r="EU2" s="172">
        <v>295</v>
      </c>
      <c r="EV2" s="172">
        <v>296</v>
      </c>
      <c r="EW2" s="172">
        <v>356</v>
      </c>
      <c r="EX2" s="172">
        <v>357</v>
      </c>
      <c r="EY2" s="172">
        <v>539</v>
      </c>
      <c r="EZ2" s="172">
        <v>540</v>
      </c>
      <c r="FA2" s="172">
        <v>600</v>
      </c>
      <c r="FB2" s="172">
        <v>601</v>
      </c>
      <c r="FC2" s="172">
        <v>661</v>
      </c>
      <c r="FD2" s="172">
        <v>662</v>
      </c>
      <c r="FE2" s="172">
        <v>722</v>
      </c>
      <c r="FF2" s="173">
        <v>723</v>
      </c>
      <c r="FG2" s="171">
        <v>51</v>
      </c>
      <c r="FH2" s="172">
        <v>52</v>
      </c>
      <c r="FI2" s="172">
        <v>112</v>
      </c>
      <c r="FJ2" s="172">
        <v>113</v>
      </c>
      <c r="FK2" s="172">
        <v>173</v>
      </c>
      <c r="FL2" s="172">
        <v>174</v>
      </c>
      <c r="FM2" s="172">
        <v>234</v>
      </c>
      <c r="FN2" s="172">
        <v>235</v>
      </c>
      <c r="FO2" s="172">
        <v>295</v>
      </c>
      <c r="FP2" s="172">
        <v>296</v>
      </c>
      <c r="FQ2" s="172">
        <v>356</v>
      </c>
      <c r="FR2" s="172">
        <v>357</v>
      </c>
      <c r="FS2" s="172">
        <v>539</v>
      </c>
      <c r="FT2" s="172">
        <v>540</v>
      </c>
      <c r="FU2" s="172">
        <v>600</v>
      </c>
      <c r="FV2" s="172">
        <v>601</v>
      </c>
      <c r="FW2" s="172">
        <v>661</v>
      </c>
      <c r="FX2" s="172">
        <v>662</v>
      </c>
      <c r="FY2" s="172">
        <v>722</v>
      </c>
      <c r="FZ2" s="173">
        <v>723</v>
      </c>
      <c r="GA2" s="171">
        <v>51</v>
      </c>
      <c r="GB2" s="172">
        <v>52</v>
      </c>
      <c r="GC2" s="172">
        <v>112</v>
      </c>
      <c r="GD2" s="172">
        <v>113</v>
      </c>
      <c r="GE2" s="172">
        <v>173</v>
      </c>
      <c r="GF2" s="172">
        <v>174</v>
      </c>
      <c r="GG2" s="172">
        <v>234</v>
      </c>
      <c r="GH2" s="172">
        <v>235</v>
      </c>
      <c r="GI2" s="172">
        <v>295</v>
      </c>
      <c r="GJ2" s="172">
        <v>296</v>
      </c>
      <c r="GK2" s="172">
        <v>356</v>
      </c>
      <c r="GL2" s="172">
        <v>357</v>
      </c>
      <c r="GM2" s="172">
        <v>539</v>
      </c>
      <c r="GN2" s="172">
        <v>540</v>
      </c>
      <c r="GO2" s="172">
        <v>600</v>
      </c>
      <c r="GP2" s="172">
        <v>601</v>
      </c>
      <c r="GQ2" s="172">
        <v>661</v>
      </c>
      <c r="GR2" s="172">
        <v>662</v>
      </c>
      <c r="GS2" s="172">
        <v>722</v>
      </c>
      <c r="GT2" s="173">
        <v>723</v>
      </c>
      <c r="GU2" s="171">
        <v>51</v>
      </c>
      <c r="GV2" s="172">
        <v>52</v>
      </c>
      <c r="GW2" s="172">
        <v>112</v>
      </c>
      <c r="GX2" s="172">
        <v>113</v>
      </c>
      <c r="GY2" s="172">
        <v>173</v>
      </c>
      <c r="GZ2" s="172">
        <v>174</v>
      </c>
      <c r="HA2" s="172">
        <v>234</v>
      </c>
      <c r="HB2" s="172">
        <v>235</v>
      </c>
      <c r="HC2" s="172">
        <v>295</v>
      </c>
      <c r="HD2" s="172">
        <v>296</v>
      </c>
      <c r="HE2" s="172">
        <v>356</v>
      </c>
      <c r="HF2" s="172">
        <v>357</v>
      </c>
      <c r="HG2" s="172">
        <v>539</v>
      </c>
      <c r="HH2" s="172">
        <v>540</v>
      </c>
      <c r="HI2" s="172">
        <v>600</v>
      </c>
      <c r="HJ2" s="172">
        <v>601</v>
      </c>
      <c r="HK2" s="172">
        <v>661</v>
      </c>
      <c r="HL2" s="172">
        <v>662</v>
      </c>
      <c r="HM2" s="172">
        <v>722</v>
      </c>
      <c r="HN2" s="173">
        <v>723</v>
      </c>
      <c r="HO2" s="171">
        <v>51</v>
      </c>
      <c r="HP2" s="172">
        <v>52</v>
      </c>
      <c r="HQ2" s="172">
        <v>112</v>
      </c>
      <c r="HR2" s="172">
        <v>113</v>
      </c>
      <c r="HS2" s="172">
        <v>173</v>
      </c>
      <c r="HT2" s="172">
        <v>174</v>
      </c>
      <c r="HU2" s="172">
        <v>234</v>
      </c>
      <c r="HV2" s="172">
        <v>235</v>
      </c>
      <c r="HW2" s="172">
        <v>295</v>
      </c>
      <c r="HX2" s="172">
        <v>296</v>
      </c>
      <c r="HY2" s="172">
        <v>356</v>
      </c>
      <c r="HZ2" s="172">
        <v>357</v>
      </c>
      <c r="IA2" s="172">
        <v>539</v>
      </c>
      <c r="IB2" s="172">
        <v>540</v>
      </c>
      <c r="IC2" s="172">
        <v>600</v>
      </c>
      <c r="ID2" s="172">
        <v>601</v>
      </c>
      <c r="IE2" s="172">
        <v>661</v>
      </c>
      <c r="IF2" s="172">
        <v>662</v>
      </c>
      <c r="IG2" s="172">
        <v>722</v>
      </c>
      <c r="IH2" s="173">
        <v>723</v>
      </c>
    </row>
    <row r="3" spans="1:242" ht="14">
      <c r="A3" s="174">
        <v>2015</v>
      </c>
      <c r="B3" s="175">
        <v>1</v>
      </c>
      <c r="C3" s="208"/>
      <c r="D3" s="209"/>
      <c r="E3" s="209"/>
      <c r="F3" s="209"/>
      <c r="G3" s="209"/>
      <c r="H3" s="209"/>
      <c r="I3" s="209"/>
      <c r="J3" s="209"/>
      <c r="K3" s="209"/>
      <c r="L3" s="209"/>
      <c r="M3" s="209"/>
      <c r="N3" s="209"/>
      <c r="O3" s="209"/>
      <c r="P3" s="209"/>
      <c r="Q3" s="209"/>
      <c r="R3" s="209"/>
      <c r="S3" s="209"/>
      <c r="T3" s="209"/>
      <c r="U3" s="209"/>
      <c r="V3" s="210"/>
      <c r="W3" s="176"/>
      <c r="X3" s="177"/>
      <c r="Y3" s="177"/>
      <c r="Z3" s="177"/>
      <c r="AA3" s="177"/>
      <c r="AB3" s="177"/>
      <c r="AC3" s="177"/>
      <c r="AD3" s="177"/>
      <c r="AE3" s="177"/>
      <c r="AF3" s="177"/>
      <c r="AG3" s="177"/>
      <c r="AH3" s="177"/>
      <c r="AI3" s="177"/>
      <c r="AJ3" s="177"/>
      <c r="AK3" s="177"/>
      <c r="AL3" s="177"/>
      <c r="AM3" s="177"/>
      <c r="AN3" s="177"/>
      <c r="AO3" s="177"/>
      <c r="AP3" s="178"/>
      <c r="AQ3" s="176"/>
      <c r="AR3" s="177"/>
      <c r="AS3" s="177"/>
      <c r="AT3" s="177"/>
      <c r="AU3" s="177"/>
      <c r="AV3" s="177"/>
      <c r="AW3" s="177"/>
      <c r="AX3" s="177"/>
      <c r="AY3" s="177"/>
      <c r="AZ3" s="177"/>
      <c r="BA3" s="177"/>
      <c r="BB3" s="177"/>
      <c r="BC3" s="177"/>
      <c r="BD3" s="177"/>
      <c r="BE3" s="177"/>
      <c r="BF3" s="177"/>
      <c r="BG3" s="177"/>
      <c r="BH3" s="177"/>
      <c r="BI3" s="177"/>
      <c r="BJ3" s="178"/>
      <c r="BK3" s="176">
        <v>0</v>
      </c>
      <c r="BL3" s="177">
        <v>0</v>
      </c>
      <c r="BM3" s="177">
        <v>349</v>
      </c>
      <c r="BN3" s="177">
        <v>26528</v>
      </c>
      <c r="BO3" s="177">
        <v>37</v>
      </c>
      <c r="BP3" s="177">
        <v>3833</v>
      </c>
      <c r="BQ3" s="177">
        <v>1446</v>
      </c>
      <c r="BR3" s="177">
        <v>188628</v>
      </c>
      <c r="BS3" s="177">
        <v>30</v>
      </c>
      <c r="BT3" s="177">
        <v>1937</v>
      </c>
      <c r="BU3" s="177">
        <v>2371</v>
      </c>
      <c r="BV3" s="177">
        <v>296910</v>
      </c>
      <c r="BW3" s="177">
        <v>47</v>
      </c>
      <c r="BX3" s="177">
        <v>6709</v>
      </c>
      <c r="BY3" s="177">
        <v>1952</v>
      </c>
      <c r="BZ3" s="177">
        <v>309800</v>
      </c>
      <c r="CA3" s="177">
        <v>114</v>
      </c>
      <c r="CB3" s="177">
        <v>12477</v>
      </c>
      <c r="CC3" s="177">
        <v>6117</v>
      </c>
      <c r="CD3" s="178">
        <v>821867</v>
      </c>
      <c r="CE3" s="176"/>
      <c r="CF3" s="177"/>
      <c r="CG3" s="177"/>
      <c r="CH3" s="177"/>
      <c r="CI3" s="177"/>
      <c r="CJ3" s="177"/>
      <c r="CK3" s="177"/>
      <c r="CL3" s="177"/>
      <c r="CM3" s="177"/>
      <c r="CN3" s="177"/>
      <c r="CO3" s="177"/>
      <c r="CP3" s="177"/>
      <c r="CQ3" s="177"/>
      <c r="CR3" s="177"/>
      <c r="CS3" s="177"/>
      <c r="CT3" s="177"/>
      <c r="CU3" s="177"/>
      <c r="CV3" s="177"/>
      <c r="CW3" s="177"/>
      <c r="CX3" s="178"/>
      <c r="CY3" s="208">
        <v>0</v>
      </c>
      <c r="CZ3" s="209">
        <v>0</v>
      </c>
      <c r="DA3" s="209">
        <v>600</v>
      </c>
      <c r="DB3" s="209">
        <v>45747</v>
      </c>
      <c r="DC3" s="209">
        <v>22</v>
      </c>
      <c r="DD3" s="209">
        <v>2545</v>
      </c>
      <c r="DE3" s="209">
        <v>2378</v>
      </c>
      <c r="DF3" s="209">
        <v>307538</v>
      </c>
      <c r="DG3" s="209">
        <v>0</v>
      </c>
      <c r="DH3" s="209">
        <v>0</v>
      </c>
      <c r="DI3" s="209">
        <v>3499</v>
      </c>
      <c r="DJ3" s="209">
        <v>439432</v>
      </c>
      <c r="DK3" s="209">
        <v>35</v>
      </c>
      <c r="DL3" s="209">
        <v>5109</v>
      </c>
      <c r="DM3" s="209">
        <v>3228</v>
      </c>
      <c r="DN3" s="209">
        <v>506848</v>
      </c>
      <c r="DO3" s="209">
        <v>57</v>
      </c>
      <c r="DP3" s="209">
        <v>7654</v>
      </c>
      <c r="DQ3" s="209">
        <v>9704</v>
      </c>
      <c r="DR3" s="210">
        <v>1299565</v>
      </c>
      <c r="DS3" s="208">
        <v>13</v>
      </c>
      <c r="DT3" s="209">
        <v>1374</v>
      </c>
      <c r="DU3" s="209">
        <v>802</v>
      </c>
      <c r="DV3" s="209">
        <v>62627</v>
      </c>
      <c r="DW3" s="209">
        <v>15</v>
      </c>
      <c r="DX3" s="209">
        <v>1829</v>
      </c>
      <c r="DY3" s="209">
        <v>2966</v>
      </c>
      <c r="DZ3" s="209">
        <v>383866</v>
      </c>
      <c r="EA3" s="209">
        <v>15</v>
      </c>
      <c r="EB3" s="209">
        <v>1517</v>
      </c>
      <c r="EC3" s="209">
        <v>3999</v>
      </c>
      <c r="ED3" s="209">
        <v>507928</v>
      </c>
      <c r="EE3" s="209">
        <v>35</v>
      </c>
      <c r="EF3" s="209">
        <v>4797</v>
      </c>
      <c r="EG3" s="209">
        <v>3982</v>
      </c>
      <c r="EH3" s="209">
        <v>622464</v>
      </c>
      <c r="EI3" s="209">
        <v>79</v>
      </c>
      <c r="EJ3" s="209">
        <v>9517</v>
      </c>
      <c r="EK3" s="209">
        <v>11749</v>
      </c>
      <c r="EL3" s="210">
        <v>1576882</v>
      </c>
      <c r="EM3" s="176"/>
      <c r="EN3" s="177"/>
      <c r="EO3" s="177"/>
      <c r="EP3" s="177"/>
      <c r="EQ3" s="177"/>
      <c r="ER3" s="177"/>
      <c r="ES3" s="177"/>
      <c r="ET3" s="177"/>
      <c r="EU3" s="177"/>
      <c r="EV3" s="177"/>
      <c r="EW3" s="177"/>
      <c r="EX3" s="177"/>
      <c r="EY3" s="177"/>
      <c r="EZ3" s="177"/>
      <c r="FA3" s="177"/>
      <c r="FB3" s="177"/>
      <c r="FC3" s="177"/>
      <c r="FD3" s="177"/>
      <c r="FE3" s="177"/>
      <c r="FF3" s="178"/>
      <c r="FG3" s="176"/>
      <c r="FH3" s="177"/>
      <c r="FI3" s="177"/>
      <c r="FJ3" s="177"/>
      <c r="FK3" s="177"/>
      <c r="FL3" s="177"/>
      <c r="FM3" s="177"/>
      <c r="FN3" s="177"/>
      <c r="FO3" s="177"/>
      <c r="FP3" s="177"/>
      <c r="FQ3" s="177"/>
      <c r="FR3" s="177"/>
      <c r="FS3" s="177"/>
      <c r="FT3" s="177"/>
      <c r="FU3" s="177"/>
      <c r="FV3" s="177"/>
      <c r="FW3" s="177"/>
      <c r="FX3" s="177"/>
      <c r="FY3" s="177"/>
      <c r="FZ3" s="178"/>
      <c r="GA3" s="176"/>
      <c r="GB3" s="177"/>
      <c r="GC3" s="177"/>
      <c r="GD3" s="177"/>
      <c r="GE3" s="177"/>
      <c r="GF3" s="177"/>
      <c r="GG3" s="177"/>
      <c r="GH3" s="177"/>
      <c r="GI3" s="177"/>
      <c r="GJ3" s="177"/>
      <c r="GK3" s="177"/>
      <c r="GL3" s="177"/>
      <c r="GM3" s="177"/>
      <c r="GN3" s="177"/>
      <c r="GO3" s="177"/>
      <c r="GP3" s="177"/>
      <c r="GQ3" s="177"/>
      <c r="GR3" s="177"/>
      <c r="GS3" s="177"/>
      <c r="GT3" s="178"/>
      <c r="GU3" s="176"/>
      <c r="GV3" s="177"/>
      <c r="GW3" s="177"/>
      <c r="GX3" s="177"/>
      <c r="GY3" s="177"/>
      <c r="GZ3" s="177"/>
      <c r="HA3" s="177"/>
      <c r="HB3" s="177"/>
      <c r="HC3" s="177"/>
      <c r="HD3" s="177"/>
      <c r="HE3" s="177"/>
      <c r="HF3" s="177"/>
      <c r="HG3" s="177"/>
      <c r="HH3" s="177"/>
      <c r="HI3" s="177"/>
      <c r="HJ3" s="177"/>
      <c r="HK3" s="177"/>
      <c r="HL3" s="177"/>
      <c r="HM3" s="177"/>
      <c r="HN3" s="178"/>
      <c r="HO3" s="176"/>
      <c r="HP3" s="177"/>
      <c r="HQ3" s="177"/>
      <c r="HR3" s="177"/>
      <c r="HS3" s="177"/>
      <c r="HT3" s="177"/>
      <c r="HU3" s="177"/>
      <c r="HV3" s="177"/>
      <c r="HW3" s="177"/>
      <c r="HX3" s="177"/>
      <c r="HY3" s="177"/>
      <c r="HZ3" s="177"/>
      <c r="IA3" s="177"/>
      <c r="IB3" s="177"/>
      <c r="IC3" s="177"/>
      <c r="ID3" s="177"/>
      <c r="IE3" s="177"/>
      <c r="IF3" s="177"/>
      <c r="IG3" s="177"/>
      <c r="IH3" s="178"/>
    </row>
    <row r="4" spans="1:242" ht="14">
      <c r="B4" s="175">
        <v>2</v>
      </c>
      <c r="C4" s="211">
        <v>6</v>
      </c>
      <c r="D4" s="212">
        <v>353</v>
      </c>
      <c r="E4" s="212">
        <v>6</v>
      </c>
      <c r="F4" s="212">
        <v>353</v>
      </c>
      <c r="G4" s="212">
        <v>14</v>
      </c>
      <c r="H4" s="212">
        <v>1554</v>
      </c>
      <c r="I4" s="212">
        <v>14</v>
      </c>
      <c r="J4" s="212">
        <v>1554</v>
      </c>
      <c r="K4" s="212">
        <v>21</v>
      </c>
      <c r="L4" s="212">
        <v>1675</v>
      </c>
      <c r="M4" s="212">
        <v>21</v>
      </c>
      <c r="N4" s="212">
        <v>1675</v>
      </c>
      <c r="O4" s="212">
        <v>67</v>
      </c>
      <c r="P4" s="212">
        <v>8462</v>
      </c>
      <c r="Q4" s="212">
        <v>67</v>
      </c>
      <c r="R4" s="212">
        <v>8462</v>
      </c>
      <c r="S4" s="212">
        <v>0</v>
      </c>
      <c r="T4" s="212">
        <v>0</v>
      </c>
      <c r="U4" s="212">
        <v>0</v>
      </c>
      <c r="V4" s="213">
        <v>0</v>
      </c>
      <c r="W4" s="179">
        <v>25</v>
      </c>
      <c r="X4" s="180">
        <v>2401</v>
      </c>
      <c r="Y4" s="180">
        <v>126</v>
      </c>
      <c r="Z4" s="180">
        <v>9101</v>
      </c>
      <c r="AA4" s="180">
        <v>16</v>
      </c>
      <c r="AB4" s="180">
        <v>1325</v>
      </c>
      <c r="AC4" s="180">
        <v>466</v>
      </c>
      <c r="AD4" s="180">
        <v>56897</v>
      </c>
      <c r="AE4" s="180">
        <v>5</v>
      </c>
      <c r="AF4" s="180">
        <v>606</v>
      </c>
      <c r="AG4" s="180">
        <v>776</v>
      </c>
      <c r="AH4" s="180">
        <v>96317</v>
      </c>
      <c r="AI4" s="180">
        <v>24</v>
      </c>
      <c r="AJ4" s="180">
        <v>4297</v>
      </c>
      <c r="AK4" s="180">
        <v>647</v>
      </c>
      <c r="AL4" s="180">
        <v>108317</v>
      </c>
      <c r="AM4" s="180">
        <v>69</v>
      </c>
      <c r="AN4" s="180">
        <v>8630</v>
      </c>
      <c r="AO4" s="180">
        <v>2015</v>
      </c>
      <c r="AP4" s="181">
        <v>270632</v>
      </c>
      <c r="AQ4" s="179">
        <v>8</v>
      </c>
      <c r="AR4" s="180">
        <v>500</v>
      </c>
      <c r="AS4" s="180">
        <v>265</v>
      </c>
      <c r="AT4" s="180">
        <v>20052</v>
      </c>
      <c r="AU4" s="180">
        <v>11</v>
      </c>
      <c r="AV4" s="180">
        <v>1623</v>
      </c>
      <c r="AW4" s="180">
        <v>921</v>
      </c>
      <c r="AX4" s="180">
        <v>119977</v>
      </c>
      <c r="AY4" s="180">
        <v>2</v>
      </c>
      <c r="AZ4" s="180">
        <v>362</v>
      </c>
      <c r="BA4" s="180">
        <v>1488</v>
      </c>
      <c r="BB4" s="180">
        <v>184543</v>
      </c>
      <c r="BC4" s="180">
        <v>26</v>
      </c>
      <c r="BD4" s="180">
        <v>3986</v>
      </c>
      <c r="BE4" s="180">
        <v>1236</v>
      </c>
      <c r="BF4" s="180">
        <v>202620</v>
      </c>
      <c r="BG4" s="180">
        <v>46</v>
      </c>
      <c r="BH4" s="180">
        <v>6470</v>
      </c>
      <c r="BI4" s="180">
        <v>3909</v>
      </c>
      <c r="BJ4" s="181">
        <v>527192</v>
      </c>
      <c r="BK4" s="179">
        <v>0</v>
      </c>
      <c r="BL4" s="180">
        <v>0</v>
      </c>
      <c r="BM4" s="180">
        <v>349</v>
      </c>
      <c r="BN4" s="180">
        <v>26528</v>
      </c>
      <c r="BO4" s="180">
        <v>54</v>
      </c>
      <c r="BP4" s="180">
        <v>6296</v>
      </c>
      <c r="BQ4" s="180">
        <v>1463</v>
      </c>
      <c r="BR4" s="180">
        <v>191090</v>
      </c>
      <c r="BS4" s="180">
        <v>79</v>
      </c>
      <c r="BT4" s="180">
        <v>8795</v>
      </c>
      <c r="BU4" s="180">
        <v>2420</v>
      </c>
      <c r="BV4" s="180">
        <v>303768</v>
      </c>
      <c r="BW4" s="180">
        <v>94</v>
      </c>
      <c r="BX4" s="180">
        <v>13727</v>
      </c>
      <c r="BY4" s="180">
        <v>1999</v>
      </c>
      <c r="BZ4" s="180">
        <v>316820</v>
      </c>
      <c r="CA4" s="180">
        <v>227</v>
      </c>
      <c r="CB4" s="180">
        <v>28817</v>
      </c>
      <c r="CC4" s="180">
        <v>6230</v>
      </c>
      <c r="CD4" s="181">
        <v>838208</v>
      </c>
      <c r="CE4" s="179"/>
      <c r="CF4" s="180"/>
      <c r="CG4" s="180"/>
      <c r="CH4" s="180"/>
      <c r="CI4" s="180"/>
      <c r="CJ4" s="180"/>
      <c r="CK4" s="180"/>
      <c r="CL4" s="180"/>
      <c r="CM4" s="180"/>
      <c r="CN4" s="180"/>
      <c r="CO4" s="180"/>
      <c r="CP4" s="180"/>
      <c r="CQ4" s="180"/>
      <c r="CR4" s="180"/>
      <c r="CS4" s="180"/>
      <c r="CT4" s="180"/>
      <c r="CU4" s="180"/>
      <c r="CV4" s="180"/>
      <c r="CW4" s="180"/>
      <c r="CX4" s="181"/>
      <c r="CY4" s="211">
        <v>1</v>
      </c>
      <c r="CZ4" s="212">
        <v>75</v>
      </c>
      <c r="DA4" s="212">
        <v>601</v>
      </c>
      <c r="DB4" s="212">
        <v>45822</v>
      </c>
      <c r="DC4" s="212">
        <v>41</v>
      </c>
      <c r="DD4" s="212">
        <v>4985</v>
      </c>
      <c r="DE4" s="212">
        <v>2396</v>
      </c>
      <c r="DF4" s="212">
        <v>309978</v>
      </c>
      <c r="DG4" s="212">
        <v>29</v>
      </c>
      <c r="DH4" s="212">
        <v>2357</v>
      </c>
      <c r="DI4" s="212">
        <v>3528</v>
      </c>
      <c r="DJ4" s="212">
        <v>441788</v>
      </c>
      <c r="DK4" s="212">
        <v>77</v>
      </c>
      <c r="DL4" s="212">
        <v>11029</v>
      </c>
      <c r="DM4" s="212">
        <v>3269</v>
      </c>
      <c r="DN4" s="212">
        <v>512768</v>
      </c>
      <c r="DO4" s="212">
        <v>148</v>
      </c>
      <c r="DP4" s="212">
        <v>18445</v>
      </c>
      <c r="DQ4" s="212">
        <v>9795</v>
      </c>
      <c r="DR4" s="213">
        <v>1310357</v>
      </c>
      <c r="DS4" s="211">
        <v>23</v>
      </c>
      <c r="DT4" s="212">
        <v>2031</v>
      </c>
      <c r="DU4" s="212">
        <v>812</v>
      </c>
      <c r="DV4" s="212">
        <v>63283</v>
      </c>
      <c r="DW4" s="212">
        <v>32</v>
      </c>
      <c r="DX4" s="212">
        <v>3681</v>
      </c>
      <c r="DY4" s="212">
        <v>2982</v>
      </c>
      <c r="DZ4" s="212">
        <v>385718</v>
      </c>
      <c r="EA4" s="212">
        <v>26</v>
      </c>
      <c r="EB4" s="212">
        <v>1913</v>
      </c>
      <c r="EC4" s="212">
        <v>4010</v>
      </c>
      <c r="ED4" s="212">
        <v>508324</v>
      </c>
      <c r="EE4" s="212">
        <v>70</v>
      </c>
      <c r="EF4" s="212">
        <v>10377</v>
      </c>
      <c r="EG4" s="212">
        <v>4017</v>
      </c>
      <c r="EH4" s="212">
        <v>628043</v>
      </c>
      <c r="EI4" s="212">
        <v>150</v>
      </c>
      <c r="EJ4" s="212">
        <v>18001</v>
      </c>
      <c r="EK4" s="212">
        <v>11820</v>
      </c>
      <c r="EL4" s="213">
        <v>1585368</v>
      </c>
      <c r="EM4" s="179"/>
      <c r="EN4" s="180"/>
      <c r="EO4" s="180"/>
      <c r="EP4" s="180"/>
      <c r="EQ4" s="180"/>
      <c r="ER4" s="180"/>
      <c r="ES4" s="180"/>
      <c r="ET4" s="180"/>
      <c r="EU4" s="180"/>
      <c r="EV4" s="180"/>
      <c r="EW4" s="180"/>
      <c r="EX4" s="180"/>
      <c r="EY4" s="180"/>
      <c r="EZ4" s="180"/>
      <c r="FA4" s="180"/>
      <c r="FB4" s="180"/>
      <c r="FC4" s="180"/>
      <c r="FD4" s="180"/>
      <c r="FE4" s="180"/>
      <c r="FF4" s="181"/>
      <c r="FG4" s="179"/>
      <c r="FH4" s="180"/>
      <c r="FI4" s="180"/>
      <c r="FJ4" s="180"/>
      <c r="FK4" s="180"/>
      <c r="FL4" s="180"/>
      <c r="FM4" s="180"/>
      <c r="FN4" s="180"/>
      <c r="FO4" s="180"/>
      <c r="FP4" s="180"/>
      <c r="FQ4" s="180"/>
      <c r="FR4" s="180"/>
      <c r="FS4" s="180"/>
      <c r="FT4" s="180"/>
      <c r="FU4" s="180"/>
      <c r="FV4" s="180"/>
      <c r="FW4" s="180"/>
      <c r="FX4" s="180"/>
      <c r="FY4" s="180"/>
      <c r="FZ4" s="181"/>
      <c r="GA4" s="179"/>
      <c r="GB4" s="180"/>
      <c r="GC4" s="180"/>
      <c r="GD4" s="180"/>
      <c r="GE4" s="180"/>
      <c r="GF4" s="180"/>
      <c r="GG4" s="180"/>
      <c r="GH4" s="180"/>
      <c r="GI4" s="180"/>
      <c r="GJ4" s="180"/>
      <c r="GK4" s="180"/>
      <c r="GL4" s="180"/>
      <c r="GM4" s="180"/>
      <c r="GN4" s="180"/>
      <c r="GO4" s="180"/>
      <c r="GP4" s="180"/>
      <c r="GQ4" s="180"/>
      <c r="GR4" s="180"/>
      <c r="GS4" s="180"/>
      <c r="GT4" s="181"/>
      <c r="GU4" s="179"/>
      <c r="GV4" s="180"/>
      <c r="GW4" s="180"/>
      <c r="GX4" s="180"/>
      <c r="GY4" s="180"/>
      <c r="GZ4" s="180"/>
      <c r="HA4" s="180"/>
      <c r="HB4" s="180"/>
      <c r="HC4" s="180"/>
      <c r="HD4" s="180"/>
      <c r="HE4" s="180"/>
      <c r="HF4" s="180"/>
      <c r="HG4" s="180"/>
      <c r="HH4" s="180"/>
      <c r="HI4" s="180"/>
      <c r="HJ4" s="180"/>
      <c r="HK4" s="180"/>
      <c r="HL4" s="180"/>
      <c r="HM4" s="180"/>
      <c r="HN4" s="181"/>
      <c r="HO4" s="179"/>
      <c r="HP4" s="180"/>
      <c r="HQ4" s="180"/>
      <c r="HR4" s="180"/>
      <c r="HS4" s="180"/>
      <c r="HT4" s="180"/>
      <c r="HU4" s="180"/>
      <c r="HV4" s="180"/>
      <c r="HW4" s="180"/>
      <c r="HX4" s="180"/>
      <c r="HY4" s="180"/>
      <c r="HZ4" s="180"/>
      <c r="IA4" s="180"/>
      <c r="IB4" s="180"/>
      <c r="IC4" s="180"/>
      <c r="ID4" s="180"/>
      <c r="IE4" s="180"/>
      <c r="IF4" s="180"/>
      <c r="IG4" s="180"/>
      <c r="IH4" s="181"/>
    </row>
    <row r="5" spans="1:242" ht="14">
      <c r="A5" s="167" t="s">
        <v>163</v>
      </c>
      <c r="B5" s="175">
        <v>3</v>
      </c>
      <c r="C5" s="211"/>
      <c r="D5" s="212"/>
      <c r="E5" s="212"/>
      <c r="F5" s="212"/>
      <c r="G5" s="212"/>
      <c r="H5" s="212"/>
      <c r="I5" s="212"/>
      <c r="J5" s="212"/>
      <c r="K5" s="212"/>
      <c r="L5" s="212"/>
      <c r="M5" s="212"/>
      <c r="N5" s="212"/>
      <c r="O5" s="212"/>
      <c r="P5" s="212"/>
      <c r="Q5" s="212"/>
      <c r="R5" s="212"/>
      <c r="S5" s="212"/>
      <c r="T5" s="212"/>
      <c r="U5" s="212"/>
      <c r="V5" s="213"/>
      <c r="W5" s="179">
        <v>42</v>
      </c>
      <c r="X5" s="180">
        <v>3857</v>
      </c>
      <c r="Y5" s="180">
        <v>143</v>
      </c>
      <c r="Z5" s="180">
        <v>10557</v>
      </c>
      <c r="AA5" s="180">
        <v>38</v>
      </c>
      <c r="AB5" s="180">
        <v>3608</v>
      </c>
      <c r="AC5" s="180">
        <v>488</v>
      </c>
      <c r="AD5" s="180">
        <v>59180</v>
      </c>
      <c r="AE5" s="180">
        <v>26</v>
      </c>
      <c r="AF5" s="180">
        <v>3310</v>
      </c>
      <c r="AG5" s="180">
        <v>797</v>
      </c>
      <c r="AH5" s="180">
        <v>99021</v>
      </c>
      <c r="AI5" s="180">
        <v>66</v>
      </c>
      <c r="AJ5" s="180">
        <v>11007</v>
      </c>
      <c r="AK5" s="180">
        <v>689</v>
      </c>
      <c r="AL5" s="180">
        <v>115025</v>
      </c>
      <c r="AM5" s="180">
        <v>172</v>
      </c>
      <c r="AN5" s="180">
        <v>21781</v>
      </c>
      <c r="AO5" s="180">
        <v>2118</v>
      </c>
      <c r="AP5" s="181">
        <v>283785</v>
      </c>
      <c r="AQ5" s="179">
        <v>16</v>
      </c>
      <c r="AR5" s="180">
        <v>1098</v>
      </c>
      <c r="AS5" s="180">
        <v>273</v>
      </c>
      <c r="AT5" s="180">
        <v>20650</v>
      </c>
      <c r="AU5" s="180">
        <v>43</v>
      </c>
      <c r="AV5" s="180">
        <v>5611</v>
      </c>
      <c r="AW5" s="180">
        <v>953</v>
      </c>
      <c r="AX5" s="180">
        <v>123965</v>
      </c>
      <c r="AY5" s="180">
        <v>21</v>
      </c>
      <c r="AZ5" s="180">
        <v>2648</v>
      </c>
      <c r="BA5" s="180">
        <v>1506</v>
      </c>
      <c r="BB5" s="180">
        <v>186828</v>
      </c>
      <c r="BC5" s="180">
        <v>55</v>
      </c>
      <c r="BD5" s="180">
        <v>8281</v>
      </c>
      <c r="BE5" s="180">
        <v>1265</v>
      </c>
      <c r="BF5" s="180">
        <v>206916</v>
      </c>
      <c r="BG5" s="180">
        <v>134</v>
      </c>
      <c r="BH5" s="180">
        <v>17638</v>
      </c>
      <c r="BI5" s="180">
        <v>3997</v>
      </c>
      <c r="BJ5" s="181">
        <v>538359</v>
      </c>
      <c r="BK5" s="179">
        <v>0</v>
      </c>
      <c r="BL5" s="180">
        <v>0</v>
      </c>
      <c r="BM5" s="180">
        <v>349</v>
      </c>
      <c r="BN5" s="180">
        <v>26528</v>
      </c>
      <c r="BO5" s="180">
        <v>68</v>
      </c>
      <c r="BP5" s="180">
        <v>8632</v>
      </c>
      <c r="BQ5" s="180">
        <v>1476</v>
      </c>
      <c r="BR5" s="180">
        <v>193427</v>
      </c>
      <c r="BS5" s="180">
        <v>79</v>
      </c>
      <c r="BT5" s="180">
        <v>8795</v>
      </c>
      <c r="BU5" s="180">
        <v>2420</v>
      </c>
      <c r="BV5" s="180">
        <v>303768</v>
      </c>
      <c r="BW5" s="180">
        <v>126</v>
      </c>
      <c r="BX5" s="180">
        <v>19959</v>
      </c>
      <c r="BY5" s="180">
        <v>2031</v>
      </c>
      <c r="BZ5" s="180">
        <v>323052</v>
      </c>
      <c r="CA5" s="180">
        <v>273</v>
      </c>
      <c r="CB5" s="180">
        <v>37386</v>
      </c>
      <c r="CC5" s="180">
        <v>6275</v>
      </c>
      <c r="CD5" s="181">
        <v>846777</v>
      </c>
      <c r="CE5" s="179"/>
      <c r="CF5" s="180"/>
      <c r="CG5" s="180"/>
      <c r="CH5" s="180"/>
      <c r="CI5" s="180"/>
      <c r="CJ5" s="180"/>
      <c r="CK5" s="180"/>
      <c r="CL5" s="180"/>
      <c r="CM5" s="180"/>
      <c r="CN5" s="180"/>
      <c r="CO5" s="180"/>
      <c r="CP5" s="180"/>
      <c r="CQ5" s="180"/>
      <c r="CR5" s="180"/>
      <c r="CS5" s="180"/>
      <c r="CT5" s="180"/>
      <c r="CU5" s="180"/>
      <c r="CV5" s="180"/>
      <c r="CW5" s="180"/>
      <c r="CX5" s="181"/>
      <c r="CY5" s="211">
        <v>1</v>
      </c>
      <c r="CZ5" s="212">
        <v>75</v>
      </c>
      <c r="DA5" s="212">
        <v>601</v>
      </c>
      <c r="DB5" s="212">
        <v>45822</v>
      </c>
      <c r="DC5" s="212">
        <v>57</v>
      </c>
      <c r="DD5" s="212">
        <v>6772</v>
      </c>
      <c r="DE5" s="212">
        <v>2413</v>
      </c>
      <c r="DF5" s="212">
        <v>311765</v>
      </c>
      <c r="DG5" s="212">
        <v>74</v>
      </c>
      <c r="DH5" s="212">
        <v>9007</v>
      </c>
      <c r="DI5" s="212">
        <v>3573</v>
      </c>
      <c r="DJ5" s="212">
        <v>448439</v>
      </c>
      <c r="DK5" s="212">
        <v>113</v>
      </c>
      <c r="DL5" s="212">
        <v>16600</v>
      </c>
      <c r="DM5" s="212">
        <v>3305</v>
      </c>
      <c r="DN5" s="212">
        <v>518341</v>
      </c>
      <c r="DO5" s="212">
        <v>245</v>
      </c>
      <c r="DP5" s="212">
        <v>32455</v>
      </c>
      <c r="DQ5" s="212">
        <v>9892</v>
      </c>
      <c r="DR5" s="213">
        <v>1324366</v>
      </c>
      <c r="DS5" s="211">
        <v>30</v>
      </c>
      <c r="DT5" s="212">
        <v>2632</v>
      </c>
      <c r="DU5" s="212">
        <v>819</v>
      </c>
      <c r="DV5" s="212">
        <v>63885</v>
      </c>
      <c r="DW5" s="212">
        <v>76</v>
      </c>
      <c r="DX5" s="212">
        <v>9826</v>
      </c>
      <c r="DY5" s="212">
        <v>3026</v>
      </c>
      <c r="DZ5" s="212">
        <v>391863</v>
      </c>
      <c r="EA5" s="212">
        <v>59</v>
      </c>
      <c r="EB5" s="212">
        <v>4433</v>
      </c>
      <c r="EC5" s="212">
        <v>4043</v>
      </c>
      <c r="ED5" s="212">
        <v>510844</v>
      </c>
      <c r="EE5" s="212">
        <v>103</v>
      </c>
      <c r="EF5" s="212">
        <v>16977</v>
      </c>
      <c r="EG5" s="212">
        <v>4050</v>
      </c>
      <c r="EH5" s="212">
        <v>634644</v>
      </c>
      <c r="EI5" s="212">
        <v>268</v>
      </c>
      <c r="EJ5" s="212">
        <v>33868</v>
      </c>
      <c r="EK5" s="212">
        <v>11937</v>
      </c>
      <c r="EL5" s="213">
        <v>1601234</v>
      </c>
      <c r="EM5" s="211">
        <v>0</v>
      </c>
      <c r="EN5" s="212">
        <v>0</v>
      </c>
      <c r="EO5" s="212">
        <v>1015</v>
      </c>
      <c r="EP5" s="212">
        <v>80281</v>
      </c>
      <c r="EQ5" s="212">
        <v>11</v>
      </c>
      <c r="ER5" s="212">
        <v>1159</v>
      </c>
      <c r="ES5" s="212">
        <v>3477</v>
      </c>
      <c r="ET5" s="212">
        <v>451647</v>
      </c>
      <c r="EU5" s="212">
        <v>0</v>
      </c>
      <c r="EV5" s="212">
        <v>30</v>
      </c>
      <c r="EW5" s="212">
        <v>4414</v>
      </c>
      <c r="EX5" s="212">
        <v>555127</v>
      </c>
      <c r="EY5" s="212">
        <v>29</v>
      </c>
      <c r="EZ5" s="212">
        <v>4439</v>
      </c>
      <c r="FA5" s="212">
        <v>4665</v>
      </c>
      <c r="FB5" s="212">
        <v>733329</v>
      </c>
      <c r="FC5" s="212">
        <v>40</v>
      </c>
      <c r="FD5" s="212">
        <v>5628</v>
      </c>
      <c r="FE5" s="212">
        <v>13570</v>
      </c>
      <c r="FF5" s="213">
        <v>1820384</v>
      </c>
      <c r="FG5" s="179"/>
      <c r="FH5" s="180"/>
      <c r="FI5" s="180"/>
      <c r="FJ5" s="180"/>
      <c r="FK5" s="180"/>
      <c r="FL5" s="180"/>
      <c r="FM5" s="180"/>
      <c r="FN5" s="180"/>
      <c r="FO5" s="180"/>
      <c r="FP5" s="180"/>
      <c r="FQ5" s="180"/>
      <c r="FR5" s="180"/>
      <c r="FS5" s="180"/>
      <c r="FT5" s="180"/>
      <c r="FU5" s="180"/>
      <c r="FV5" s="180"/>
      <c r="FW5" s="180"/>
      <c r="FX5" s="180"/>
      <c r="FY5" s="180"/>
      <c r="FZ5" s="181"/>
      <c r="GA5" s="179"/>
      <c r="GB5" s="180"/>
      <c r="GC5" s="180"/>
      <c r="GD5" s="180"/>
      <c r="GE5" s="180"/>
      <c r="GF5" s="180"/>
      <c r="GG5" s="180"/>
      <c r="GH5" s="180"/>
      <c r="GI5" s="180"/>
      <c r="GJ5" s="180"/>
      <c r="GK5" s="180"/>
      <c r="GL5" s="180"/>
      <c r="GM5" s="180"/>
      <c r="GN5" s="180"/>
      <c r="GO5" s="180"/>
      <c r="GP5" s="180"/>
      <c r="GQ5" s="180"/>
      <c r="GR5" s="180"/>
      <c r="GS5" s="180"/>
      <c r="GT5" s="181"/>
      <c r="GU5" s="179"/>
      <c r="GV5" s="180"/>
      <c r="GW5" s="180"/>
      <c r="GX5" s="180"/>
      <c r="GY5" s="180"/>
      <c r="GZ5" s="180"/>
      <c r="HA5" s="180"/>
      <c r="HB5" s="180"/>
      <c r="HC5" s="180"/>
      <c r="HD5" s="180"/>
      <c r="HE5" s="180"/>
      <c r="HF5" s="180"/>
      <c r="HG5" s="180"/>
      <c r="HH5" s="180"/>
      <c r="HI5" s="180"/>
      <c r="HJ5" s="180"/>
      <c r="HK5" s="180"/>
      <c r="HL5" s="180"/>
      <c r="HM5" s="180"/>
      <c r="HN5" s="181"/>
      <c r="HO5" s="179"/>
      <c r="HP5" s="180"/>
      <c r="HQ5" s="180"/>
      <c r="HR5" s="180"/>
      <c r="HS5" s="180"/>
      <c r="HT5" s="180"/>
      <c r="HU5" s="180"/>
      <c r="HV5" s="180"/>
      <c r="HW5" s="180"/>
      <c r="HX5" s="180"/>
      <c r="HY5" s="180"/>
      <c r="HZ5" s="180"/>
      <c r="IA5" s="180"/>
      <c r="IB5" s="180"/>
      <c r="IC5" s="180"/>
      <c r="ID5" s="180"/>
      <c r="IE5" s="180"/>
      <c r="IF5" s="180"/>
      <c r="IG5" s="180"/>
      <c r="IH5" s="181"/>
    </row>
    <row r="6" spans="1:242" ht="14">
      <c r="A6" s="169" t="s">
        <v>164</v>
      </c>
      <c r="B6" s="175">
        <v>4</v>
      </c>
      <c r="C6" s="211"/>
      <c r="D6" s="212"/>
      <c r="E6" s="212"/>
      <c r="F6" s="212"/>
      <c r="G6" s="212"/>
      <c r="H6" s="212"/>
      <c r="I6" s="212"/>
      <c r="J6" s="212"/>
      <c r="K6" s="212"/>
      <c r="L6" s="212"/>
      <c r="M6" s="212"/>
      <c r="N6" s="212"/>
      <c r="O6" s="212"/>
      <c r="P6" s="212"/>
      <c r="Q6" s="212"/>
      <c r="R6" s="212"/>
      <c r="S6" s="212"/>
      <c r="T6" s="212"/>
      <c r="U6" s="212"/>
      <c r="V6" s="213"/>
      <c r="W6" s="179">
        <v>48</v>
      </c>
      <c r="X6" s="180">
        <v>4367</v>
      </c>
      <c r="Y6" s="180">
        <v>149</v>
      </c>
      <c r="Z6" s="180">
        <v>11068</v>
      </c>
      <c r="AA6" s="180">
        <v>56</v>
      </c>
      <c r="AB6" s="180">
        <v>6784</v>
      </c>
      <c r="AC6" s="180">
        <v>507</v>
      </c>
      <c r="AD6" s="180">
        <v>62356</v>
      </c>
      <c r="AE6" s="180">
        <v>50</v>
      </c>
      <c r="AF6" s="180">
        <v>6374</v>
      </c>
      <c r="AG6" s="180">
        <v>821</v>
      </c>
      <c r="AH6" s="180">
        <v>102085</v>
      </c>
      <c r="AI6" s="180">
        <v>103</v>
      </c>
      <c r="AJ6" s="180">
        <v>16998</v>
      </c>
      <c r="AK6" s="180">
        <v>726</v>
      </c>
      <c r="AL6" s="180">
        <v>121017</v>
      </c>
      <c r="AM6" s="180">
        <v>257</v>
      </c>
      <c r="AN6" s="180">
        <v>34523</v>
      </c>
      <c r="AO6" s="180">
        <v>2203</v>
      </c>
      <c r="AP6" s="181">
        <v>296526</v>
      </c>
      <c r="AQ6" s="179">
        <v>19</v>
      </c>
      <c r="AR6" s="180">
        <v>1221</v>
      </c>
      <c r="AS6" s="180">
        <v>276</v>
      </c>
      <c r="AT6" s="180">
        <v>20774</v>
      </c>
      <c r="AU6" s="180">
        <v>62</v>
      </c>
      <c r="AV6" s="180">
        <v>8317</v>
      </c>
      <c r="AW6" s="180">
        <v>973</v>
      </c>
      <c r="AX6" s="180">
        <v>126671</v>
      </c>
      <c r="AY6" s="180">
        <v>45</v>
      </c>
      <c r="AZ6" s="180">
        <v>5161</v>
      </c>
      <c r="BA6" s="180">
        <v>1530</v>
      </c>
      <c r="BB6" s="180">
        <v>189342</v>
      </c>
      <c r="BC6" s="180">
        <v>88</v>
      </c>
      <c r="BD6" s="180">
        <v>12553</v>
      </c>
      <c r="BE6" s="180">
        <v>1299</v>
      </c>
      <c r="BF6" s="180">
        <v>211187</v>
      </c>
      <c r="BG6" s="180">
        <v>214</v>
      </c>
      <c r="BH6" s="180">
        <v>27252</v>
      </c>
      <c r="BI6" s="180">
        <v>4077</v>
      </c>
      <c r="BJ6" s="181">
        <v>547973</v>
      </c>
      <c r="BK6" s="179"/>
      <c r="BL6" s="180"/>
      <c r="BM6" s="180"/>
      <c r="BN6" s="180"/>
      <c r="BO6" s="180"/>
      <c r="BP6" s="180"/>
      <c r="BQ6" s="180"/>
      <c r="BR6" s="180"/>
      <c r="BS6" s="180"/>
      <c r="BT6" s="180"/>
      <c r="BU6" s="180"/>
      <c r="BV6" s="180"/>
      <c r="BW6" s="180"/>
      <c r="BX6" s="180"/>
      <c r="BY6" s="180"/>
      <c r="BZ6" s="180"/>
      <c r="CA6" s="180"/>
      <c r="CB6" s="180"/>
      <c r="CC6" s="180"/>
      <c r="CD6" s="181"/>
      <c r="CE6" s="179">
        <v>14</v>
      </c>
      <c r="CF6" s="180">
        <v>1291</v>
      </c>
      <c r="CG6" s="180">
        <v>515</v>
      </c>
      <c r="CH6" s="180">
        <v>39216</v>
      </c>
      <c r="CI6" s="180">
        <v>15</v>
      </c>
      <c r="CJ6" s="180">
        <v>1598</v>
      </c>
      <c r="CK6" s="180">
        <v>1949</v>
      </c>
      <c r="CL6" s="180">
        <v>254237</v>
      </c>
      <c r="CM6" s="180">
        <v>0</v>
      </c>
      <c r="CN6" s="180">
        <v>57</v>
      </c>
      <c r="CO6" s="180">
        <v>2985</v>
      </c>
      <c r="CP6" s="180">
        <v>374034</v>
      </c>
      <c r="CQ6" s="180">
        <v>30</v>
      </c>
      <c r="CR6" s="180">
        <v>4605</v>
      </c>
      <c r="CS6" s="180">
        <v>2631</v>
      </c>
      <c r="CT6" s="180">
        <v>415357</v>
      </c>
      <c r="CU6" s="180">
        <v>59</v>
      </c>
      <c r="CV6" s="180">
        <v>7551</v>
      </c>
      <c r="CW6" s="180">
        <v>8081</v>
      </c>
      <c r="CX6" s="181">
        <v>1082846</v>
      </c>
      <c r="CY6" s="211">
        <v>1</v>
      </c>
      <c r="CZ6" s="212">
        <v>75</v>
      </c>
      <c r="DA6" s="212">
        <v>601</v>
      </c>
      <c r="DB6" s="212">
        <v>45822</v>
      </c>
      <c r="DC6" s="212">
        <v>86</v>
      </c>
      <c r="DD6" s="212">
        <v>10322</v>
      </c>
      <c r="DE6" s="212">
        <v>2442</v>
      </c>
      <c r="DF6" s="212">
        <v>315314</v>
      </c>
      <c r="DG6" s="212">
        <v>113</v>
      </c>
      <c r="DH6" s="212">
        <v>12638</v>
      </c>
      <c r="DI6" s="212">
        <v>3612</v>
      </c>
      <c r="DJ6" s="212">
        <v>452070</v>
      </c>
      <c r="DK6" s="212">
        <v>142</v>
      </c>
      <c r="DL6" s="212">
        <v>20902</v>
      </c>
      <c r="DM6" s="212">
        <v>3335</v>
      </c>
      <c r="DN6" s="212">
        <v>522642</v>
      </c>
      <c r="DO6" s="212">
        <v>343</v>
      </c>
      <c r="DP6" s="212">
        <v>43936</v>
      </c>
      <c r="DQ6" s="212">
        <v>9990</v>
      </c>
      <c r="DR6" s="213">
        <v>1335846</v>
      </c>
      <c r="DS6" s="211"/>
      <c r="DT6" s="212"/>
      <c r="DU6" s="212"/>
      <c r="DV6" s="212"/>
      <c r="DW6" s="212"/>
      <c r="DX6" s="212"/>
      <c r="DY6" s="212"/>
      <c r="DZ6" s="212"/>
      <c r="EA6" s="212"/>
      <c r="EB6" s="212"/>
      <c r="EC6" s="212"/>
      <c r="ED6" s="212"/>
      <c r="EE6" s="212"/>
      <c r="EF6" s="212"/>
      <c r="EG6" s="212"/>
      <c r="EH6" s="212"/>
      <c r="EI6" s="212"/>
      <c r="EJ6" s="212"/>
      <c r="EK6" s="212"/>
      <c r="EL6" s="213"/>
      <c r="EM6" s="211">
        <v>0</v>
      </c>
      <c r="EN6" s="212">
        <v>0</v>
      </c>
      <c r="EO6" s="212">
        <v>1015</v>
      </c>
      <c r="EP6" s="212">
        <v>80281</v>
      </c>
      <c r="EQ6" s="212">
        <v>32</v>
      </c>
      <c r="ER6" s="212">
        <v>3536</v>
      </c>
      <c r="ES6" s="212">
        <v>3498</v>
      </c>
      <c r="ET6" s="212">
        <v>454024</v>
      </c>
      <c r="EU6" s="212">
        <v>0</v>
      </c>
      <c r="EV6" s="212">
        <v>361</v>
      </c>
      <c r="EW6" s="212">
        <v>4414</v>
      </c>
      <c r="EX6" s="212">
        <v>555458</v>
      </c>
      <c r="EY6" s="212">
        <v>67</v>
      </c>
      <c r="EZ6" s="212">
        <v>10678</v>
      </c>
      <c r="FA6" s="212">
        <v>4703</v>
      </c>
      <c r="FB6" s="212">
        <v>739569</v>
      </c>
      <c r="FC6" s="212">
        <v>99</v>
      </c>
      <c r="FD6" s="212">
        <v>14575</v>
      </c>
      <c r="FE6" s="212">
        <v>13629</v>
      </c>
      <c r="FF6" s="213">
        <v>1829331</v>
      </c>
      <c r="FG6" s="179"/>
      <c r="FH6" s="180"/>
      <c r="FI6" s="180"/>
      <c r="FJ6" s="180"/>
      <c r="FK6" s="180"/>
      <c r="FL6" s="180"/>
      <c r="FM6" s="180"/>
      <c r="FN6" s="180"/>
      <c r="FO6" s="180"/>
      <c r="FP6" s="180"/>
      <c r="FQ6" s="180"/>
      <c r="FR6" s="180"/>
      <c r="FS6" s="180"/>
      <c r="FT6" s="180"/>
      <c r="FU6" s="180"/>
      <c r="FV6" s="180"/>
      <c r="FW6" s="180"/>
      <c r="FX6" s="180"/>
      <c r="FY6" s="180"/>
      <c r="FZ6" s="181"/>
      <c r="GA6" s="179"/>
      <c r="GB6" s="180"/>
      <c r="GC6" s="180"/>
      <c r="GD6" s="180"/>
      <c r="GE6" s="180"/>
      <c r="GF6" s="180"/>
      <c r="GG6" s="180"/>
      <c r="GH6" s="180"/>
      <c r="GI6" s="180"/>
      <c r="GJ6" s="180"/>
      <c r="GK6" s="180"/>
      <c r="GL6" s="180"/>
      <c r="GM6" s="180"/>
      <c r="GN6" s="180"/>
      <c r="GO6" s="180"/>
      <c r="GP6" s="180"/>
      <c r="GQ6" s="180"/>
      <c r="GR6" s="180"/>
      <c r="GS6" s="180"/>
      <c r="GT6" s="181"/>
      <c r="GU6" s="179"/>
      <c r="GV6" s="180"/>
      <c r="GW6" s="180"/>
      <c r="GX6" s="180"/>
      <c r="GY6" s="180"/>
      <c r="GZ6" s="180"/>
      <c r="HA6" s="180"/>
      <c r="HB6" s="180"/>
      <c r="HC6" s="180"/>
      <c r="HD6" s="180"/>
      <c r="HE6" s="180"/>
      <c r="HF6" s="180"/>
      <c r="HG6" s="180"/>
      <c r="HH6" s="180"/>
      <c r="HI6" s="180"/>
      <c r="HJ6" s="180"/>
      <c r="HK6" s="180"/>
      <c r="HL6" s="180"/>
      <c r="HM6" s="180"/>
      <c r="HN6" s="181"/>
      <c r="HO6" s="179"/>
      <c r="HP6" s="180"/>
      <c r="HQ6" s="180"/>
      <c r="HR6" s="180"/>
      <c r="HS6" s="180"/>
      <c r="HT6" s="180"/>
      <c r="HU6" s="180"/>
      <c r="HV6" s="180"/>
      <c r="HW6" s="180"/>
      <c r="HX6" s="180"/>
      <c r="HY6" s="180"/>
      <c r="HZ6" s="180"/>
      <c r="IA6" s="180"/>
      <c r="IB6" s="180"/>
      <c r="IC6" s="180"/>
      <c r="ID6" s="180"/>
      <c r="IE6" s="180"/>
      <c r="IF6" s="180"/>
      <c r="IG6" s="180"/>
      <c r="IH6" s="181"/>
    </row>
    <row r="7" spans="1:242" ht="14">
      <c r="A7" s="174" t="s">
        <v>165</v>
      </c>
      <c r="B7" s="175">
        <v>5</v>
      </c>
      <c r="C7" s="211">
        <v>19</v>
      </c>
      <c r="D7" s="212">
        <v>1212</v>
      </c>
      <c r="E7" s="212">
        <v>19</v>
      </c>
      <c r="F7" s="212">
        <v>1212</v>
      </c>
      <c r="G7" s="212">
        <v>52</v>
      </c>
      <c r="H7" s="212">
        <v>6551</v>
      </c>
      <c r="I7" s="212">
        <v>52</v>
      </c>
      <c r="J7" s="212">
        <v>6551</v>
      </c>
      <c r="K7" s="212">
        <v>26</v>
      </c>
      <c r="L7" s="212">
        <v>2142</v>
      </c>
      <c r="M7" s="212">
        <v>26</v>
      </c>
      <c r="N7" s="212">
        <v>2142</v>
      </c>
      <c r="O7" s="212">
        <v>159</v>
      </c>
      <c r="P7" s="212">
        <v>21159</v>
      </c>
      <c r="Q7" s="212">
        <v>159</v>
      </c>
      <c r="R7" s="212">
        <v>21159</v>
      </c>
      <c r="S7" s="212">
        <v>0</v>
      </c>
      <c r="T7" s="212">
        <v>0</v>
      </c>
      <c r="U7" s="212">
        <v>0</v>
      </c>
      <c r="V7" s="213">
        <v>0</v>
      </c>
      <c r="W7" s="179">
        <v>52</v>
      </c>
      <c r="X7" s="180">
        <v>4603</v>
      </c>
      <c r="Y7" s="180">
        <v>153</v>
      </c>
      <c r="Z7" s="180">
        <v>11304</v>
      </c>
      <c r="AA7" s="180">
        <v>75</v>
      </c>
      <c r="AB7" s="180">
        <v>10037</v>
      </c>
      <c r="AC7" s="180">
        <v>526</v>
      </c>
      <c r="AD7" s="180">
        <v>65608</v>
      </c>
      <c r="AE7" s="180">
        <v>72</v>
      </c>
      <c r="AF7" s="180">
        <v>10247</v>
      </c>
      <c r="AG7" s="180">
        <v>843</v>
      </c>
      <c r="AH7" s="180">
        <v>105958</v>
      </c>
      <c r="AI7" s="180">
        <v>128</v>
      </c>
      <c r="AJ7" s="180">
        <v>21279</v>
      </c>
      <c r="AK7" s="180">
        <v>752</v>
      </c>
      <c r="AL7" s="180">
        <v>125298</v>
      </c>
      <c r="AM7" s="180">
        <v>328</v>
      </c>
      <c r="AN7" s="180">
        <v>46166</v>
      </c>
      <c r="AO7" s="180">
        <v>2274</v>
      </c>
      <c r="AP7" s="181">
        <v>308169</v>
      </c>
      <c r="AQ7" s="179">
        <v>21</v>
      </c>
      <c r="AR7" s="180">
        <v>1388</v>
      </c>
      <c r="AS7" s="180">
        <v>278</v>
      </c>
      <c r="AT7" s="180">
        <v>20940</v>
      </c>
      <c r="AU7" s="180">
        <v>86</v>
      </c>
      <c r="AV7" s="180">
        <v>11299</v>
      </c>
      <c r="AW7" s="180">
        <v>996</v>
      </c>
      <c r="AX7" s="180">
        <v>129654</v>
      </c>
      <c r="AY7" s="180">
        <v>83</v>
      </c>
      <c r="AZ7" s="180">
        <v>12162</v>
      </c>
      <c r="BA7" s="180">
        <v>1568</v>
      </c>
      <c r="BB7" s="180">
        <v>196342</v>
      </c>
      <c r="BC7" s="180">
        <v>123</v>
      </c>
      <c r="BD7" s="180">
        <v>19372</v>
      </c>
      <c r="BE7" s="180">
        <v>1333</v>
      </c>
      <c r="BF7" s="180">
        <v>218006</v>
      </c>
      <c r="BG7" s="180">
        <v>312</v>
      </c>
      <c r="BH7" s="180">
        <v>44222</v>
      </c>
      <c r="BI7" s="180">
        <v>4176</v>
      </c>
      <c r="BJ7" s="181">
        <v>564943</v>
      </c>
      <c r="BK7" s="179"/>
      <c r="BL7" s="180"/>
      <c r="BM7" s="180"/>
      <c r="BN7" s="180"/>
      <c r="BO7" s="180"/>
      <c r="BP7" s="180"/>
      <c r="BQ7" s="180"/>
      <c r="BR7" s="180"/>
      <c r="BS7" s="180"/>
      <c r="BT7" s="180"/>
      <c r="BU7" s="180"/>
      <c r="BV7" s="180"/>
      <c r="BW7" s="180"/>
      <c r="BX7" s="180"/>
      <c r="BY7" s="180"/>
      <c r="BZ7" s="180"/>
      <c r="CA7" s="180"/>
      <c r="CB7" s="180"/>
      <c r="CC7" s="180"/>
      <c r="CD7" s="181"/>
      <c r="CE7" s="179">
        <v>22</v>
      </c>
      <c r="CF7" s="180">
        <v>2053</v>
      </c>
      <c r="CG7" s="180">
        <v>523</v>
      </c>
      <c r="CH7" s="180">
        <v>39978</v>
      </c>
      <c r="CI7" s="180">
        <v>39</v>
      </c>
      <c r="CJ7" s="180">
        <v>3671</v>
      </c>
      <c r="CK7" s="180">
        <v>1973</v>
      </c>
      <c r="CL7" s="180">
        <v>256310</v>
      </c>
      <c r="CM7" s="180">
        <v>33</v>
      </c>
      <c r="CN7" s="180">
        <v>3289</v>
      </c>
      <c r="CO7" s="180">
        <v>3018</v>
      </c>
      <c r="CP7" s="180">
        <v>377266</v>
      </c>
      <c r="CQ7" s="180">
        <v>72</v>
      </c>
      <c r="CR7" s="180">
        <v>11733</v>
      </c>
      <c r="CS7" s="180">
        <v>2674</v>
      </c>
      <c r="CT7" s="180">
        <v>422486</v>
      </c>
      <c r="CU7" s="180">
        <v>167</v>
      </c>
      <c r="CV7" s="180">
        <v>20746</v>
      </c>
      <c r="CW7" s="180">
        <v>8188</v>
      </c>
      <c r="CX7" s="181">
        <v>1096041</v>
      </c>
      <c r="CY7" s="211">
        <v>3</v>
      </c>
      <c r="CZ7" s="212">
        <v>244</v>
      </c>
      <c r="DA7" s="212">
        <v>603</v>
      </c>
      <c r="DB7" s="212">
        <v>45991</v>
      </c>
      <c r="DC7" s="212">
        <v>117</v>
      </c>
      <c r="DD7" s="212">
        <v>14005</v>
      </c>
      <c r="DE7" s="212">
        <v>2473</v>
      </c>
      <c r="DF7" s="212">
        <v>318999</v>
      </c>
      <c r="DG7" s="212">
        <v>138</v>
      </c>
      <c r="DH7" s="212">
        <v>15566</v>
      </c>
      <c r="DI7" s="212">
        <v>3637</v>
      </c>
      <c r="DJ7" s="212">
        <v>454997</v>
      </c>
      <c r="DK7" s="212">
        <v>166</v>
      </c>
      <c r="DL7" s="212">
        <v>24868</v>
      </c>
      <c r="DM7" s="212">
        <v>3358</v>
      </c>
      <c r="DN7" s="212">
        <v>526609</v>
      </c>
      <c r="DO7" s="212">
        <v>423</v>
      </c>
      <c r="DP7" s="212">
        <v>54685</v>
      </c>
      <c r="DQ7" s="212">
        <v>10070</v>
      </c>
      <c r="DR7" s="213">
        <v>1346595</v>
      </c>
      <c r="DS7" s="179"/>
      <c r="DT7" s="180"/>
      <c r="DU7" s="180"/>
      <c r="DV7" s="180"/>
      <c r="DW7" s="180"/>
      <c r="DX7" s="180"/>
      <c r="DY7" s="180"/>
      <c r="DZ7" s="180"/>
      <c r="EA7" s="180"/>
      <c r="EB7" s="180"/>
      <c r="EC7" s="180"/>
      <c r="ED7" s="180"/>
      <c r="EE7" s="180"/>
      <c r="EF7" s="180"/>
      <c r="EG7" s="180"/>
      <c r="EH7" s="180"/>
      <c r="EI7" s="180"/>
      <c r="EJ7" s="180"/>
      <c r="EK7" s="180"/>
      <c r="EL7" s="181"/>
      <c r="EM7" s="211">
        <v>0</v>
      </c>
      <c r="EN7" s="212">
        <v>0</v>
      </c>
      <c r="EO7" s="212">
        <v>1015</v>
      </c>
      <c r="EP7" s="212">
        <v>80281</v>
      </c>
      <c r="EQ7" s="212">
        <v>34</v>
      </c>
      <c r="ER7" s="212">
        <v>3653</v>
      </c>
      <c r="ES7" s="212">
        <v>3500</v>
      </c>
      <c r="ET7" s="212">
        <v>454140</v>
      </c>
      <c r="EU7" s="212">
        <v>52</v>
      </c>
      <c r="EV7" s="212">
        <v>6525</v>
      </c>
      <c r="EW7" s="212">
        <v>4467</v>
      </c>
      <c r="EX7" s="212">
        <v>561623</v>
      </c>
      <c r="EY7" s="212">
        <v>94</v>
      </c>
      <c r="EZ7" s="212">
        <v>14756</v>
      </c>
      <c r="FA7" s="212">
        <v>4730</v>
      </c>
      <c r="FB7" s="212">
        <v>743646</v>
      </c>
      <c r="FC7" s="212">
        <v>180</v>
      </c>
      <c r="FD7" s="212">
        <v>24935</v>
      </c>
      <c r="FE7" s="212">
        <v>13711</v>
      </c>
      <c r="FF7" s="222">
        <v>1839691</v>
      </c>
      <c r="FG7" s="179"/>
      <c r="FH7" s="180"/>
      <c r="FI7" s="180"/>
      <c r="FJ7" s="180"/>
      <c r="FK7" s="180"/>
      <c r="FL7" s="180"/>
      <c r="FM7" s="180"/>
      <c r="FN7" s="180"/>
      <c r="FO7" s="180"/>
      <c r="FP7" s="180"/>
      <c r="FQ7" s="180"/>
      <c r="FR7" s="180"/>
      <c r="FS7" s="180"/>
      <c r="FT7" s="180"/>
      <c r="FU7" s="180"/>
      <c r="FV7" s="180"/>
      <c r="FW7" s="180"/>
      <c r="FX7" s="180"/>
      <c r="FY7" s="180"/>
      <c r="FZ7" s="181"/>
      <c r="GA7" s="179"/>
      <c r="GB7" s="180"/>
      <c r="GC7" s="180"/>
      <c r="GD7" s="180"/>
      <c r="GE7" s="180"/>
      <c r="GF7" s="180"/>
      <c r="GG7" s="180"/>
      <c r="GH7" s="180"/>
      <c r="GI7" s="180"/>
      <c r="GJ7" s="180"/>
      <c r="GK7" s="180"/>
      <c r="GL7" s="180"/>
      <c r="GM7" s="180"/>
      <c r="GN7" s="180"/>
      <c r="GO7" s="180"/>
      <c r="GP7" s="180"/>
      <c r="GQ7" s="180"/>
      <c r="GR7" s="180"/>
      <c r="GS7" s="180"/>
      <c r="GT7" s="181"/>
      <c r="GU7" s="179"/>
      <c r="GV7" s="180"/>
      <c r="GW7" s="180"/>
      <c r="GX7" s="180"/>
      <c r="GY7" s="180"/>
      <c r="GZ7" s="180"/>
      <c r="HA7" s="180"/>
      <c r="HB7" s="180"/>
      <c r="HC7" s="180"/>
      <c r="HD7" s="180"/>
      <c r="HE7" s="180"/>
      <c r="HF7" s="180"/>
      <c r="HG7" s="180"/>
      <c r="HH7" s="180"/>
      <c r="HI7" s="180"/>
      <c r="HJ7" s="180"/>
      <c r="HK7" s="180"/>
      <c r="HL7" s="180"/>
      <c r="HM7" s="180"/>
      <c r="HN7" s="181"/>
      <c r="HO7" s="179"/>
      <c r="HP7" s="180"/>
      <c r="HQ7" s="180"/>
      <c r="HR7" s="180"/>
      <c r="HS7" s="180"/>
      <c r="HT7" s="180"/>
      <c r="HU7" s="180"/>
      <c r="HV7" s="180"/>
      <c r="HW7" s="180"/>
      <c r="HX7" s="180"/>
      <c r="HY7" s="180"/>
      <c r="HZ7" s="180"/>
      <c r="IA7" s="180"/>
      <c r="IB7" s="180"/>
      <c r="IC7" s="180"/>
      <c r="ID7" s="180"/>
      <c r="IE7" s="180"/>
      <c r="IF7" s="180"/>
      <c r="IG7" s="180"/>
      <c r="IH7" s="181"/>
    </row>
    <row r="8" spans="1:242" ht="14">
      <c r="B8" s="175">
        <v>6</v>
      </c>
      <c r="C8" s="211">
        <v>22</v>
      </c>
      <c r="D8" s="212">
        <v>1339</v>
      </c>
      <c r="E8" s="212">
        <v>22</v>
      </c>
      <c r="F8" s="212">
        <v>1339</v>
      </c>
      <c r="G8" s="212">
        <v>65</v>
      </c>
      <c r="H8" s="212">
        <v>7870</v>
      </c>
      <c r="I8" s="212">
        <v>65</v>
      </c>
      <c r="J8" s="212">
        <v>7870</v>
      </c>
      <c r="K8" s="212">
        <v>89</v>
      </c>
      <c r="L8" s="212">
        <v>11422</v>
      </c>
      <c r="M8" s="212">
        <v>89</v>
      </c>
      <c r="N8" s="212">
        <v>11422</v>
      </c>
      <c r="O8" s="212">
        <v>284</v>
      </c>
      <c r="P8" s="212">
        <v>39391</v>
      </c>
      <c r="Q8" s="212">
        <v>284</v>
      </c>
      <c r="R8" s="212">
        <v>39391</v>
      </c>
      <c r="S8" s="212">
        <v>0</v>
      </c>
      <c r="T8" s="212">
        <v>0</v>
      </c>
      <c r="U8" s="212">
        <v>0</v>
      </c>
      <c r="V8" s="213">
        <v>0</v>
      </c>
      <c r="W8" s="179">
        <v>58</v>
      </c>
      <c r="X8" s="180">
        <v>4981</v>
      </c>
      <c r="Y8" s="180">
        <v>159</v>
      </c>
      <c r="Z8" s="180">
        <v>11681</v>
      </c>
      <c r="AA8" s="180">
        <v>111</v>
      </c>
      <c r="AB8" s="180">
        <v>16466</v>
      </c>
      <c r="AC8" s="180">
        <v>563</v>
      </c>
      <c r="AD8" s="180">
        <v>72038</v>
      </c>
      <c r="AE8" s="180">
        <v>150</v>
      </c>
      <c r="AF8" s="180">
        <v>20355</v>
      </c>
      <c r="AG8" s="180">
        <v>921</v>
      </c>
      <c r="AH8" s="180">
        <v>116066</v>
      </c>
      <c r="AI8" s="180">
        <v>164</v>
      </c>
      <c r="AJ8" s="180">
        <v>28008</v>
      </c>
      <c r="AK8" s="180">
        <v>788</v>
      </c>
      <c r="AL8" s="180">
        <v>132025</v>
      </c>
      <c r="AM8" s="180">
        <v>483</v>
      </c>
      <c r="AN8" s="180">
        <v>69809</v>
      </c>
      <c r="AO8" s="180">
        <v>2429</v>
      </c>
      <c r="AP8" s="181">
        <v>331811</v>
      </c>
      <c r="AQ8" s="179">
        <v>21</v>
      </c>
      <c r="AR8" s="180">
        <v>1388</v>
      </c>
      <c r="AS8" s="180">
        <v>278</v>
      </c>
      <c r="AT8" s="180">
        <v>20940</v>
      </c>
      <c r="AU8" s="180">
        <v>102</v>
      </c>
      <c r="AV8" s="180">
        <v>12730</v>
      </c>
      <c r="AW8" s="180">
        <v>1013</v>
      </c>
      <c r="AX8" s="180">
        <v>131084</v>
      </c>
      <c r="AY8" s="180">
        <v>170</v>
      </c>
      <c r="AZ8" s="180">
        <v>19965</v>
      </c>
      <c r="BA8" s="180">
        <v>1655</v>
      </c>
      <c r="BB8" s="180">
        <v>204145</v>
      </c>
      <c r="BC8" s="180">
        <v>154</v>
      </c>
      <c r="BD8" s="180">
        <v>23903</v>
      </c>
      <c r="BE8" s="180">
        <v>1364</v>
      </c>
      <c r="BF8" s="180">
        <v>222538</v>
      </c>
      <c r="BG8" s="180">
        <v>446</v>
      </c>
      <c r="BH8" s="180">
        <v>57987</v>
      </c>
      <c r="BI8" s="180">
        <v>4310</v>
      </c>
      <c r="BJ8" s="181">
        <v>578708</v>
      </c>
      <c r="BK8" s="179"/>
      <c r="BL8" s="180"/>
      <c r="BM8" s="180"/>
      <c r="BN8" s="180"/>
      <c r="BO8" s="180"/>
      <c r="BP8" s="180"/>
      <c r="BQ8" s="180"/>
      <c r="BR8" s="180"/>
      <c r="BS8" s="180"/>
      <c r="BT8" s="180"/>
      <c r="BU8" s="180"/>
      <c r="BV8" s="180"/>
      <c r="BW8" s="180"/>
      <c r="BX8" s="180"/>
      <c r="BY8" s="180"/>
      <c r="BZ8" s="180"/>
      <c r="CA8" s="180"/>
      <c r="CB8" s="180"/>
      <c r="CC8" s="180"/>
      <c r="CD8" s="181"/>
      <c r="CE8" s="179">
        <v>28</v>
      </c>
      <c r="CF8" s="180">
        <v>2433</v>
      </c>
      <c r="CG8" s="180">
        <v>528</v>
      </c>
      <c r="CH8" s="180">
        <v>40358</v>
      </c>
      <c r="CI8" s="180">
        <v>86</v>
      </c>
      <c r="CJ8" s="180">
        <v>8696</v>
      </c>
      <c r="CK8" s="180">
        <v>2021</v>
      </c>
      <c r="CL8" s="180">
        <v>261336</v>
      </c>
      <c r="CM8" s="180">
        <v>80</v>
      </c>
      <c r="CN8" s="180">
        <v>8591</v>
      </c>
      <c r="CO8" s="180">
        <v>3066</v>
      </c>
      <c r="CP8" s="180">
        <v>382568</v>
      </c>
      <c r="CQ8" s="180">
        <v>107</v>
      </c>
      <c r="CR8" s="180">
        <v>17601</v>
      </c>
      <c r="CS8" s="180">
        <v>2709</v>
      </c>
      <c r="CT8" s="180">
        <v>428352</v>
      </c>
      <c r="CU8" s="180">
        <v>301</v>
      </c>
      <c r="CV8" s="180">
        <v>37322</v>
      </c>
      <c r="CW8" s="180">
        <v>8324</v>
      </c>
      <c r="CX8" s="181">
        <v>1112615</v>
      </c>
      <c r="CY8" s="179"/>
      <c r="CZ8" s="180"/>
      <c r="DA8" s="180"/>
      <c r="DB8" s="180"/>
      <c r="DC8" s="180"/>
      <c r="DD8" s="180"/>
      <c r="DE8" s="180"/>
      <c r="DF8" s="180"/>
      <c r="DG8" s="180"/>
      <c r="DH8" s="180"/>
      <c r="DI8" s="180"/>
      <c r="DJ8" s="180"/>
      <c r="DK8" s="180"/>
      <c r="DL8" s="180"/>
      <c r="DM8" s="180"/>
      <c r="DN8" s="180"/>
      <c r="DO8" s="180"/>
      <c r="DP8" s="180"/>
      <c r="DQ8" s="180"/>
      <c r="DR8" s="181"/>
      <c r="DS8" s="211">
        <v>40</v>
      </c>
      <c r="DT8" s="212">
        <v>3652</v>
      </c>
      <c r="DU8" s="212">
        <v>829</v>
      </c>
      <c r="DV8" s="212">
        <v>64905</v>
      </c>
      <c r="DW8" s="212">
        <v>90</v>
      </c>
      <c r="DX8" s="212">
        <v>12145</v>
      </c>
      <c r="DY8" s="212">
        <v>3040</v>
      </c>
      <c r="DZ8" s="212">
        <v>394182</v>
      </c>
      <c r="EA8" s="212">
        <v>97</v>
      </c>
      <c r="EB8" s="212">
        <v>9236</v>
      </c>
      <c r="EC8" s="212">
        <v>4080</v>
      </c>
      <c r="ED8" s="212">
        <v>515647</v>
      </c>
      <c r="EE8" s="212">
        <v>127</v>
      </c>
      <c r="EF8" s="212">
        <v>21056</v>
      </c>
      <c r="EG8" s="212">
        <v>4074</v>
      </c>
      <c r="EH8" s="212">
        <v>638725</v>
      </c>
      <c r="EI8" s="212">
        <v>353</v>
      </c>
      <c r="EJ8" s="212">
        <v>46092</v>
      </c>
      <c r="EK8" s="212">
        <v>12023</v>
      </c>
      <c r="EL8" s="213">
        <v>1613458</v>
      </c>
      <c r="EM8" s="211">
        <v>0</v>
      </c>
      <c r="EN8" s="212">
        <v>0</v>
      </c>
      <c r="EO8" s="212">
        <v>1015</v>
      </c>
      <c r="EP8" s="212">
        <v>80281</v>
      </c>
      <c r="EQ8" s="212">
        <v>59</v>
      </c>
      <c r="ER8" s="212">
        <v>7396</v>
      </c>
      <c r="ES8" s="212">
        <v>3524</v>
      </c>
      <c r="ET8" s="212">
        <v>457883</v>
      </c>
      <c r="EU8" s="212">
        <v>59</v>
      </c>
      <c r="EV8" s="212">
        <v>8237</v>
      </c>
      <c r="EW8" s="212">
        <v>4474</v>
      </c>
      <c r="EX8" s="212">
        <v>563335</v>
      </c>
      <c r="EY8" s="212">
        <v>122</v>
      </c>
      <c r="EZ8" s="212">
        <v>19710</v>
      </c>
      <c r="FA8" s="212">
        <v>4758</v>
      </c>
      <c r="FB8" s="212">
        <v>748600</v>
      </c>
      <c r="FC8" s="212">
        <v>239</v>
      </c>
      <c r="FD8" s="212">
        <v>35343</v>
      </c>
      <c r="FE8" s="212">
        <v>13770</v>
      </c>
      <c r="FF8" s="213">
        <v>1850098</v>
      </c>
      <c r="FG8" s="179"/>
      <c r="FH8" s="180"/>
      <c r="FI8" s="180"/>
      <c r="FJ8" s="180"/>
      <c r="FK8" s="180"/>
      <c r="FL8" s="180"/>
      <c r="FM8" s="180"/>
      <c r="FN8" s="180"/>
      <c r="FO8" s="180"/>
      <c r="FP8" s="180"/>
      <c r="FQ8" s="180"/>
      <c r="FR8" s="180"/>
      <c r="FS8" s="180"/>
      <c r="FT8" s="180"/>
      <c r="FU8" s="180"/>
      <c r="FV8" s="180"/>
      <c r="FW8" s="180"/>
      <c r="FX8" s="180"/>
      <c r="FY8" s="180"/>
      <c r="FZ8" s="181"/>
      <c r="GA8" s="179"/>
      <c r="GB8" s="180"/>
      <c r="GC8" s="180"/>
      <c r="GD8" s="180"/>
      <c r="GE8" s="180"/>
      <c r="GF8" s="180"/>
      <c r="GG8" s="180"/>
      <c r="GH8" s="180"/>
      <c r="GI8" s="180"/>
      <c r="GJ8" s="180"/>
      <c r="GK8" s="180"/>
      <c r="GL8" s="180"/>
      <c r="GM8" s="180"/>
      <c r="GN8" s="180"/>
      <c r="GO8" s="180"/>
      <c r="GP8" s="180"/>
      <c r="GQ8" s="180"/>
      <c r="GR8" s="180"/>
      <c r="GS8" s="180"/>
      <c r="GT8" s="181"/>
      <c r="GU8" s="179"/>
      <c r="GV8" s="180"/>
      <c r="GW8" s="180"/>
      <c r="GX8" s="180"/>
      <c r="GY8" s="180"/>
      <c r="GZ8" s="180"/>
      <c r="HA8" s="180"/>
      <c r="HB8" s="180"/>
      <c r="HC8" s="180"/>
      <c r="HD8" s="180"/>
      <c r="HE8" s="180"/>
      <c r="HF8" s="180"/>
      <c r="HG8" s="180"/>
      <c r="HH8" s="180"/>
      <c r="HI8" s="180"/>
      <c r="HJ8" s="180"/>
      <c r="HK8" s="180"/>
      <c r="HL8" s="180"/>
      <c r="HM8" s="180"/>
      <c r="HN8" s="181"/>
      <c r="HO8" s="179"/>
      <c r="HP8" s="180"/>
      <c r="HQ8" s="180"/>
      <c r="HR8" s="180"/>
      <c r="HS8" s="180"/>
      <c r="HT8" s="180"/>
      <c r="HU8" s="180"/>
      <c r="HV8" s="180"/>
      <c r="HW8" s="180"/>
      <c r="HX8" s="180"/>
      <c r="HY8" s="180"/>
      <c r="HZ8" s="180"/>
      <c r="IA8" s="180"/>
      <c r="IB8" s="180"/>
      <c r="IC8" s="180"/>
      <c r="ID8" s="180"/>
      <c r="IE8" s="180"/>
      <c r="IF8" s="180"/>
      <c r="IG8" s="180"/>
      <c r="IH8" s="181"/>
    </row>
    <row r="9" spans="1:242" ht="14">
      <c r="B9" s="175">
        <v>7</v>
      </c>
      <c r="C9" s="211">
        <v>28</v>
      </c>
      <c r="D9" s="212">
        <v>1708</v>
      </c>
      <c r="E9" s="212">
        <v>28</v>
      </c>
      <c r="F9" s="212">
        <v>1708</v>
      </c>
      <c r="G9" s="212">
        <v>80</v>
      </c>
      <c r="H9" s="212">
        <v>9249</v>
      </c>
      <c r="I9" s="212">
        <v>80</v>
      </c>
      <c r="J9" s="212">
        <v>9249</v>
      </c>
      <c r="K9" s="212">
        <v>140</v>
      </c>
      <c r="L9" s="212">
        <v>19214</v>
      </c>
      <c r="M9" s="212">
        <v>140</v>
      </c>
      <c r="N9" s="212">
        <v>19214</v>
      </c>
      <c r="O9" s="212">
        <v>131</v>
      </c>
      <c r="P9" s="212">
        <v>22898</v>
      </c>
      <c r="Q9" s="212">
        <v>131</v>
      </c>
      <c r="R9" s="212">
        <v>22898</v>
      </c>
      <c r="S9" s="212">
        <v>379</v>
      </c>
      <c r="T9" s="212">
        <v>53069</v>
      </c>
      <c r="U9" s="212">
        <v>379</v>
      </c>
      <c r="V9" s="213">
        <v>53069</v>
      </c>
      <c r="W9" s="179"/>
      <c r="X9" s="180"/>
      <c r="Y9" s="180"/>
      <c r="Z9" s="180"/>
      <c r="AA9" s="180"/>
      <c r="AB9" s="180"/>
      <c r="AC9" s="180"/>
      <c r="AD9" s="180"/>
      <c r="AE9" s="180"/>
      <c r="AF9" s="180"/>
      <c r="AG9" s="180"/>
      <c r="AH9" s="180"/>
      <c r="AI9" s="180"/>
      <c r="AJ9" s="180"/>
      <c r="AK9" s="180"/>
      <c r="AL9" s="180"/>
      <c r="AM9" s="180"/>
      <c r="AN9" s="180"/>
      <c r="AO9" s="180"/>
      <c r="AP9" s="181"/>
      <c r="AQ9" s="179"/>
      <c r="AR9" s="180"/>
      <c r="AS9" s="180"/>
      <c r="AT9" s="180"/>
      <c r="AU9" s="180"/>
      <c r="AV9" s="180"/>
      <c r="AW9" s="180"/>
      <c r="AX9" s="180"/>
      <c r="AY9" s="180"/>
      <c r="AZ9" s="180"/>
      <c r="BA9" s="180"/>
      <c r="BB9" s="180"/>
      <c r="BC9" s="180"/>
      <c r="BD9" s="180"/>
      <c r="BE9" s="180"/>
      <c r="BF9" s="180"/>
      <c r="BG9" s="180"/>
      <c r="BH9" s="180"/>
      <c r="BI9" s="180"/>
      <c r="BJ9" s="181"/>
      <c r="BK9" s="179">
        <v>0</v>
      </c>
      <c r="BL9" s="180">
        <v>0</v>
      </c>
      <c r="BM9" s="180">
        <v>349</v>
      </c>
      <c r="BN9" s="180">
        <v>26528</v>
      </c>
      <c r="BO9" s="180">
        <v>75</v>
      </c>
      <c r="BP9" s="180">
        <v>9376</v>
      </c>
      <c r="BQ9" s="180">
        <v>1484</v>
      </c>
      <c r="BR9" s="180">
        <v>194170</v>
      </c>
      <c r="BS9" s="180">
        <v>83</v>
      </c>
      <c r="BT9" s="180">
        <v>9454</v>
      </c>
      <c r="BU9" s="180">
        <v>2424</v>
      </c>
      <c r="BV9" s="180">
        <v>304429</v>
      </c>
      <c r="BW9" s="180">
        <v>145</v>
      </c>
      <c r="BX9" s="180">
        <v>22980</v>
      </c>
      <c r="BY9" s="180">
        <v>2049</v>
      </c>
      <c r="BZ9" s="180">
        <v>326073</v>
      </c>
      <c r="CA9" s="180">
        <v>303</v>
      </c>
      <c r="CB9" s="180">
        <v>41810</v>
      </c>
      <c r="CC9" s="180">
        <v>6306</v>
      </c>
      <c r="CD9" s="181">
        <v>851201</v>
      </c>
      <c r="CE9" s="179">
        <v>30</v>
      </c>
      <c r="CF9" s="180">
        <v>2572</v>
      </c>
      <c r="CG9" s="180">
        <v>531</v>
      </c>
      <c r="CH9" s="180">
        <v>40497</v>
      </c>
      <c r="CI9" s="180">
        <v>118</v>
      </c>
      <c r="CJ9" s="180">
        <v>11813</v>
      </c>
      <c r="CK9" s="180">
        <v>2052</v>
      </c>
      <c r="CL9" s="180">
        <v>264453</v>
      </c>
      <c r="CM9" s="180">
        <v>142</v>
      </c>
      <c r="CN9" s="180">
        <v>18933</v>
      </c>
      <c r="CO9" s="180">
        <v>3127</v>
      </c>
      <c r="CP9" s="180">
        <v>392909</v>
      </c>
      <c r="CQ9" s="180">
        <v>149</v>
      </c>
      <c r="CR9" s="180">
        <v>24231</v>
      </c>
      <c r="CS9" s="180">
        <v>2750</v>
      </c>
      <c r="CT9" s="180">
        <v>434983</v>
      </c>
      <c r="CU9" s="180">
        <v>438</v>
      </c>
      <c r="CV9" s="180">
        <v>57548</v>
      </c>
      <c r="CW9" s="180">
        <v>8461</v>
      </c>
      <c r="CX9" s="181">
        <v>1132841</v>
      </c>
      <c r="CY9" s="179"/>
      <c r="CZ9" s="180"/>
      <c r="DA9" s="180"/>
      <c r="DB9" s="180"/>
      <c r="DC9" s="180"/>
      <c r="DD9" s="180"/>
      <c r="DE9" s="180"/>
      <c r="DF9" s="180"/>
      <c r="DG9" s="180"/>
      <c r="DH9" s="180"/>
      <c r="DI9" s="180"/>
      <c r="DJ9" s="180"/>
      <c r="DK9" s="180"/>
      <c r="DL9" s="180"/>
      <c r="DM9" s="180"/>
      <c r="DN9" s="180"/>
      <c r="DO9" s="180"/>
      <c r="DP9" s="180"/>
      <c r="DQ9" s="180"/>
      <c r="DR9" s="181"/>
      <c r="DS9" s="211">
        <v>40</v>
      </c>
      <c r="DT9" s="212">
        <v>3652</v>
      </c>
      <c r="DU9" s="212">
        <v>829</v>
      </c>
      <c r="DV9" s="212">
        <v>64905</v>
      </c>
      <c r="DW9" s="212">
        <v>116</v>
      </c>
      <c r="DX9" s="212">
        <v>14832</v>
      </c>
      <c r="DY9" s="212">
        <v>3067</v>
      </c>
      <c r="DZ9" s="212">
        <v>396869</v>
      </c>
      <c r="EA9" s="212">
        <v>101</v>
      </c>
      <c r="EB9" s="212">
        <v>10522</v>
      </c>
      <c r="EC9" s="212">
        <v>4085</v>
      </c>
      <c r="ED9" s="212">
        <v>516933</v>
      </c>
      <c r="EE9" s="212">
        <v>173</v>
      </c>
      <c r="EF9" s="212">
        <v>28416</v>
      </c>
      <c r="EG9" s="212">
        <v>4120</v>
      </c>
      <c r="EH9" s="212">
        <v>646083</v>
      </c>
      <c r="EI9" s="212">
        <v>431</v>
      </c>
      <c r="EJ9" s="212">
        <v>57423</v>
      </c>
      <c r="EK9" s="212">
        <v>12100</v>
      </c>
      <c r="EL9" s="213">
        <v>1624789</v>
      </c>
      <c r="EM9" s="211">
        <v>0</v>
      </c>
      <c r="EN9" s="212">
        <v>0</v>
      </c>
      <c r="EO9" s="212">
        <v>1015</v>
      </c>
      <c r="EP9" s="212">
        <v>80281</v>
      </c>
      <c r="EQ9" s="212">
        <v>90</v>
      </c>
      <c r="ER9" s="212">
        <v>10191</v>
      </c>
      <c r="ES9" s="212">
        <v>3555</v>
      </c>
      <c r="ET9" s="212">
        <v>460679</v>
      </c>
      <c r="EU9" s="212">
        <v>104</v>
      </c>
      <c r="EV9" s="212">
        <v>16108</v>
      </c>
      <c r="EW9" s="212">
        <v>4519</v>
      </c>
      <c r="EX9" s="212">
        <v>571206</v>
      </c>
      <c r="EY9" s="212">
        <v>172</v>
      </c>
      <c r="EZ9" s="212">
        <v>27709</v>
      </c>
      <c r="FA9" s="212">
        <v>4808</v>
      </c>
      <c r="FB9" s="212">
        <v>756598</v>
      </c>
      <c r="FC9" s="212">
        <v>366</v>
      </c>
      <c r="FD9" s="212">
        <v>54008</v>
      </c>
      <c r="FE9" s="212">
        <v>13897</v>
      </c>
      <c r="FF9" s="213">
        <v>1868765</v>
      </c>
      <c r="FG9" s="179"/>
      <c r="FH9" s="180"/>
      <c r="FI9" s="180"/>
      <c r="FJ9" s="180"/>
      <c r="FK9" s="180"/>
      <c r="FL9" s="180"/>
      <c r="FM9" s="180"/>
      <c r="FN9" s="180"/>
      <c r="FO9" s="180"/>
      <c r="FP9" s="180"/>
      <c r="FQ9" s="180"/>
      <c r="FR9" s="180"/>
      <c r="FS9" s="180"/>
      <c r="FT9" s="180"/>
      <c r="FU9" s="180"/>
      <c r="FV9" s="180"/>
      <c r="FW9" s="180"/>
      <c r="FX9" s="180"/>
      <c r="FY9" s="180"/>
      <c r="FZ9" s="181"/>
      <c r="GA9" s="179"/>
      <c r="GB9" s="180"/>
      <c r="GC9" s="180"/>
      <c r="GD9" s="180"/>
      <c r="GE9" s="180"/>
      <c r="GF9" s="180"/>
      <c r="GG9" s="180"/>
      <c r="GH9" s="180"/>
      <c r="GI9" s="180"/>
      <c r="GJ9" s="180"/>
      <c r="GK9" s="180"/>
      <c r="GL9" s="180"/>
      <c r="GM9" s="180"/>
      <c r="GN9" s="180"/>
      <c r="GO9" s="180"/>
      <c r="GP9" s="180"/>
      <c r="GQ9" s="180"/>
      <c r="GR9" s="180"/>
      <c r="GS9" s="180"/>
      <c r="GT9" s="181"/>
      <c r="GU9" s="179"/>
      <c r="GV9" s="180"/>
      <c r="GW9" s="180"/>
      <c r="GX9" s="180"/>
      <c r="GY9" s="180"/>
      <c r="GZ9" s="180"/>
      <c r="HA9" s="180"/>
      <c r="HB9" s="180"/>
      <c r="HC9" s="180"/>
      <c r="HD9" s="180"/>
      <c r="HE9" s="180"/>
      <c r="HF9" s="180"/>
      <c r="HG9" s="180"/>
      <c r="HH9" s="180"/>
      <c r="HI9" s="180"/>
      <c r="HJ9" s="180"/>
      <c r="HK9" s="180"/>
      <c r="HL9" s="180"/>
      <c r="HM9" s="180"/>
      <c r="HN9" s="181"/>
      <c r="HO9" s="179"/>
      <c r="HP9" s="180"/>
      <c r="HQ9" s="180"/>
      <c r="HR9" s="180"/>
      <c r="HS9" s="180"/>
      <c r="HT9" s="180"/>
      <c r="HU9" s="180"/>
      <c r="HV9" s="180"/>
      <c r="HW9" s="180"/>
      <c r="HX9" s="180"/>
      <c r="HY9" s="180"/>
      <c r="HZ9" s="180"/>
      <c r="IA9" s="180"/>
      <c r="IB9" s="180"/>
      <c r="IC9" s="180"/>
      <c r="ID9" s="180"/>
      <c r="IE9" s="180"/>
      <c r="IF9" s="180"/>
      <c r="IG9" s="180"/>
      <c r="IH9" s="181"/>
    </row>
    <row r="10" spans="1:242" ht="14">
      <c r="B10" s="175">
        <v>8</v>
      </c>
      <c r="C10" s="211">
        <v>28</v>
      </c>
      <c r="D10" s="212">
        <v>1708</v>
      </c>
      <c r="E10" s="212">
        <v>28</v>
      </c>
      <c r="F10" s="212">
        <v>1708</v>
      </c>
      <c r="G10" s="212">
        <v>109</v>
      </c>
      <c r="H10" s="212">
        <v>12820</v>
      </c>
      <c r="I10" s="212">
        <v>109</v>
      </c>
      <c r="J10" s="212">
        <v>12820</v>
      </c>
      <c r="K10" s="212">
        <v>166</v>
      </c>
      <c r="L10" s="212">
        <v>21586</v>
      </c>
      <c r="M10" s="212">
        <v>166</v>
      </c>
      <c r="N10" s="212">
        <v>21586</v>
      </c>
      <c r="O10" s="212">
        <v>161</v>
      </c>
      <c r="P10" s="212">
        <v>27801</v>
      </c>
      <c r="Q10" s="212">
        <v>161</v>
      </c>
      <c r="R10" s="212">
        <v>27801</v>
      </c>
      <c r="S10" s="212">
        <v>464</v>
      </c>
      <c r="T10" s="212">
        <v>63915</v>
      </c>
      <c r="U10" s="212">
        <v>464</v>
      </c>
      <c r="V10" s="213">
        <v>63915</v>
      </c>
      <c r="W10" s="179"/>
      <c r="X10" s="180"/>
      <c r="Y10" s="180"/>
      <c r="Z10" s="180"/>
      <c r="AA10" s="180"/>
      <c r="AB10" s="180"/>
      <c r="AC10" s="180"/>
      <c r="AD10" s="180"/>
      <c r="AE10" s="180"/>
      <c r="AF10" s="180"/>
      <c r="AG10" s="180"/>
      <c r="AH10" s="180"/>
      <c r="AI10" s="180"/>
      <c r="AJ10" s="180"/>
      <c r="AK10" s="180"/>
      <c r="AL10" s="180"/>
      <c r="AM10" s="180"/>
      <c r="AN10" s="180"/>
      <c r="AO10" s="180"/>
      <c r="AP10" s="181"/>
      <c r="AQ10" s="179"/>
      <c r="AR10" s="180"/>
      <c r="AS10" s="180"/>
      <c r="AT10" s="180"/>
      <c r="AU10" s="180"/>
      <c r="AV10" s="180"/>
      <c r="AW10" s="180"/>
      <c r="AX10" s="180"/>
      <c r="AY10" s="180"/>
      <c r="AZ10" s="180"/>
      <c r="BA10" s="180"/>
      <c r="BB10" s="180"/>
      <c r="BC10" s="180"/>
      <c r="BD10" s="180"/>
      <c r="BE10" s="180"/>
      <c r="BF10" s="180"/>
      <c r="BG10" s="180"/>
      <c r="BH10" s="180"/>
      <c r="BI10" s="180"/>
      <c r="BJ10" s="181"/>
      <c r="BK10" s="179">
        <v>0</v>
      </c>
      <c r="BL10" s="180">
        <v>0</v>
      </c>
      <c r="BM10" s="180">
        <v>349</v>
      </c>
      <c r="BN10" s="180">
        <v>26528</v>
      </c>
      <c r="BO10" s="180">
        <v>111</v>
      </c>
      <c r="BP10" s="180">
        <v>13409</v>
      </c>
      <c r="BQ10" s="180">
        <v>1520</v>
      </c>
      <c r="BR10" s="180">
        <v>198203</v>
      </c>
      <c r="BS10" s="180">
        <v>107</v>
      </c>
      <c r="BT10" s="180">
        <v>12454</v>
      </c>
      <c r="BU10" s="180">
        <v>2447</v>
      </c>
      <c r="BV10" s="180">
        <v>307427</v>
      </c>
      <c r="BW10" s="180">
        <v>179</v>
      </c>
      <c r="BX10" s="180">
        <v>28106</v>
      </c>
      <c r="BY10" s="180">
        <v>2083</v>
      </c>
      <c r="BZ10" s="180">
        <v>331199</v>
      </c>
      <c r="CA10" s="180">
        <v>396</v>
      </c>
      <c r="CB10" s="180">
        <v>53968</v>
      </c>
      <c r="CC10" s="180">
        <v>6399</v>
      </c>
      <c r="CD10" s="181">
        <v>863358</v>
      </c>
      <c r="CE10" s="179">
        <v>30</v>
      </c>
      <c r="CF10" s="180">
        <v>2572</v>
      </c>
      <c r="CG10" s="180">
        <v>531</v>
      </c>
      <c r="CH10" s="180">
        <v>40497</v>
      </c>
      <c r="CI10" s="180">
        <v>118</v>
      </c>
      <c r="CJ10" s="180">
        <v>11813</v>
      </c>
      <c r="CK10" s="180">
        <v>2052</v>
      </c>
      <c r="CL10" s="180">
        <v>264453</v>
      </c>
      <c r="CM10" s="180">
        <v>142</v>
      </c>
      <c r="CN10" s="180">
        <v>18933</v>
      </c>
      <c r="CO10" s="180">
        <v>3127</v>
      </c>
      <c r="CP10" s="180">
        <v>392909</v>
      </c>
      <c r="CQ10" s="180">
        <v>149</v>
      </c>
      <c r="CR10" s="180">
        <v>24231</v>
      </c>
      <c r="CS10" s="180">
        <v>2750</v>
      </c>
      <c r="CT10" s="180">
        <v>434983</v>
      </c>
      <c r="CU10" s="180">
        <v>438</v>
      </c>
      <c r="CV10" s="180">
        <v>57548</v>
      </c>
      <c r="CW10" s="180">
        <v>8461</v>
      </c>
      <c r="CX10" s="181">
        <v>1132841</v>
      </c>
      <c r="CY10" s="211">
        <v>18</v>
      </c>
      <c r="CZ10" s="212">
        <v>1457</v>
      </c>
      <c r="DA10" s="212">
        <v>618</v>
      </c>
      <c r="DB10" s="212">
        <v>47204</v>
      </c>
      <c r="DC10" s="212">
        <v>132</v>
      </c>
      <c r="DD10" s="212">
        <v>16135</v>
      </c>
      <c r="DE10" s="212">
        <v>2487</v>
      </c>
      <c r="DF10" s="212">
        <v>321128</v>
      </c>
      <c r="DG10" s="212">
        <v>142</v>
      </c>
      <c r="DH10" s="212">
        <v>16682</v>
      </c>
      <c r="DI10" s="212">
        <v>3641</v>
      </c>
      <c r="DJ10" s="212">
        <v>456113</v>
      </c>
      <c r="DK10" s="212">
        <v>202</v>
      </c>
      <c r="DL10" s="212">
        <v>30081</v>
      </c>
      <c r="DM10" s="212">
        <v>3395</v>
      </c>
      <c r="DN10" s="212">
        <v>531820</v>
      </c>
      <c r="DO10" s="212">
        <v>493</v>
      </c>
      <c r="DP10" s="212">
        <v>64355</v>
      </c>
      <c r="DQ10" s="212">
        <v>10140</v>
      </c>
      <c r="DR10" s="213">
        <v>1356265</v>
      </c>
      <c r="DS10" s="211">
        <v>40</v>
      </c>
      <c r="DT10" s="212">
        <v>3652</v>
      </c>
      <c r="DU10" s="212">
        <v>829</v>
      </c>
      <c r="DV10" s="212">
        <v>64905</v>
      </c>
      <c r="DW10" s="212">
        <v>149</v>
      </c>
      <c r="DX10" s="212">
        <v>20025</v>
      </c>
      <c r="DY10" s="212">
        <v>3099</v>
      </c>
      <c r="DZ10" s="212">
        <v>402062</v>
      </c>
      <c r="EA10" s="212">
        <v>103</v>
      </c>
      <c r="EB10" s="212">
        <v>11145</v>
      </c>
      <c r="EC10" s="212">
        <v>4087</v>
      </c>
      <c r="ED10" s="212">
        <v>517556</v>
      </c>
      <c r="EE10" s="212">
        <v>205</v>
      </c>
      <c r="EF10" s="212">
        <v>32778</v>
      </c>
      <c r="EG10" s="212">
        <v>4152</v>
      </c>
      <c r="EH10" s="212">
        <v>650443</v>
      </c>
      <c r="EI10" s="212">
        <v>497</v>
      </c>
      <c r="EJ10" s="212">
        <v>67601</v>
      </c>
      <c r="EK10" s="212">
        <v>12166</v>
      </c>
      <c r="EL10" s="213">
        <v>1634968</v>
      </c>
      <c r="EM10" s="179"/>
      <c r="EN10" s="180"/>
      <c r="EO10" s="180"/>
      <c r="EP10" s="180"/>
      <c r="EQ10" s="180"/>
      <c r="ER10" s="180"/>
      <c r="ES10" s="180"/>
      <c r="ET10" s="180"/>
      <c r="EU10" s="180"/>
      <c r="EV10" s="180"/>
      <c r="EW10" s="180"/>
      <c r="EX10" s="180"/>
      <c r="EY10" s="180"/>
      <c r="EZ10" s="180"/>
      <c r="FA10" s="180"/>
      <c r="FB10" s="180"/>
      <c r="FC10" s="180"/>
      <c r="FD10" s="180"/>
      <c r="FE10" s="180"/>
      <c r="FF10" s="181"/>
      <c r="FG10" s="179"/>
      <c r="FH10" s="180"/>
      <c r="FI10" s="180"/>
      <c r="FJ10" s="180"/>
      <c r="FK10" s="180"/>
      <c r="FL10" s="180"/>
      <c r="FM10" s="180"/>
      <c r="FN10" s="180"/>
      <c r="FO10" s="180"/>
      <c r="FP10" s="180"/>
      <c r="FQ10" s="180"/>
      <c r="FR10" s="180"/>
      <c r="FS10" s="180"/>
      <c r="FT10" s="180"/>
      <c r="FU10" s="180"/>
      <c r="FV10" s="180"/>
      <c r="FW10" s="180"/>
      <c r="FX10" s="180"/>
      <c r="FY10" s="180"/>
      <c r="FZ10" s="181"/>
      <c r="GA10" s="179"/>
      <c r="GB10" s="180"/>
      <c r="GC10" s="180"/>
      <c r="GD10" s="180"/>
      <c r="GE10" s="180"/>
      <c r="GF10" s="180"/>
      <c r="GG10" s="180"/>
      <c r="GH10" s="180"/>
      <c r="GI10" s="180"/>
      <c r="GJ10" s="180"/>
      <c r="GK10" s="180"/>
      <c r="GL10" s="180"/>
      <c r="GM10" s="180"/>
      <c r="GN10" s="180"/>
      <c r="GO10" s="180"/>
      <c r="GP10" s="180"/>
      <c r="GQ10" s="180"/>
      <c r="GR10" s="180"/>
      <c r="GS10" s="180"/>
      <c r="GT10" s="181"/>
      <c r="GU10" s="179"/>
      <c r="GV10" s="180"/>
      <c r="GW10" s="180"/>
      <c r="GX10" s="180"/>
      <c r="GY10" s="180"/>
      <c r="GZ10" s="180"/>
      <c r="HA10" s="180"/>
      <c r="HB10" s="180"/>
      <c r="HC10" s="180"/>
      <c r="HD10" s="180"/>
      <c r="HE10" s="180"/>
      <c r="HF10" s="180"/>
      <c r="HG10" s="180"/>
      <c r="HH10" s="180"/>
      <c r="HI10" s="180"/>
      <c r="HJ10" s="180"/>
      <c r="HK10" s="180"/>
      <c r="HL10" s="180"/>
      <c r="HM10" s="180"/>
      <c r="HN10" s="181"/>
      <c r="HO10" s="179"/>
      <c r="HP10" s="180"/>
      <c r="HQ10" s="180"/>
      <c r="HR10" s="180"/>
      <c r="HS10" s="180"/>
      <c r="HT10" s="180"/>
      <c r="HU10" s="180"/>
      <c r="HV10" s="180"/>
      <c r="HW10" s="180"/>
      <c r="HX10" s="180"/>
      <c r="HY10" s="180"/>
      <c r="HZ10" s="180"/>
      <c r="IA10" s="180"/>
      <c r="IB10" s="180"/>
      <c r="IC10" s="180"/>
      <c r="ID10" s="180"/>
      <c r="IE10" s="180"/>
      <c r="IF10" s="180"/>
      <c r="IG10" s="180"/>
      <c r="IH10" s="181"/>
    </row>
    <row r="11" spans="1:242" ht="14">
      <c r="B11" s="175">
        <v>9</v>
      </c>
      <c r="C11" s="211">
        <v>31</v>
      </c>
      <c r="D11" s="212">
        <v>1921</v>
      </c>
      <c r="E11" s="212">
        <v>31</v>
      </c>
      <c r="F11" s="212">
        <v>1921</v>
      </c>
      <c r="G11" s="212">
        <v>124</v>
      </c>
      <c r="H11" s="212">
        <v>14282</v>
      </c>
      <c r="I11" s="212">
        <v>124</v>
      </c>
      <c r="J11" s="212">
        <v>14282</v>
      </c>
      <c r="K11" s="212">
        <v>212</v>
      </c>
      <c r="L11" s="212">
        <v>26258</v>
      </c>
      <c r="M11" s="212">
        <v>212</v>
      </c>
      <c r="N11" s="212">
        <v>26258</v>
      </c>
      <c r="O11" s="212">
        <v>194</v>
      </c>
      <c r="P11" s="212">
        <v>33257</v>
      </c>
      <c r="Q11" s="212">
        <v>194</v>
      </c>
      <c r="R11" s="212">
        <v>33257</v>
      </c>
      <c r="S11" s="212">
        <v>561</v>
      </c>
      <c r="T11" s="212">
        <v>75716</v>
      </c>
      <c r="U11" s="212">
        <v>561</v>
      </c>
      <c r="V11" s="213">
        <v>75716</v>
      </c>
      <c r="W11" s="179">
        <v>58</v>
      </c>
      <c r="X11" s="180">
        <v>4981</v>
      </c>
      <c r="Y11" s="180">
        <v>159</v>
      </c>
      <c r="Z11" s="180">
        <v>11681</v>
      </c>
      <c r="AA11" s="180">
        <v>126</v>
      </c>
      <c r="AB11" s="180">
        <v>18162</v>
      </c>
      <c r="AC11" s="180">
        <v>577</v>
      </c>
      <c r="AD11" s="180">
        <v>73735</v>
      </c>
      <c r="AE11" s="180">
        <v>187</v>
      </c>
      <c r="AF11" s="180">
        <v>27060</v>
      </c>
      <c r="AG11" s="180">
        <v>959</v>
      </c>
      <c r="AH11" s="180">
        <v>122771</v>
      </c>
      <c r="AI11" s="180">
        <v>196</v>
      </c>
      <c r="AJ11" s="180">
        <v>34003</v>
      </c>
      <c r="AK11" s="180">
        <v>820</v>
      </c>
      <c r="AL11" s="180">
        <v>138022</v>
      </c>
      <c r="AM11" s="180">
        <v>568</v>
      </c>
      <c r="AN11" s="180">
        <v>84205</v>
      </c>
      <c r="AO11" s="180">
        <v>2514</v>
      </c>
      <c r="AP11" s="181">
        <v>346208</v>
      </c>
      <c r="AQ11" s="179">
        <v>30</v>
      </c>
      <c r="AR11" s="180">
        <v>1946</v>
      </c>
      <c r="AS11" s="180">
        <v>287</v>
      </c>
      <c r="AT11" s="180">
        <v>21498</v>
      </c>
      <c r="AU11" s="180">
        <v>112</v>
      </c>
      <c r="AV11" s="180">
        <v>13906</v>
      </c>
      <c r="AW11" s="180">
        <v>1022</v>
      </c>
      <c r="AX11" s="180">
        <v>132261</v>
      </c>
      <c r="AY11" s="180">
        <v>177</v>
      </c>
      <c r="AZ11" s="180">
        <v>20925</v>
      </c>
      <c r="BA11" s="180">
        <v>1662</v>
      </c>
      <c r="BB11" s="180">
        <v>205105</v>
      </c>
      <c r="BC11" s="180">
        <v>192</v>
      </c>
      <c r="BD11" s="180">
        <v>29796</v>
      </c>
      <c r="BE11" s="180">
        <v>1401</v>
      </c>
      <c r="BF11" s="180">
        <v>228432</v>
      </c>
      <c r="BG11" s="180">
        <v>508</v>
      </c>
      <c r="BH11" s="180">
        <v>66574</v>
      </c>
      <c r="BI11" s="180">
        <v>4372</v>
      </c>
      <c r="BJ11" s="181">
        <v>587295</v>
      </c>
      <c r="BK11" s="179">
        <v>0</v>
      </c>
      <c r="BL11" s="180">
        <v>0</v>
      </c>
      <c r="BM11" s="180">
        <v>349</v>
      </c>
      <c r="BN11" s="180">
        <v>26528</v>
      </c>
      <c r="BO11" s="180">
        <v>126</v>
      </c>
      <c r="BP11" s="180">
        <v>15843</v>
      </c>
      <c r="BQ11" s="180">
        <v>1535</v>
      </c>
      <c r="BR11" s="180">
        <v>200638</v>
      </c>
      <c r="BS11" s="180">
        <v>165</v>
      </c>
      <c r="BT11" s="180">
        <v>18826</v>
      </c>
      <c r="BU11" s="180">
        <v>2505</v>
      </c>
      <c r="BV11" s="180">
        <v>313799</v>
      </c>
      <c r="BW11" s="180">
        <v>228</v>
      </c>
      <c r="BX11" s="180">
        <v>35562</v>
      </c>
      <c r="BY11" s="180">
        <v>2133</v>
      </c>
      <c r="BZ11" s="180">
        <v>338655</v>
      </c>
      <c r="CA11" s="180">
        <v>519</v>
      </c>
      <c r="CB11" s="180">
        <v>70230</v>
      </c>
      <c r="CC11" s="180">
        <v>6521</v>
      </c>
      <c r="CD11" s="181">
        <v>879620</v>
      </c>
      <c r="CE11" s="179"/>
      <c r="CF11" s="180"/>
      <c r="CG11" s="180"/>
      <c r="CH11" s="180"/>
      <c r="CI11" s="180"/>
      <c r="CJ11" s="180"/>
      <c r="CK11" s="180"/>
      <c r="CL11" s="180"/>
      <c r="CM11" s="180"/>
      <c r="CN11" s="180"/>
      <c r="CO11" s="180"/>
      <c r="CP11" s="180"/>
      <c r="CQ11" s="180"/>
      <c r="CR11" s="180"/>
      <c r="CS11" s="180"/>
      <c r="CT11" s="180"/>
      <c r="CU11" s="180"/>
      <c r="CV11" s="180"/>
      <c r="CW11" s="180"/>
      <c r="CX11" s="181"/>
      <c r="CY11" s="211">
        <v>44</v>
      </c>
      <c r="CZ11" s="212">
        <v>3342</v>
      </c>
      <c r="DA11" s="212">
        <v>644</v>
      </c>
      <c r="DB11" s="212">
        <v>49089</v>
      </c>
      <c r="DC11" s="212">
        <v>143</v>
      </c>
      <c r="DD11" s="212">
        <v>16996</v>
      </c>
      <c r="DE11" s="212">
        <v>2499</v>
      </c>
      <c r="DF11" s="212">
        <v>321988</v>
      </c>
      <c r="DG11" s="212">
        <v>155</v>
      </c>
      <c r="DH11" s="212">
        <v>18716</v>
      </c>
      <c r="DI11" s="212">
        <v>3654</v>
      </c>
      <c r="DJ11" s="212">
        <v>458147</v>
      </c>
      <c r="DK11" s="212">
        <v>230</v>
      </c>
      <c r="DL11" s="212">
        <v>33507</v>
      </c>
      <c r="DM11" s="212">
        <v>3423</v>
      </c>
      <c r="DN11" s="212">
        <v>535247</v>
      </c>
      <c r="DO11" s="212">
        <v>571</v>
      </c>
      <c r="DP11" s="212">
        <v>72561</v>
      </c>
      <c r="DQ11" s="212">
        <v>10218</v>
      </c>
      <c r="DR11" s="213">
        <v>1364471</v>
      </c>
      <c r="DS11" s="211">
        <v>47</v>
      </c>
      <c r="DT11" s="212">
        <v>4098</v>
      </c>
      <c r="DU11" s="212">
        <v>836</v>
      </c>
      <c r="DV11" s="212">
        <v>65351</v>
      </c>
      <c r="DW11" s="212">
        <v>177</v>
      </c>
      <c r="DX11" s="212">
        <v>23606</v>
      </c>
      <c r="DY11" s="212">
        <v>3128</v>
      </c>
      <c r="DZ11" s="212">
        <v>405643</v>
      </c>
      <c r="EA11" s="212">
        <v>110</v>
      </c>
      <c r="EB11" s="212">
        <v>11509</v>
      </c>
      <c r="EC11" s="212">
        <v>4094</v>
      </c>
      <c r="ED11" s="212">
        <v>517920</v>
      </c>
      <c r="EE11" s="212">
        <v>231</v>
      </c>
      <c r="EF11" s="212">
        <v>37227</v>
      </c>
      <c r="EG11" s="212">
        <v>4177</v>
      </c>
      <c r="EH11" s="212">
        <v>654893</v>
      </c>
      <c r="EI11" s="212">
        <v>566</v>
      </c>
      <c r="EJ11" s="212">
        <v>76440</v>
      </c>
      <c r="EK11" s="212">
        <v>12235</v>
      </c>
      <c r="EL11" s="213">
        <v>1643807</v>
      </c>
      <c r="EM11" s="179"/>
      <c r="EN11" s="180"/>
      <c r="EO11" s="180"/>
      <c r="EP11" s="180"/>
      <c r="EQ11" s="180"/>
      <c r="ER11" s="180"/>
      <c r="ES11" s="180"/>
      <c r="ET11" s="180"/>
      <c r="EU11" s="180"/>
      <c r="EV11" s="180"/>
      <c r="EW11" s="180"/>
      <c r="EX11" s="180"/>
      <c r="EY11" s="180"/>
      <c r="EZ11" s="180"/>
      <c r="FA11" s="180"/>
      <c r="FB11" s="180"/>
      <c r="FC11" s="180"/>
      <c r="FD11" s="180"/>
      <c r="FE11" s="180"/>
      <c r="FF11" s="181"/>
      <c r="FG11" s="179"/>
      <c r="FH11" s="180"/>
      <c r="FI11" s="180"/>
      <c r="FJ11" s="180"/>
      <c r="FK11" s="180"/>
      <c r="FL11" s="180"/>
      <c r="FM11" s="180"/>
      <c r="FN11" s="180"/>
      <c r="FO11" s="180"/>
      <c r="FP11" s="180"/>
      <c r="FQ11" s="180"/>
      <c r="FR11" s="180"/>
      <c r="FS11" s="180"/>
      <c r="FT11" s="180"/>
      <c r="FU11" s="180"/>
      <c r="FV11" s="180"/>
      <c r="FW11" s="180"/>
      <c r="FX11" s="180"/>
      <c r="FY11" s="180"/>
      <c r="FZ11" s="181"/>
      <c r="GA11" s="179"/>
      <c r="GB11" s="180"/>
      <c r="GC11" s="180"/>
      <c r="GD11" s="180"/>
      <c r="GE11" s="180"/>
      <c r="GF11" s="180"/>
      <c r="GG11" s="180"/>
      <c r="GH11" s="180"/>
      <c r="GI11" s="180"/>
      <c r="GJ11" s="180"/>
      <c r="GK11" s="180"/>
      <c r="GL11" s="180"/>
      <c r="GM11" s="180"/>
      <c r="GN11" s="180"/>
      <c r="GO11" s="180"/>
      <c r="GP11" s="180"/>
      <c r="GQ11" s="180"/>
      <c r="GR11" s="180"/>
      <c r="GS11" s="180"/>
      <c r="GT11" s="181"/>
      <c r="GU11" s="179"/>
      <c r="GV11" s="180"/>
      <c r="GW11" s="180"/>
      <c r="GX11" s="180"/>
      <c r="GY11" s="180"/>
      <c r="GZ11" s="180"/>
      <c r="HA11" s="180"/>
      <c r="HB11" s="180"/>
      <c r="HC11" s="180"/>
      <c r="HD11" s="180"/>
      <c r="HE11" s="180"/>
      <c r="HF11" s="180"/>
      <c r="HG11" s="180"/>
      <c r="HH11" s="180"/>
      <c r="HI11" s="180"/>
      <c r="HJ11" s="180"/>
      <c r="HK11" s="180"/>
      <c r="HL11" s="180"/>
      <c r="HM11" s="180"/>
      <c r="HN11" s="181"/>
      <c r="HO11" s="179"/>
      <c r="HP11" s="180"/>
      <c r="HQ11" s="180"/>
      <c r="HR11" s="180"/>
      <c r="HS11" s="180"/>
      <c r="HT11" s="180"/>
      <c r="HU11" s="180"/>
      <c r="HV11" s="180"/>
      <c r="HW11" s="180"/>
      <c r="HX11" s="180"/>
      <c r="HY11" s="180"/>
      <c r="HZ11" s="180"/>
      <c r="IA11" s="180"/>
      <c r="IB11" s="180"/>
      <c r="IC11" s="180"/>
      <c r="ID11" s="180"/>
      <c r="IE11" s="180"/>
      <c r="IF11" s="180"/>
      <c r="IG11" s="180"/>
      <c r="IH11" s="181"/>
    </row>
    <row r="12" spans="1:242" ht="14">
      <c r="B12" s="175">
        <v>10</v>
      </c>
      <c r="C12" s="211"/>
      <c r="D12" s="212"/>
      <c r="E12" s="212"/>
      <c r="F12" s="212"/>
      <c r="G12" s="212"/>
      <c r="H12" s="212"/>
      <c r="I12" s="212"/>
      <c r="J12" s="212"/>
      <c r="K12" s="212"/>
      <c r="L12" s="212"/>
      <c r="M12" s="212"/>
      <c r="N12" s="212"/>
      <c r="O12" s="212"/>
      <c r="P12" s="212"/>
      <c r="Q12" s="212"/>
      <c r="R12" s="212"/>
      <c r="S12" s="212"/>
      <c r="T12" s="212"/>
      <c r="U12" s="212"/>
      <c r="V12" s="213"/>
      <c r="W12" s="179">
        <v>58</v>
      </c>
      <c r="X12" s="180">
        <v>4981</v>
      </c>
      <c r="Y12" s="180">
        <v>159</v>
      </c>
      <c r="Z12" s="180">
        <v>11681</v>
      </c>
      <c r="AA12" s="180">
        <v>132</v>
      </c>
      <c r="AB12" s="180">
        <v>19023</v>
      </c>
      <c r="AC12" s="180">
        <v>583</v>
      </c>
      <c r="AD12" s="180">
        <v>74595</v>
      </c>
      <c r="AE12" s="180">
        <v>238</v>
      </c>
      <c r="AF12" s="180">
        <v>32456</v>
      </c>
      <c r="AG12" s="180">
        <v>1009</v>
      </c>
      <c r="AH12" s="180">
        <v>128168</v>
      </c>
      <c r="AI12" s="180">
        <v>226</v>
      </c>
      <c r="AJ12" s="180">
        <v>38765</v>
      </c>
      <c r="AK12" s="180">
        <v>850</v>
      </c>
      <c r="AL12" s="180">
        <v>142785</v>
      </c>
      <c r="AM12" s="180">
        <v>654</v>
      </c>
      <c r="AN12" s="180">
        <v>95226</v>
      </c>
      <c r="AO12" s="180">
        <v>2601</v>
      </c>
      <c r="AP12" s="181">
        <v>357228</v>
      </c>
      <c r="AQ12" s="179">
        <v>31</v>
      </c>
      <c r="AR12" s="180">
        <v>2012</v>
      </c>
      <c r="AS12" s="180">
        <v>288</v>
      </c>
      <c r="AT12" s="180">
        <v>21564</v>
      </c>
      <c r="AU12" s="180">
        <v>138</v>
      </c>
      <c r="AV12" s="180">
        <v>16763</v>
      </c>
      <c r="AW12" s="180">
        <v>1049</v>
      </c>
      <c r="AX12" s="180">
        <v>135117</v>
      </c>
      <c r="AY12" s="180">
        <v>230</v>
      </c>
      <c r="AZ12" s="180">
        <v>27824</v>
      </c>
      <c r="BA12" s="180">
        <v>1715</v>
      </c>
      <c r="BB12" s="180">
        <v>212004</v>
      </c>
      <c r="BC12" s="180">
        <v>220</v>
      </c>
      <c r="BD12" s="180">
        <v>34219</v>
      </c>
      <c r="BE12" s="180">
        <v>1429</v>
      </c>
      <c r="BF12" s="180">
        <v>232852</v>
      </c>
      <c r="BG12" s="180">
        <v>618</v>
      </c>
      <c r="BH12" s="180">
        <v>80816</v>
      </c>
      <c r="BI12" s="180">
        <v>4482</v>
      </c>
      <c r="BJ12" s="181">
        <v>601537</v>
      </c>
      <c r="BK12" s="179">
        <v>0</v>
      </c>
      <c r="BL12" s="180">
        <v>0</v>
      </c>
      <c r="BM12" s="180">
        <v>349</v>
      </c>
      <c r="BN12" s="180">
        <v>26528</v>
      </c>
      <c r="BO12" s="180">
        <v>161</v>
      </c>
      <c r="BP12" s="180">
        <v>20165</v>
      </c>
      <c r="BQ12" s="180">
        <v>1570</v>
      </c>
      <c r="BR12" s="180">
        <v>204961</v>
      </c>
      <c r="BS12" s="180">
        <v>219</v>
      </c>
      <c r="BT12" s="180">
        <v>24281</v>
      </c>
      <c r="BU12" s="180">
        <v>2559</v>
      </c>
      <c r="BV12" s="180">
        <v>319255</v>
      </c>
      <c r="BW12" s="180">
        <v>256</v>
      </c>
      <c r="BX12" s="180">
        <v>38843</v>
      </c>
      <c r="BY12" s="180">
        <v>2160</v>
      </c>
      <c r="BZ12" s="180">
        <v>341935</v>
      </c>
      <c r="CA12" s="180">
        <v>636</v>
      </c>
      <c r="CB12" s="180">
        <v>83289</v>
      </c>
      <c r="CC12" s="180">
        <v>6638</v>
      </c>
      <c r="CD12" s="181">
        <v>892679</v>
      </c>
      <c r="CE12" s="179"/>
      <c r="CF12" s="180"/>
      <c r="CG12" s="180"/>
      <c r="CH12" s="180"/>
      <c r="CI12" s="180"/>
      <c r="CJ12" s="180"/>
      <c r="CK12" s="180"/>
      <c r="CL12" s="180"/>
      <c r="CM12" s="180"/>
      <c r="CN12" s="180"/>
      <c r="CO12" s="180"/>
      <c r="CP12" s="180"/>
      <c r="CQ12" s="180"/>
      <c r="CR12" s="180"/>
      <c r="CS12" s="180"/>
      <c r="CT12" s="180"/>
      <c r="CU12" s="180"/>
      <c r="CV12" s="180"/>
      <c r="CW12" s="180"/>
      <c r="CX12" s="181"/>
      <c r="CY12" s="211">
        <v>63</v>
      </c>
      <c r="CZ12" s="212">
        <v>4841</v>
      </c>
      <c r="DA12" s="212">
        <v>662</v>
      </c>
      <c r="DB12" s="212">
        <v>50588</v>
      </c>
      <c r="DC12" s="212">
        <v>179</v>
      </c>
      <c r="DD12" s="212">
        <v>21633</v>
      </c>
      <c r="DE12" s="212">
        <v>2534</v>
      </c>
      <c r="DF12" s="212">
        <v>326624</v>
      </c>
      <c r="DG12" s="212">
        <v>169</v>
      </c>
      <c r="DH12" s="212">
        <v>20618</v>
      </c>
      <c r="DI12" s="212">
        <v>3668</v>
      </c>
      <c r="DJ12" s="212">
        <v>460050</v>
      </c>
      <c r="DK12" s="212">
        <v>274</v>
      </c>
      <c r="DL12" s="212">
        <v>40412</v>
      </c>
      <c r="DM12" s="212">
        <v>3468</v>
      </c>
      <c r="DN12" s="212">
        <v>542152</v>
      </c>
      <c r="DO12" s="212">
        <v>684</v>
      </c>
      <c r="DP12" s="212">
        <v>87503</v>
      </c>
      <c r="DQ12" s="212">
        <v>10331</v>
      </c>
      <c r="DR12" s="213">
        <v>1379414</v>
      </c>
      <c r="DS12" s="211">
        <v>57</v>
      </c>
      <c r="DT12" s="212">
        <v>4758</v>
      </c>
      <c r="DU12" s="212">
        <v>846</v>
      </c>
      <c r="DV12" s="212">
        <v>66011</v>
      </c>
      <c r="DW12" s="212">
        <v>208</v>
      </c>
      <c r="DX12" s="212">
        <v>27923</v>
      </c>
      <c r="DY12" s="212">
        <v>3159</v>
      </c>
      <c r="DZ12" s="212">
        <v>409959</v>
      </c>
      <c r="EA12" s="212">
        <v>123</v>
      </c>
      <c r="EB12" s="212">
        <v>13851</v>
      </c>
      <c r="EC12" s="212">
        <v>4107</v>
      </c>
      <c r="ED12" s="212">
        <v>520262</v>
      </c>
      <c r="EE12" s="212">
        <v>260</v>
      </c>
      <c r="EF12" s="212">
        <v>40849</v>
      </c>
      <c r="EG12" s="212">
        <v>4207</v>
      </c>
      <c r="EH12" s="212">
        <v>658516</v>
      </c>
      <c r="EI12" s="212">
        <v>650</v>
      </c>
      <c r="EJ12" s="212">
        <v>87381</v>
      </c>
      <c r="EK12" s="212">
        <v>12319</v>
      </c>
      <c r="EL12" s="213">
        <v>1654748</v>
      </c>
      <c r="EM12" s="211">
        <v>0</v>
      </c>
      <c r="EN12" s="212">
        <v>2</v>
      </c>
      <c r="EO12" s="212">
        <v>1015</v>
      </c>
      <c r="EP12" s="212">
        <v>80283</v>
      </c>
      <c r="EQ12" s="212">
        <v>100</v>
      </c>
      <c r="ER12" s="212">
        <v>11459</v>
      </c>
      <c r="ES12" s="212">
        <v>3566</v>
      </c>
      <c r="ET12" s="212">
        <v>461946</v>
      </c>
      <c r="EU12" s="212">
        <v>106</v>
      </c>
      <c r="EV12" s="212">
        <v>16602</v>
      </c>
      <c r="EW12" s="212">
        <v>4521</v>
      </c>
      <c r="EX12" s="212">
        <v>571700</v>
      </c>
      <c r="EY12" s="212">
        <v>196</v>
      </c>
      <c r="EZ12" s="212">
        <v>31613</v>
      </c>
      <c r="FA12" s="212">
        <v>4833</v>
      </c>
      <c r="FB12" s="212">
        <v>760502</v>
      </c>
      <c r="FC12" s="212">
        <v>403</v>
      </c>
      <c r="FD12" s="212">
        <v>59675</v>
      </c>
      <c r="FE12" s="212">
        <v>13934</v>
      </c>
      <c r="FF12" s="213">
        <v>1874432</v>
      </c>
      <c r="FG12" s="179"/>
      <c r="FH12" s="180"/>
      <c r="FI12" s="180"/>
      <c r="FJ12" s="180"/>
      <c r="FK12" s="180"/>
      <c r="FL12" s="180"/>
      <c r="FM12" s="180"/>
      <c r="FN12" s="180"/>
      <c r="FO12" s="180"/>
      <c r="FP12" s="180"/>
      <c r="FQ12" s="180"/>
      <c r="FR12" s="180"/>
      <c r="FS12" s="180"/>
      <c r="FT12" s="180"/>
      <c r="FU12" s="180"/>
      <c r="FV12" s="180"/>
      <c r="FW12" s="180"/>
      <c r="FX12" s="180"/>
      <c r="FY12" s="180"/>
      <c r="FZ12" s="181"/>
      <c r="GA12" s="179"/>
      <c r="GB12" s="180"/>
      <c r="GC12" s="180"/>
      <c r="GD12" s="180"/>
      <c r="GE12" s="180"/>
      <c r="GF12" s="180"/>
      <c r="GG12" s="180"/>
      <c r="GH12" s="180"/>
      <c r="GI12" s="180"/>
      <c r="GJ12" s="180"/>
      <c r="GK12" s="180"/>
      <c r="GL12" s="180"/>
      <c r="GM12" s="180"/>
      <c r="GN12" s="180"/>
      <c r="GO12" s="180"/>
      <c r="GP12" s="180"/>
      <c r="GQ12" s="180"/>
      <c r="GR12" s="180"/>
      <c r="GS12" s="180"/>
      <c r="GT12" s="181"/>
      <c r="GU12" s="179"/>
      <c r="GV12" s="180"/>
      <c r="GW12" s="180"/>
      <c r="GX12" s="180"/>
      <c r="GY12" s="180"/>
      <c r="GZ12" s="180"/>
      <c r="HA12" s="180"/>
      <c r="HB12" s="180"/>
      <c r="HC12" s="180"/>
      <c r="HD12" s="180"/>
      <c r="HE12" s="180"/>
      <c r="HF12" s="180"/>
      <c r="HG12" s="180"/>
      <c r="HH12" s="180"/>
      <c r="HI12" s="180"/>
      <c r="HJ12" s="180"/>
      <c r="HK12" s="180"/>
      <c r="HL12" s="180"/>
      <c r="HM12" s="180"/>
      <c r="HN12" s="181"/>
      <c r="HO12" s="179"/>
      <c r="HP12" s="180"/>
      <c r="HQ12" s="180"/>
      <c r="HR12" s="180"/>
      <c r="HS12" s="180"/>
      <c r="HT12" s="180"/>
      <c r="HU12" s="180"/>
      <c r="HV12" s="180"/>
      <c r="HW12" s="180"/>
      <c r="HX12" s="180"/>
      <c r="HY12" s="180"/>
      <c r="HZ12" s="180"/>
      <c r="IA12" s="180"/>
      <c r="IB12" s="180"/>
      <c r="IC12" s="180"/>
      <c r="ID12" s="180"/>
      <c r="IE12" s="180"/>
      <c r="IF12" s="180"/>
      <c r="IG12" s="180"/>
      <c r="IH12" s="181"/>
    </row>
    <row r="13" spans="1:242" ht="14">
      <c r="B13" s="175">
        <v>11</v>
      </c>
      <c r="C13" s="211"/>
      <c r="D13" s="212"/>
      <c r="E13" s="212"/>
      <c r="F13" s="212"/>
      <c r="G13" s="212"/>
      <c r="H13" s="212"/>
      <c r="I13" s="212"/>
      <c r="J13" s="212"/>
      <c r="K13" s="212"/>
      <c r="L13" s="212"/>
      <c r="M13" s="212"/>
      <c r="N13" s="212"/>
      <c r="O13" s="212"/>
      <c r="P13" s="212"/>
      <c r="Q13" s="212"/>
      <c r="R13" s="212"/>
      <c r="S13" s="212"/>
      <c r="T13" s="212"/>
      <c r="U13" s="212"/>
      <c r="V13" s="213"/>
      <c r="W13" s="179">
        <v>58</v>
      </c>
      <c r="X13" s="180">
        <v>4981</v>
      </c>
      <c r="Y13" s="180">
        <v>159</v>
      </c>
      <c r="Z13" s="180">
        <v>11681</v>
      </c>
      <c r="AA13" s="180">
        <v>165</v>
      </c>
      <c r="AB13" s="180">
        <v>24772</v>
      </c>
      <c r="AC13" s="180">
        <v>616</v>
      </c>
      <c r="AD13" s="180">
        <v>80344</v>
      </c>
      <c r="AE13" s="180">
        <v>293</v>
      </c>
      <c r="AF13" s="180">
        <v>37752</v>
      </c>
      <c r="AG13" s="180">
        <v>1065</v>
      </c>
      <c r="AH13" s="180">
        <v>133463</v>
      </c>
      <c r="AI13" s="180">
        <v>268</v>
      </c>
      <c r="AJ13" s="180">
        <v>45765</v>
      </c>
      <c r="AK13" s="180">
        <v>893</v>
      </c>
      <c r="AL13" s="180">
        <v>149785</v>
      </c>
      <c r="AM13" s="180">
        <v>785</v>
      </c>
      <c r="AN13" s="180">
        <v>113269</v>
      </c>
      <c r="AO13" s="180">
        <v>2731</v>
      </c>
      <c r="AP13" s="181">
        <v>375272</v>
      </c>
      <c r="AQ13" s="179">
        <v>31</v>
      </c>
      <c r="AR13" s="180">
        <v>2012</v>
      </c>
      <c r="AS13" s="180">
        <v>288</v>
      </c>
      <c r="AT13" s="180">
        <v>21564</v>
      </c>
      <c r="AU13" s="180">
        <v>160</v>
      </c>
      <c r="AV13" s="180">
        <v>19067</v>
      </c>
      <c r="AW13" s="180">
        <v>1070</v>
      </c>
      <c r="AX13" s="180">
        <v>137422</v>
      </c>
      <c r="AY13" s="180">
        <v>242</v>
      </c>
      <c r="AZ13" s="180">
        <v>30088</v>
      </c>
      <c r="BA13" s="180">
        <v>1727</v>
      </c>
      <c r="BB13" s="180">
        <v>214269</v>
      </c>
      <c r="BC13" s="180">
        <v>253</v>
      </c>
      <c r="BD13" s="180">
        <v>39145</v>
      </c>
      <c r="BE13" s="180">
        <v>1463</v>
      </c>
      <c r="BF13" s="180">
        <v>237778</v>
      </c>
      <c r="BG13" s="180">
        <v>685</v>
      </c>
      <c r="BH13" s="180">
        <v>90313</v>
      </c>
      <c r="BI13" s="180">
        <v>4549</v>
      </c>
      <c r="BJ13" s="181">
        <v>611033</v>
      </c>
      <c r="BK13" s="179"/>
      <c r="BL13" s="180"/>
      <c r="BM13" s="180"/>
      <c r="BN13" s="180"/>
      <c r="BO13" s="180"/>
      <c r="BP13" s="180"/>
      <c r="BQ13" s="180"/>
      <c r="BR13" s="180"/>
      <c r="BS13" s="180"/>
      <c r="BT13" s="180"/>
      <c r="BU13" s="180"/>
      <c r="BV13" s="180"/>
      <c r="BW13" s="180"/>
      <c r="BX13" s="180"/>
      <c r="BY13" s="180"/>
      <c r="BZ13" s="180"/>
      <c r="CA13" s="180"/>
      <c r="CB13" s="180"/>
      <c r="CC13" s="180"/>
      <c r="CD13" s="181"/>
      <c r="CE13" s="179">
        <v>35</v>
      </c>
      <c r="CF13" s="180">
        <v>2933</v>
      </c>
      <c r="CG13" s="180">
        <v>535</v>
      </c>
      <c r="CH13" s="180">
        <v>40858</v>
      </c>
      <c r="CI13" s="180">
        <v>130</v>
      </c>
      <c r="CJ13" s="180">
        <v>12758</v>
      </c>
      <c r="CK13" s="180">
        <v>2064</v>
      </c>
      <c r="CL13" s="180">
        <v>265399</v>
      </c>
      <c r="CM13" s="180">
        <v>141</v>
      </c>
      <c r="CN13" s="180">
        <v>19102</v>
      </c>
      <c r="CO13" s="180">
        <v>3126</v>
      </c>
      <c r="CP13" s="180">
        <v>393079</v>
      </c>
      <c r="CQ13" s="180">
        <v>183</v>
      </c>
      <c r="CR13" s="180">
        <v>29395</v>
      </c>
      <c r="CS13" s="180">
        <v>2784</v>
      </c>
      <c r="CT13" s="180">
        <v>440147</v>
      </c>
      <c r="CU13" s="180">
        <v>488</v>
      </c>
      <c r="CV13" s="180">
        <v>64189</v>
      </c>
      <c r="CW13" s="180">
        <v>8510</v>
      </c>
      <c r="CX13" s="181">
        <v>1139482</v>
      </c>
      <c r="CY13" s="211">
        <v>63</v>
      </c>
      <c r="CZ13" s="212">
        <v>4841</v>
      </c>
      <c r="DA13" s="212">
        <v>662</v>
      </c>
      <c r="DB13" s="212">
        <v>50588</v>
      </c>
      <c r="DC13" s="212">
        <v>211</v>
      </c>
      <c r="DD13" s="212">
        <v>26582</v>
      </c>
      <c r="DE13" s="212">
        <v>2567</v>
      </c>
      <c r="DF13" s="212">
        <v>331573</v>
      </c>
      <c r="DG13" s="212">
        <v>206</v>
      </c>
      <c r="DH13" s="212">
        <v>29776</v>
      </c>
      <c r="DI13" s="212">
        <v>3705</v>
      </c>
      <c r="DJ13" s="212">
        <v>469208</v>
      </c>
      <c r="DK13" s="212">
        <v>300</v>
      </c>
      <c r="DL13" s="212">
        <v>44534</v>
      </c>
      <c r="DM13" s="212">
        <v>3493</v>
      </c>
      <c r="DN13" s="212">
        <v>546273</v>
      </c>
      <c r="DO13" s="212">
        <v>778</v>
      </c>
      <c r="DP13" s="212">
        <v>105731</v>
      </c>
      <c r="DQ13" s="212">
        <v>10425</v>
      </c>
      <c r="DR13" s="213">
        <v>1397642</v>
      </c>
      <c r="DS13" s="211"/>
      <c r="DT13" s="212"/>
      <c r="DU13" s="212"/>
      <c r="DV13" s="212"/>
      <c r="DW13" s="212"/>
      <c r="DX13" s="212"/>
      <c r="DY13" s="212"/>
      <c r="DZ13" s="212"/>
      <c r="EA13" s="212"/>
      <c r="EB13" s="212"/>
      <c r="EC13" s="212"/>
      <c r="ED13" s="212"/>
      <c r="EE13" s="212"/>
      <c r="EF13" s="212"/>
      <c r="EG13" s="212"/>
      <c r="EH13" s="212"/>
      <c r="EI13" s="212"/>
      <c r="EJ13" s="212"/>
      <c r="EK13" s="212"/>
      <c r="EL13" s="213"/>
      <c r="EM13" s="211">
        <v>0</v>
      </c>
      <c r="EN13" s="212">
        <v>2</v>
      </c>
      <c r="EO13" s="212">
        <v>1015</v>
      </c>
      <c r="EP13" s="212">
        <v>80283</v>
      </c>
      <c r="EQ13" s="212">
        <v>125</v>
      </c>
      <c r="ER13" s="212">
        <v>14631</v>
      </c>
      <c r="ES13" s="212">
        <v>3591</v>
      </c>
      <c r="ET13" s="212">
        <v>465117</v>
      </c>
      <c r="EU13" s="212">
        <v>132</v>
      </c>
      <c r="EV13" s="212">
        <v>19934</v>
      </c>
      <c r="EW13" s="212">
        <v>4547</v>
      </c>
      <c r="EX13" s="212">
        <v>575032</v>
      </c>
      <c r="EY13" s="212">
        <v>228</v>
      </c>
      <c r="EZ13" s="212">
        <v>36180</v>
      </c>
      <c r="FA13" s="212">
        <v>4865</v>
      </c>
      <c r="FB13" s="212">
        <v>765070</v>
      </c>
      <c r="FC13" s="212">
        <v>486</v>
      </c>
      <c r="FD13" s="212">
        <v>70747</v>
      </c>
      <c r="FE13" s="212">
        <v>14016</v>
      </c>
      <c r="FF13" s="213">
        <v>1885503</v>
      </c>
      <c r="FG13" s="179"/>
      <c r="FH13" s="180"/>
      <c r="FI13" s="180"/>
      <c r="FJ13" s="180"/>
      <c r="FK13" s="180"/>
      <c r="FL13" s="180"/>
      <c r="FM13" s="180"/>
      <c r="FN13" s="180"/>
      <c r="FO13" s="180"/>
      <c r="FP13" s="180"/>
      <c r="FQ13" s="180"/>
      <c r="FR13" s="180"/>
      <c r="FS13" s="180"/>
      <c r="FT13" s="180"/>
      <c r="FU13" s="180"/>
      <c r="FV13" s="180"/>
      <c r="FW13" s="180"/>
      <c r="FX13" s="180"/>
      <c r="FY13" s="180"/>
      <c r="FZ13" s="181"/>
      <c r="GA13" s="179"/>
      <c r="GB13" s="180"/>
      <c r="GC13" s="180"/>
      <c r="GD13" s="180"/>
      <c r="GE13" s="180"/>
      <c r="GF13" s="180"/>
      <c r="GG13" s="180"/>
      <c r="GH13" s="180"/>
      <c r="GI13" s="180"/>
      <c r="GJ13" s="180"/>
      <c r="GK13" s="180"/>
      <c r="GL13" s="180"/>
      <c r="GM13" s="180"/>
      <c r="GN13" s="180"/>
      <c r="GO13" s="180"/>
      <c r="GP13" s="180"/>
      <c r="GQ13" s="180"/>
      <c r="GR13" s="180"/>
      <c r="GS13" s="180"/>
      <c r="GT13" s="181"/>
      <c r="GU13" s="179"/>
      <c r="GV13" s="180"/>
      <c r="GW13" s="180"/>
      <c r="GX13" s="180"/>
      <c r="GY13" s="180"/>
      <c r="GZ13" s="180"/>
      <c r="HA13" s="180"/>
      <c r="HB13" s="180"/>
      <c r="HC13" s="180"/>
      <c r="HD13" s="180"/>
      <c r="HE13" s="180"/>
      <c r="HF13" s="180"/>
      <c r="HG13" s="180"/>
      <c r="HH13" s="180"/>
      <c r="HI13" s="180"/>
      <c r="HJ13" s="180"/>
      <c r="HK13" s="180"/>
      <c r="HL13" s="180"/>
      <c r="HM13" s="180"/>
      <c r="HN13" s="181"/>
      <c r="HO13" s="179"/>
      <c r="HP13" s="180"/>
      <c r="HQ13" s="180"/>
      <c r="HR13" s="180"/>
      <c r="HS13" s="180"/>
      <c r="HT13" s="180"/>
      <c r="HU13" s="180"/>
      <c r="HV13" s="180"/>
      <c r="HW13" s="180"/>
      <c r="HX13" s="180"/>
      <c r="HY13" s="180"/>
      <c r="HZ13" s="180"/>
      <c r="IA13" s="180"/>
      <c r="IB13" s="180"/>
      <c r="IC13" s="180"/>
      <c r="ID13" s="180"/>
      <c r="IE13" s="180"/>
      <c r="IF13" s="180"/>
      <c r="IG13" s="180"/>
      <c r="IH13" s="181"/>
    </row>
    <row r="14" spans="1:242" ht="14">
      <c r="B14" s="175">
        <v>12</v>
      </c>
      <c r="C14" s="211">
        <v>40</v>
      </c>
      <c r="D14" s="212">
        <v>2623</v>
      </c>
      <c r="E14" s="212">
        <v>40</v>
      </c>
      <c r="F14" s="212">
        <v>2623</v>
      </c>
      <c r="G14" s="212">
        <v>133</v>
      </c>
      <c r="H14" s="212">
        <v>15477</v>
      </c>
      <c r="I14" s="212">
        <v>133</v>
      </c>
      <c r="J14" s="212">
        <v>15477</v>
      </c>
      <c r="K14" s="212">
        <v>241</v>
      </c>
      <c r="L14" s="212">
        <v>29154</v>
      </c>
      <c r="M14" s="212">
        <v>241</v>
      </c>
      <c r="N14" s="212">
        <v>29154</v>
      </c>
      <c r="O14" s="212">
        <v>217</v>
      </c>
      <c r="P14" s="212">
        <v>37579</v>
      </c>
      <c r="Q14" s="212">
        <v>217</v>
      </c>
      <c r="R14" s="212">
        <v>37579</v>
      </c>
      <c r="S14" s="212">
        <v>631</v>
      </c>
      <c r="T14" s="212">
        <v>84833</v>
      </c>
      <c r="U14" s="212">
        <v>631</v>
      </c>
      <c r="V14" s="213">
        <v>84833</v>
      </c>
      <c r="W14" s="179">
        <v>58</v>
      </c>
      <c r="X14" s="180">
        <v>4981</v>
      </c>
      <c r="Y14" s="180">
        <v>159</v>
      </c>
      <c r="Z14" s="180">
        <v>11681</v>
      </c>
      <c r="AA14" s="180">
        <v>173</v>
      </c>
      <c r="AB14" s="180">
        <v>26087</v>
      </c>
      <c r="AC14" s="180">
        <v>624</v>
      </c>
      <c r="AD14" s="180">
        <v>81658</v>
      </c>
      <c r="AE14" s="180">
        <v>297</v>
      </c>
      <c r="AF14" s="180">
        <v>37951</v>
      </c>
      <c r="AG14" s="180">
        <v>1068</v>
      </c>
      <c r="AH14" s="180">
        <v>133663</v>
      </c>
      <c r="AI14" s="180">
        <v>301</v>
      </c>
      <c r="AJ14" s="180">
        <v>50984</v>
      </c>
      <c r="AK14" s="180">
        <v>926</v>
      </c>
      <c r="AL14" s="180">
        <v>155004</v>
      </c>
      <c r="AM14" s="180">
        <v>829</v>
      </c>
      <c r="AN14" s="180">
        <v>120003</v>
      </c>
      <c r="AO14" s="180">
        <v>2775</v>
      </c>
      <c r="AP14" s="181">
        <v>382005</v>
      </c>
      <c r="AQ14" s="179">
        <v>36</v>
      </c>
      <c r="AR14" s="180">
        <v>2340</v>
      </c>
      <c r="AS14" s="180">
        <v>293</v>
      </c>
      <c r="AT14" s="180">
        <v>21892</v>
      </c>
      <c r="AU14" s="180">
        <v>172</v>
      </c>
      <c r="AV14" s="180">
        <v>20294</v>
      </c>
      <c r="AW14" s="180">
        <v>1082</v>
      </c>
      <c r="AX14" s="180">
        <v>138649</v>
      </c>
      <c r="AY14" s="180">
        <v>289</v>
      </c>
      <c r="AZ14" s="180">
        <v>34713</v>
      </c>
      <c r="BA14" s="180">
        <v>1774</v>
      </c>
      <c r="BB14" s="180">
        <v>218894</v>
      </c>
      <c r="BC14" s="180">
        <v>284</v>
      </c>
      <c r="BD14" s="180">
        <v>44294</v>
      </c>
      <c r="BE14" s="180">
        <v>1495</v>
      </c>
      <c r="BF14" s="180">
        <v>242928</v>
      </c>
      <c r="BG14" s="180">
        <v>780</v>
      </c>
      <c r="BH14" s="180">
        <v>101642</v>
      </c>
      <c r="BI14" s="180">
        <v>4643</v>
      </c>
      <c r="BJ14" s="181">
        <v>622363</v>
      </c>
      <c r="BK14" s="179"/>
      <c r="BL14" s="180"/>
      <c r="BM14" s="180"/>
      <c r="BN14" s="180"/>
      <c r="BO14" s="180"/>
      <c r="BP14" s="180"/>
      <c r="BQ14" s="180"/>
      <c r="BR14" s="180"/>
      <c r="BS14" s="180"/>
      <c r="BT14" s="180"/>
      <c r="BU14" s="180"/>
      <c r="BV14" s="180"/>
      <c r="BW14" s="180"/>
      <c r="BX14" s="180"/>
      <c r="BY14" s="180"/>
      <c r="BZ14" s="180"/>
      <c r="CA14" s="180"/>
      <c r="CB14" s="180"/>
      <c r="CC14" s="180"/>
      <c r="CD14" s="181"/>
      <c r="CE14" s="179">
        <v>35</v>
      </c>
      <c r="CF14" s="180">
        <v>2933</v>
      </c>
      <c r="CG14" s="180">
        <v>535</v>
      </c>
      <c r="CH14" s="180">
        <v>40858</v>
      </c>
      <c r="CI14" s="180">
        <v>155</v>
      </c>
      <c r="CJ14" s="180">
        <v>17348</v>
      </c>
      <c r="CK14" s="180">
        <v>2089</v>
      </c>
      <c r="CL14" s="180">
        <v>269989</v>
      </c>
      <c r="CM14" s="180">
        <v>158</v>
      </c>
      <c r="CN14" s="180">
        <v>22502</v>
      </c>
      <c r="CO14" s="180">
        <v>3144</v>
      </c>
      <c r="CP14" s="180">
        <v>396479</v>
      </c>
      <c r="CQ14" s="180">
        <v>222</v>
      </c>
      <c r="CR14" s="180">
        <v>35169</v>
      </c>
      <c r="CS14" s="180">
        <v>2824</v>
      </c>
      <c r="CT14" s="180">
        <v>445921</v>
      </c>
      <c r="CU14" s="180">
        <v>570</v>
      </c>
      <c r="CV14" s="180">
        <v>77952</v>
      </c>
      <c r="CW14" s="180">
        <v>8592</v>
      </c>
      <c r="CX14" s="181">
        <v>1153247</v>
      </c>
      <c r="CY14" s="211">
        <v>78</v>
      </c>
      <c r="CZ14" s="212">
        <v>6041</v>
      </c>
      <c r="DA14" s="212">
        <v>678</v>
      </c>
      <c r="DB14" s="212">
        <v>51789</v>
      </c>
      <c r="DC14" s="212">
        <v>257</v>
      </c>
      <c r="DD14" s="212">
        <v>32925</v>
      </c>
      <c r="DE14" s="212">
        <v>2613</v>
      </c>
      <c r="DF14" s="212">
        <v>337917</v>
      </c>
      <c r="DG14" s="212">
        <v>247</v>
      </c>
      <c r="DH14" s="212">
        <v>34932</v>
      </c>
      <c r="DI14" s="212">
        <v>3746</v>
      </c>
      <c r="DJ14" s="212">
        <v>474364</v>
      </c>
      <c r="DK14" s="212">
        <v>334</v>
      </c>
      <c r="DL14" s="212">
        <v>49660</v>
      </c>
      <c r="DM14" s="212">
        <v>3527</v>
      </c>
      <c r="DN14" s="212">
        <v>551399</v>
      </c>
      <c r="DO14" s="212">
        <v>916</v>
      </c>
      <c r="DP14" s="212">
        <v>123557</v>
      </c>
      <c r="DQ14" s="212">
        <v>10563</v>
      </c>
      <c r="DR14" s="213">
        <v>1415468</v>
      </c>
      <c r="DS14" s="211"/>
      <c r="DT14" s="212"/>
      <c r="DU14" s="212"/>
      <c r="DV14" s="212"/>
      <c r="DW14" s="212"/>
      <c r="DX14" s="212"/>
      <c r="DY14" s="212"/>
      <c r="DZ14" s="212"/>
      <c r="EA14" s="212"/>
      <c r="EB14" s="212"/>
      <c r="EC14" s="212"/>
      <c r="ED14" s="212"/>
      <c r="EE14" s="212"/>
      <c r="EF14" s="212"/>
      <c r="EG14" s="212"/>
      <c r="EH14" s="212"/>
      <c r="EI14" s="212"/>
      <c r="EJ14" s="212"/>
      <c r="EK14" s="212"/>
      <c r="EL14" s="213"/>
      <c r="EM14" s="179"/>
      <c r="EN14" s="180"/>
      <c r="EO14" s="180"/>
      <c r="EP14" s="180"/>
      <c r="EQ14" s="180"/>
      <c r="ER14" s="180"/>
      <c r="ES14" s="180"/>
      <c r="ET14" s="180"/>
      <c r="EU14" s="180"/>
      <c r="EV14" s="180"/>
      <c r="EW14" s="180"/>
      <c r="EX14" s="180"/>
      <c r="EY14" s="180"/>
      <c r="EZ14" s="180"/>
      <c r="FA14" s="180"/>
      <c r="FB14" s="180"/>
      <c r="FC14" s="180"/>
      <c r="FD14" s="180"/>
      <c r="FE14" s="180"/>
      <c r="FF14" s="181"/>
      <c r="FG14" s="179"/>
      <c r="FH14" s="180"/>
      <c r="FI14" s="180"/>
      <c r="FJ14" s="180"/>
      <c r="FK14" s="180"/>
      <c r="FL14" s="180"/>
      <c r="FM14" s="180"/>
      <c r="FN14" s="180"/>
      <c r="FO14" s="180"/>
      <c r="FP14" s="180"/>
      <c r="FQ14" s="180"/>
      <c r="FR14" s="180"/>
      <c r="FS14" s="180"/>
      <c r="FT14" s="180"/>
      <c r="FU14" s="180"/>
      <c r="FV14" s="180"/>
      <c r="FW14" s="180"/>
      <c r="FX14" s="180"/>
      <c r="FY14" s="180"/>
      <c r="FZ14" s="181"/>
      <c r="GA14" s="179"/>
      <c r="GB14" s="180"/>
      <c r="GC14" s="180"/>
      <c r="GD14" s="180"/>
      <c r="GE14" s="180"/>
      <c r="GF14" s="180"/>
      <c r="GG14" s="180"/>
      <c r="GH14" s="180"/>
      <c r="GI14" s="180"/>
      <c r="GJ14" s="180"/>
      <c r="GK14" s="180"/>
      <c r="GL14" s="180"/>
      <c r="GM14" s="180"/>
      <c r="GN14" s="180"/>
      <c r="GO14" s="180"/>
      <c r="GP14" s="180"/>
      <c r="GQ14" s="180"/>
      <c r="GR14" s="180"/>
      <c r="GS14" s="180"/>
      <c r="GT14" s="181"/>
      <c r="GU14" s="179"/>
      <c r="GV14" s="180"/>
      <c r="GW14" s="180"/>
      <c r="GX14" s="180"/>
      <c r="GY14" s="180"/>
      <c r="GZ14" s="180"/>
      <c r="HA14" s="180"/>
      <c r="HB14" s="180"/>
      <c r="HC14" s="180"/>
      <c r="HD14" s="180"/>
      <c r="HE14" s="180"/>
      <c r="HF14" s="180"/>
      <c r="HG14" s="180"/>
      <c r="HH14" s="180"/>
      <c r="HI14" s="180"/>
      <c r="HJ14" s="180"/>
      <c r="HK14" s="180"/>
      <c r="HL14" s="180"/>
      <c r="HM14" s="180"/>
      <c r="HN14" s="181"/>
      <c r="HO14" s="179"/>
      <c r="HP14" s="180"/>
      <c r="HQ14" s="180"/>
      <c r="HR14" s="180"/>
      <c r="HS14" s="180"/>
      <c r="HT14" s="180"/>
      <c r="HU14" s="180"/>
      <c r="HV14" s="180"/>
      <c r="HW14" s="180"/>
      <c r="HX14" s="180"/>
      <c r="HY14" s="180"/>
      <c r="HZ14" s="180"/>
      <c r="IA14" s="180"/>
      <c r="IB14" s="180"/>
      <c r="IC14" s="180"/>
      <c r="ID14" s="180"/>
      <c r="IE14" s="180"/>
      <c r="IF14" s="180"/>
      <c r="IG14" s="180"/>
      <c r="IH14" s="181"/>
    </row>
    <row r="15" spans="1:242" ht="14">
      <c r="B15" s="175">
        <v>13</v>
      </c>
      <c r="C15" s="211">
        <v>42</v>
      </c>
      <c r="D15" s="212">
        <v>2737</v>
      </c>
      <c r="E15" s="212">
        <v>42</v>
      </c>
      <c r="F15" s="212">
        <v>2737</v>
      </c>
      <c r="G15" s="212">
        <v>149</v>
      </c>
      <c r="H15" s="212">
        <v>17645</v>
      </c>
      <c r="I15" s="212">
        <v>149</v>
      </c>
      <c r="J15" s="212">
        <v>17645</v>
      </c>
      <c r="K15" s="212">
        <v>261</v>
      </c>
      <c r="L15" s="212">
        <v>31620</v>
      </c>
      <c r="M15" s="212">
        <v>261</v>
      </c>
      <c r="N15" s="212">
        <v>31620</v>
      </c>
      <c r="O15" s="212">
        <v>236</v>
      </c>
      <c r="P15" s="212">
        <v>40083</v>
      </c>
      <c r="Q15" s="212">
        <v>236</v>
      </c>
      <c r="R15" s="212">
        <v>40083</v>
      </c>
      <c r="S15" s="212">
        <v>687</v>
      </c>
      <c r="T15" s="212">
        <v>92085</v>
      </c>
      <c r="U15" s="212">
        <v>687</v>
      </c>
      <c r="V15" s="213">
        <v>92085</v>
      </c>
      <c r="W15" s="179">
        <v>58</v>
      </c>
      <c r="X15" s="180">
        <v>4981</v>
      </c>
      <c r="Y15" s="180">
        <v>159</v>
      </c>
      <c r="Z15" s="180">
        <v>11681</v>
      </c>
      <c r="AA15" s="180">
        <v>194</v>
      </c>
      <c r="AB15" s="180">
        <v>29715</v>
      </c>
      <c r="AC15" s="180">
        <v>645</v>
      </c>
      <c r="AD15" s="180">
        <v>85286</v>
      </c>
      <c r="AE15" s="180">
        <v>351</v>
      </c>
      <c r="AF15" s="180">
        <v>43689</v>
      </c>
      <c r="AG15" s="180">
        <v>1121</v>
      </c>
      <c r="AH15" s="180">
        <v>139400</v>
      </c>
      <c r="AI15" s="180">
        <v>324</v>
      </c>
      <c r="AJ15" s="180">
        <v>54889</v>
      </c>
      <c r="AK15" s="180">
        <v>948</v>
      </c>
      <c r="AL15" s="180">
        <v>158908</v>
      </c>
      <c r="AM15" s="180">
        <v>927</v>
      </c>
      <c r="AN15" s="180">
        <v>133274</v>
      </c>
      <c r="AO15" s="180">
        <v>2873</v>
      </c>
      <c r="AP15" s="181">
        <v>395278</v>
      </c>
      <c r="AQ15" s="179">
        <v>37</v>
      </c>
      <c r="AR15" s="180">
        <v>2445</v>
      </c>
      <c r="AS15" s="180">
        <v>294</v>
      </c>
      <c r="AT15" s="180">
        <v>21997</v>
      </c>
      <c r="AU15" s="180">
        <v>218</v>
      </c>
      <c r="AV15" s="180">
        <v>28203</v>
      </c>
      <c r="AW15" s="180">
        <v>1128</v>
      </c>
      <c r="AX15" s="180">
        <v>146558</v>
      </c>
      <c r="AY15" s="180">
        <v>339</v>
      </c>
      <c r="AZ15" s="180">
        <v>40446</v>
      </c>
      <c r="BA15" s="180">
        <v>1824</v>
      </c>
      <c r="BB15" s="180">
        <v>224627</v>
      </c>
      <c r="BC15" s="180">
        <v>317</v>
      </c>
      <c r="BD15" s="180">
        <v>49561</v>
      </c>
      <c r="BE15" s="180">
        <v>1528</v>
      </c>
      <c r="BF15" s="180">
        <v>248195</v>
      </c>
      <c r="BG15" s="180">
        <v>910</v>
      </c>
      <c r="BH15" s="180">
        <v>120655</v>
      </c>
      <c r="BI15" s="180">
        <v>4774</v>
      </c>
      <c r="BJ15" s="181">
        <v>641376</v>
      </c>
      <c r="BK15" s="179">
        <v>12</v>
      </c>
      <c r="BL15" s="180">
        <v>736</v>
      </c>
      <c r="BM15" s="180">
        <v>360</v>
      </c>
      <c r="BN15" s="180">
        <v>27263</v>
      </c>
      <c r="BO15" s="180">
        <v>169</v>
      </c>
      <c r="BP15" s="180">
        <v>20995</v>
      </c>
      <c r="BQ15" s="180">
        <v>1578</v>
      </c>
      <c r="BR15" s="180">
        <v>205790</v>
      </c>
      <c r="BS15" s="180">
        <v>226</v>
      </c>
      <c r="BT15" s="180">
        <v>24852</v>
      </c>
      <c r="BU15" s="180">
        <v>2566</v>
      </c>
      <c r="BV15" s="180">
        <v>319826</v>
      </c>
      <c r="BW15" s="180">
        <v>290</v>
      </c>
      <c r="BX15" s="180">
        <v>44255</v>
      </c>
      <c r="BY15" s="180">
        <v>2195</v>
      </c>
      <c r="BZ15" s="180">
        <v>347348</v>
      </c>
      <c r="CA15" s="180">
        <v>696</v>
      </c>
      <c r="CB15" s="180">
        <v>90837</v>
      </c>
      <c r="CC15" s="180">
        <v>6699</v>
      </c>
      <c r="CD15" s="181">
        <v>900228</v>
      </c>
      <c r="CE15" s="179">
        <v>42</v>
      </c>
      <c r="CF15" s="180">
        <v>3362</v>
      </c>
      <c r="CG15" s="180">
        <v>543</v>
      </c>
      <c r="CH15" s="180">
        <v>41288</v>
      </c>
      <c r="CI15" s="180">
        <v>182</v>
      </c>
      <c r="CJ15" s="180">
        <v>21085</v>
      </c>
      <c r="CK15" s="180">
        <v>2116</v>
      </c>
      <c r="CL15" s="180">
        <v>273726</v>
      </c>
      <c r="CM15" s="180">
        <v>172</v>
      </c>
      <c r="CN15" s="180">
        <v>23658</v>
      </c>
      <c r="CO15" s="180">
        <v>3157</v>
      </c>
      <c r="CP15" s="180">
        <v>397635</v>
      </c>
      <c r="CQ15" s="180">
        <v>258</v>
      </c>
      <c r="CR15" s="180">
        <v>40224</v>
      </c>
      <c r="CS15" s="180">
        <v>2859</v>
      </c>
      <c r="CT15" s="180">
        <v>450977</v>
      </c>
      <c r="CU15" s="180">
        <v>653</v>
      </c>
      <c r="CV15" s="180">
        <v>88330</v>
      </c>
      <c r="CW15" s="180">
        <v>8676</v>
      </c>
      <c r="CX15" s="181">
        <v>1163624</v>
      </c>
      <c r="CY15" s="179"/>
      <c r="CZ15" s="180"/>
      <c r="DA15" s="180"/>
      <c r="DB15" s="180"/>
      <c r="DC15" s="180"/>
      <c r="DD15" s="180"/>
      <c r="DE15" s="180"/>
      <c r="DF15" s="180"/>
      <c r="DG15" s="180"/>
      <c r="DH15" s="180"/>
      <c r="DI15" s="180"/>
      <c r="DJ15" s="180"/>
      <c r="DK15" s="180"/>
      <c r="DL15" s="180"/>
      <c r="DM15" s="180"/>
      <c r="DN15" s="180"/>
      <c r="DO15" s="180"/>
      <c r="DP15" s="180"/>
      <c r="DQ15" s="180"/>
      <c r="DR15" s="181"/>
      <c r="DS15" s="211">
        <v>57</v>
      </c>
      <c r="DT15" s="212">
        <v>4758</v>
      </c>
      <c r="DU15" s="212">
        <v>846</v>
      </c>
      <c r="DV15" s="212">
        <v>66011</v>
      </c>
      <c r="DW15" s="212">
        <v>214</v>
      </c>
      <c r="DX15" s="212">
        <v>28738</v>
      </c>
      <c r="DY15" s="212">
        <v>3165</v>
      </c>
      <c r="DZ15" s="212">
        <v>410774</v>
      </c>
      <c r="EA15" s="212">
        <v>160</v>
      </c>
      <c r="EB15" s="212">
        <v>17833</v>
      </c>
      <c r="EC15" s="212">
        <v>4144</v>
      </c>
      <c r="ED15" s="212">
        <v>524244</v>
      </c>
      <c r="EE15" s="212">
        <v>281</v>
      </c>
      <c r="EF15" s="212">
        <v>43996</v>
      </c>
      <c r="EG15" s="212">
        <v>4228</v>
      </c>
      <c r="EH15" s="212">
        <v>661662</v>
      </c>
      <c r="EI15" s="212">
        <v>713</v>
      </c>
      <c r="EJ15" s="212">
        <v>95324</v>
      </c>
      <c r="EK15" s="212">
        <v>12383</v>
      </c>
      <c r="EL15" s="213">
        <v>1662690</v>
      </c>
      <c r="EM15" s="179"/>
      <c r="EN15" s="180"/>
      <c r="EO15" s="180"/>
      <c r="EP15" s="180"/>
      <c r="EQ15" s="180"/>
      <c r="ER15" s="180"/>
      <c r="ES15" s="180"/>
      <c r="ET15" s="180"/>
      <c r="EU15" s="180"/>
      <c r="EV15" s="180"/>
      <c r="EW15" s="180"/>
      <c r="EX15" s="180"/>
      <c r="EY15" s="180"/>
      <c r="EZ15" s="180"/>
      <c r="FA15" s="180"/>
      <c r="FB15" s="180"/>
      <c r="FC15" s="180"/>
      <c r="FD15" s="180"/>
      <c r="FE15" s="180"/>
      <c r="FF15" s="181"/>
      <c r="FG15" s="179"/>
      <c r="FH15" s="180"/>
      <c r="FI15" s="180"/>
      <c r="FJ15" s="180"/>
      <c r="FK15" s="180"/>
      <c r="FL15" s="180"/>
      <c r="FM15" s="180"/>
      <c r="FN15" s="180"/>
      <c r="FO15" s="180"/>
      <c r="FP15" s="180"/>
      <c r="FQ15" s="180"/>
      <c r="FR15" s="180"/>
      <c r="FS15" s="180"/>
      <c r="FT15" s="180"/>
      <c r="FU15" s="180"/>
      <c r="FV15" s="180"/>
      <c r="FW15" s="180"/>
      <c r="FX15" s="180"/>
      <c r="FY15" s="180"/>
      <c r="FZ15" s="181"/>
      <c r="GA15" s="179"/>
      <c r="GB15" s="180"/>
      <c r="GC15" s="180"/>
      <c r="GD15" s="180"/>
      <c r="GE15" s="180"/>
      <c r="GF15" s="180"/>
      <c r="GG15" s="180"/>
      <c r="GH15" s="180"/>
      <c r="GI15" s="180"/>
      <c r="GJ15" s="180"/>
      <c r="GK15" s="180"/>
      <c r="GL15" s="180"/>
      <c r="GM15" s="180"/>
      <c r="GN15" s="180"/>
      <c r="GO15" s="180"/>
      <c r="GP15" s="180"/>
      <c r="GQ15" s="180"/>
      <c r="GR15" s="180"/>
      <c r="GS15" s="180"/>
      <c r="GT15" s="181"/>
      <c r="GU15" s="179"/>
      <c r="GV15" s="180"/>
      <c r="GW15" s="180"/>
      <c r="GX15" s="180"/>
      <c r="GY15" s="180"/>
      <c r="GZ15" s="180"/>
      <c r="HA15" s="180"/>
      <c r="HB15" s="180"/>
      <c r="HC15" s="180"/>
      <c r="HD15" s="180"/>
      <c r="HE15" s="180"/>
      <c r="HF15" s="180"/>
      <c r="HG15" s="180"/>
      <c r="HH15" s="180"/>
      <c r="HI15" s="180"/>
      <c r="HJ15" s="180"/>
      <c r="HK15" s="180"/>
      <c r="HL15" s="180"/>
      <c r="HM15" s="180"/>
      <c r="HN15" s="181"/>
      <c r="HO15" s="179"/>
      <c r="HP15" s="180"/>
      <c r="HQ15" s="180"/>
      <c r="HR15" s="180"/>
      <c r="HS15" s="180"/>
      <c r="HT15" s="180"/>
      <c r="HU15" s="180"/>
      <c r="HV15" s="180"/>
      <c r="HW15" s="180"/>
      <c r="HX15" s="180"/>
      <c r="HY15" s="180"/>
      <c r="HZ15" s="180"/>
      <c r="IA15" s="180"/>
      <c r="IB15" s="180"/>
      <c r="IC15" s="180"/>
      <c r="ID15" s="180"/>
      <c r="IE15" s="180"/>
      <c r="IF15" s="180"/>
      <c r="IG15" s="180"/>
      <c r="IH15" s="181"/>
    </row>
    <row r="16" spans="1:242" ht="14">
      <c r="B16" s="175">
        <v>14</v>
      </c>
      <c r="C16" s="211">
        <v>45</v>
      </c>
      <c r="D16" s="212">
        <v>2910</v>
      </c>
      <c r="E16" s="212">
        <v>45</v>
      </c>
      <c r="F16" s="212">
        <v>2910</v>
      </c>
      <c r="G16" s="212">
        <v>180</v>
      </c>
      <c r="H16" s="212">
        <v>20414</v>
      </c>
      <c r="I16" s="212">
        <v>180</v>
      </c>
      <c r="J16" s="212">
        <v>20414</v>
      </c>
      <c r="K16" s="212">
        <v>273</v>
      </c>
      <c r="L16" s="212">
        <v>33111</v>
      </c>
      <c r="M16" s="212">
        <v>273</v>
      </c>
      <c r="N16" s="212">
        <v>33111</v>
      </c>
      <c r="O16" s="212">
        <v>268</v>
      </c>
      <c r="P16" s="212">
        <v>44615</v>
      </c>
      <c r="Q16" s="212">
        <v>268</v>
      </c>
      <c r="R16" s="212">
        <v>44615</v>
      </c>
      <c r="S16" s="212">
        <v>766</v>
      </c>
      <c r="T16" s="212">
        <v>101049</v>
      </c>
      <c r="U16" s="212">
        <v>766</v>
      </c>
      <c r="V16" s="213">
        <v>101049</v>
      </c>
      <c r="W16" s="179"/>
      <c r="X16" s="180"/>
      <c r="Y16" s="180"/>
      <c r="Z16" s="180"/>
      <c r="AA16" s="180"/>
      <c r="AB16" s="180"/>
      <c r="AC16" s="180"/>
      <c r="AD16" s="180"/>
      <c r="AE16" s="180"/>
      <c r="AF16" s="180"/>
      <c r="AG16" s="180"/>
      <c r="AH16" s="180"/>
      <c r="AI16" s="180"/>
      <c r="AJ16" s="180"/>
      <c r="AK16" s="180"/>
      <c r="AL16" s="180"/>
      <c r="AM16" s="180"/>
      <c r="AN16" s="180"/>
      <c r="AO16" s="180"/>
      <c r="AP16" s="181"/>
      <c r="AQ16" s="179"/>
      <c r="AR16" s="180"/>
      <c r="AS16" s="180"/>
      <c r="AT16" s="180"/>
      <c r="AU16" s="180"/>
      <c r="AV16" s="180"/>
      <c r="AW16" s="180"/>
      <c r="AX16" s="180"/>
      <c r="AY16" s="180"/>
      <c r="AZ16" s="180"/>
      <c r="BA16" s="180"/>
      <c r="BB16" s="180"/>
      <c r="BC16" s="180"/>
      <c r="BD16" s="180"/>
      <c r="BE16" s="180"/>
      <c r="BF16" s="180"/>
      <c r="BG16" s="180"/>
      <c r="BH16" s="180"/>
      <c r="BI16" s="180"/>
      <c r="BJ16" s="181"/>
      <c r="BK16" s="179">
        <v>38</v>
      </c>
      <c r="BL16" s="180">
        <v>3252</v>
      </c>
      <c r="BM16" s="180">
        <v>386</v>
      </c>
      <c r="BN16" s="180">
        <v>29780</v>
      </c>
      <c r="BO16" s="180">
        <v>201</v>
      </c>
      <c r="BP16" s="180">
        <v>25549</v>
      </c>
      <c r="BQ16" s="180">
        <v>1609</v>
      </c>
      <c r="BR16" s="180">
        <v>210346</v>
      </c>
      <c r="BS16" s="180">
        <v>254</v>
      </c>
      <c r="BT16" s="180">
        <v>28360</v>
      </c>
      <c r="BU16" s="180">
        <v>2594</v>
      </c>
      <c r="BV16" s="180">
        <v>323334</v>
      </c>
      <c r="BW16" s="180">
        <v>331</v>
      </c>
      <c r="BX16" s="180">
        <v>50648</v>
      </c>
      <c r="BY16" s="180">
        <v>2236</v>
      </c>
      <c r="BZ16" s="180">
        <v>353741</v>
      </c>
      <c r="CA16" s="180">
        <v>823</v>
      </c>
      <c r="CB16" s="180">
        <v>107810</v>
      </c>
      <c r="CC16" s="180">
        <v>6825</v>
      </c>
      <c r="CD16" s="181">
        <v>917201</v>
      </c>
      <c r="CE16" s="179"/>
      <c r="CF16" s="180"/>
      <c r="CG16" s="180"/>
      <c r="CH16" s="180"/>
      <c r="CI16" s="180"/>
      <c r="CJ16" s="180"/>
      <c r="CK16" s="180"/>
      <c r="CL16" s="180"/>
      <c r="CM16" s="180"/>
      <c r="CN16" s="180"/>
      <c r="CO16" s="180"/>
      <c r="CP16" s="180"/>
      <c r="CQ16" s="180"/>
      <c r="CR16" s="180"/>
      <c r="CS16" s="180"/>
      <c r="CT16" s="180"/>
      <c r="CU16" s="180"/>
      <c r="CV16" s="180"/>
      <c r="CW16" s="180"/>
      <c r="CX16" s="181"/>
      <c r="CY16" s="179"/>
      <c r="CZ16" s="180"/>
      <c r="DA16" s="180"/>
      <c r="DB16" s="180"/>
      <c r="DC16" s="180"/>
      <c r="DD16" s="180"/>
      <c r="DE16" s="180"/>
      <c r="DF16" s="180"/>
      <c r="DG16" s="180"/>
      <c r="DH16" s="180"/>
      <c r="DI16" s="180"/>
      <c r="DJ16" s="180"/>
      <c r="DK16" s="180"/>
      <c r="DL16" s="180"/>
      <c r="DM16" s="180"/>
      <c r="DN16" s="180"/>
      <c r="DO16" s="180"/>
      <c r="DP16" s="180"/>
      <c r="DQ16" s="180"/>
      <c r="DR16" s="181"/>
      <c r="DS16" s="179"/>
      <c r="DT16" s="180"/>
      <c r="DU16" s="180"/>
      <c r="DV16" s="180"/>
      <c r="DW16" s="180"/>
      <c r="DX16" s="180"/>
      <c r="DY16" s="180"/>
      <c r="DZ16" s="180"/>
      <c r="EA16" s="180"/>
      <c r="EB16" s="180"/>
      <c r="EC16" s="180"/>
      <c r="ED16" s="180"/>
      <c r="EE16" s="180"/>
      <c r="EF16" s="180"/>
      <c r="EG16" s="180"/>
      <c r="EH16" s="180"/>
      <c r="EI16" s="180"/>
      <c r="EJ16" s="180"/>
      <c r="EK16" s="180"/>
      <c r="EL16" s="181"/>
      <c r="EM16" s="179"/>
      <c r="EN16" s="180"/>
      <c r="EO16" s="180"/>
      <c r="EP16" s="180"/>
      <c r="EQ16" s="180"/>
      <c r="ER16" s="180"/>
      <c r="ES16" s="180"/>
      <c r="ET16" s="180"/>
      <c r="EU16" s="180"/>
      <c r="EV16" s="180"/>
      <c r="EW16" s="180"/>
      <c r="EX16" s="180"/>
      <c r="EY16" s="180"/>
      <c r="EZ16" s="180"/>
      <c r="FA16" s="180"/>
      <c r="FB16" s="180"/>
      <c r="FC16" s="180"/>
      <c r="FD16" s="180"/>
      <c r="FE16" s="180"/>
      <c r="FF16" s="181"/>
      <c r="FG16" s="179"/>
      <c r="FH16" s="180"/>
      <c r="FI16" s="180"/>
      <c r="FJ16" s="180"/>
      <c r="FK16" s="180"/>
      <c r="FL16" s="180"/>
      <c r="FM16" s="180"/>
      <c r="FN16" s="180"/>
      <c r="FO16" s="180"/>
      <c r="FP16" s="180"/>
      <c r="FQ16" s="180"/>
      <c r="FR16" s="180"/>
      <c r="FS16" s="180"/>
      <c r="FT16" s="180"/>
      <c r="FU16" s="180"/>
      <c r="FV16" s="180"/>
      <c r="FW16" s="180"/>
      <c r="FX16" s="180"/>
      <c r="FY16" s="180"/>
      <c r="FZ16" s="181"/>
      <c r="GA16" s="179"/>
      <c r="GB16" s="180"/>
      <c r="GC16" s="180"/>
      <c r="GD16" s="180"/>
      <c r="GE16" s="180"/>
      <c r="GF16" s="180"/>
      <c r="GG16" s="180"/>
      <c r="GH16" s="180"/>
      <c r="GI16" s="180"/>
      <c r="GJ16" s="180"/>
      <c r="GK16" s="180"/>
      <c r="GL16" s="180"/>
      <c r="GM16" s="180"/>
      <c r="GN16" s="180"/>
      <c r="GO16" s="180"/>
      <c r="GP16" s="180"/>
      <c r="GQ16" s="180"/>
      <c r="GR16" s="180"/>
      <c r="GS16" s="180"/>
      <c r="GT16" s="181"/>
      <c r="GU16" s="179"/>
      <c r="GV16" s="180"/>
      <c r="GW16" s="180"/>
      <c r="GX16" s="180"/>
      <c r="GY16" s="180"/>
      <c r="GZ16" s="180"/>
      <c r="HA16" s="180"/>
      <c r="HB16" s="180"/>
      <c r="HC16" s="180"/>
      <c r="HD16" s="180"/>
      <c r="HE16" s="180"/>
      <c r="HF16" s="180"/>
      <c r="HG16" s="180"/>
      <c r="HH16" s="180"/>
      <c r="HI16" s="180"/>
      <c r="HJ16" s="180"/>
      <c r="HK16" s="180"/>
      <c r="HL16" s="180"/>
      <c r="HM16" s="180"/>
      <c r="HN16" s="181"/>
      <c r="HO16" s="179"/>
      <c r="HP16" s="180"/>
      <c r="HQ16" s="180"/>
      <c r="HR16" s="180"/>
      <c r="HS16" s="180"/>
      <c r="HT16" s="180"/>
      <c r="HU16" s="180"/>
      <c r="HV16" s="180"/>
      <c r="HW16" s="180"/>
      <c r="HX16" s="180"/>
      <c r="HY16" s="180"/>
      <c r="HZ16" s="180"/>
      <c r="IA16" s="180"/>
      <c r="IB16" s="180"/>
      <c r="IC16" s="180"/>
      <c r="ID16" s="180"/>
      <c r="IE16" s="180"/>
      <c r="IF16" s="180"/>
      <c r="IG16" s="180"/>
      <c r="IH16" s="181"/>
    </row>
    <row r="17" spans="2:242" ht="14">
      <c r="B17" s="175">
        <v>15</v>
      </c>
      <c r="C17" s="211">
        <v>51</v>
      </c>
      <c r="D17" s="212">
        <v>3313</v>
      </c>
      <c r="E17" s="212">
        <v>51</v>
      </c>
      <c r="F17" s="212">
        <v>3313</v>
      </c>
      <c r="G17" s="212">
        <v>200</v>
      </c>
      <c r="H17" s="212">
        <v>23184</v>
      </c>
      <c r="I17" s="212">
        <v>200</v>
      </c>
      <c r="J17" s="212">
        <v>23184</v>
      </c>
      <c r="K17" s="212">
        <v>354</v>
      </c>
      <c r="L17" s="212">
        <v>44086</v>
      </c>
      <c r="M17" s="212">
        <v>354</v>
      </c>
      <c r="N17" s="212">
        <v>44086</v>
      </c>
      <c r="O17" s="212">
        <v>291</v>
      </c>
      <c r="P17" s="212">
        <v>48709</v>
      </c>
      <c r="Q17" s="212">
        <v>291</v>
      </c>
      <c r="R17" s="212">
        <v>48709</v>
      </c>
      <c r="S17" s="212">
        <v>895</v>
      </c>
      <c r="T17" s="212">
        <v>119294</v>
      </c>
      <c r="U17" s="212">
        <v>895</v>
      </c>
      <c r="V17" s="213">
        <v>119294</v>
      </c>
      <c r="W17" s="179"/>
      <c r="X17" s="180"/>
      <c r="Y17" s="180"/>
      <c r="Z17" s="180"/>
      <c r="AA17" s="180"/>
      <c r="AB17" s="180"/>
      <c r="AC17" s="180"/>
      <c r="AD17" s="180"/>
      <c r="AE17" s="180"/>
      <c r="AF17" s="180"/>
      <c r="AG17" s="180"/>
      <c r="AH17" s="180"/>
      <c r="AI17" s="180"/>
      <c r="AJ17" s="180"/>
      <c r="AK17" s="180"/>
      <c r="AL17" s="180"/>
      <c r="AM17" s="180"/>
      <c r="AN17" s="180"/>
      <c r="AO17" s="180"/>
      <c r="AP17" s="181"/>
      <c r="AQ17" s="179"/>
      <c r="AR17" s="180"/>
      <c r="AS17" s="180"/>
      <c r="AT17" s="180"/>
      <c r="AU17" s="180"/>
      <c r="AV17" s="180"/>
      <c r="AW17" s="180"/>
      <c r="AX17" s="180"/>
      <c r="AY17" s="180"/>
      <c r="AZ17" s="180"/>
      <c r="BA17" s="180"/>
      <c r="BB17" s="180"/>
      <c r="BC17" s="180"/>
      <c r="BD17" s="180"/>
      <c r="BE17" s="180"/>
      <c r="BF17" s="180"/>
      <c r="BG17" s="180"/>
      <c r="BH17" s="180"/>
      <c r="BI17" s="180"/>
      <c r="BJ17" s="181"/>
      <c r="BK17" s="179">
        <v>63</v>
      </c>
      <c r="BL17" s="180">
        <v>4829</v>
      </c>
      <c r="BM17" s="180">
        <v>411</v>
      </c>
      <c r="BN17" s="180">
        <v>31357</v>
      </c>
      <c r="BO17" s="180">
        <v>214</v>
      </c>
      <c r="BP17" s="180">
        <v>26824</v>
      </c>
      <c r="BQ17" s="180">
        <v>1622</v>
      </c>
      <c r="BR17" s="180">
        <v>211618</v>
      </c>
      <c r="BS17" s="180">
        <v>290</v>
      </c>
      <c r="BT17" s="180">
        <v>34518</v>
      </c>
      <c r="BU17" s="180">
        <v>2630</v>
      </c>
      <c r="BV17" s="180">
        <v>329492</v>
      </c>
      <c r="BW17" s="180">
        <v>355</v>
      </c>
      <c r="BX17" s="180">
        <v>54509</v>
      </c>
      <c r="BY17" s="180">
        <v>2259</v>
      </c>
      <c r="BZ17" s="180">
        <v>357602</v>
      </c>
      <c r="CA17" s="180">
        <v>921</v>
      </c>
      <c r="CB17" s="180">
        <v>120680</v>
      </c>
      <c r="CC17" s="180">
        <v>6923</v>
      </c>
      <c r="CD17" s="181">
        <v>930071</v>
      </c>
      <c r="CE17" s="179">
        <v>46</v>
      </c>
      <c r="CF17" s="180">
        <v>3582</v>
      </c>
      <c r="CG17" s="180">
        <v>547</v>
      </c>
      <c r="CH17" s="180">
        <v>41508</v>
      </c>
      <c r="CI17" s="180">
        <v>184</v>
      </c>
      <c r="CJ17" s="180">
        <v>21457</v>
      </c>
      <c r="CK17" s="180">
        <v>2118</v>
      </c>
      <c r="CL17" s="180">
        <v>274097</v>
      </c>
      <c r="CM17" s="180">
        <v>198</v>
      </c>
      <c r="CN17" s="180">
        <v>26754</v>
      </c>
      <c r="CO17" s="180">
        <v>3184</v>
      </c>
      <c r="CP17" s="180">
        <v>400730</v>
      </c>
      <c r="CQ17" s="180">
        <v>287</v>
      </c>
      <c r="CR17" s="180">
        <v>45057</v>
      </c>
      <c r="CS17" s="180">
        <v>2889</v>
      </c>
      <c r="CT17" s="180">
        <v>455810</v>
      </c>
      <c r="CU17" s="180">
        <v>716</v>
      </c>
      <c r="CV17" s="180">
        <v>96851</v>
      </c>
      <c r="CW17" s="180">
        <v>8738</v>
      </c>
      <c r="CX17" s="181">
        <v>1172144</v>
      </c>
      <c r="CY17" s="211">
        <v>93</v>
      </c>
      <c r="CZ17" s="212">
        <v>7276</v>
      </c>
      <c r="DA17" s="212">
        <v>693</v>
      </c>
      <c r="DB17" s="212">
        <v>53023</v>
      </c>
      <c r="DC17" s="212">
        <v>277</v>
      </c>
      <c r="DD17" s="212">
        <v>35651</v>
      </c>
      <c r="DE17" s="212">
        <v>2632</v>
      </c>
      <c r="DF17" s="212">
        <v>340644</v>
      </c>
      <c r="DG17" s="212">
        <v>252</v>
      </c>
      <c r="DH17" s="212">
        <v>36204</v>
      </c>
      <c r="DI17" s="212">
        <v>3752</v>
      </c>
      <c r="DJ17" s="212">
        <v>475636</v>
      </c>
      <c r="DK17" s="212">
        <v>375</v>
      </c>
      <c r="DL17" s="212">
        <v>56459</v>
      </c>
      <c r="DM17" s="212">
        <v>3568</v>
      </c>
      <c r="DN17" s="212">
        <v>558197</v>
      </c>
      <c r="DO17" s="212">
        <v>997</v>
      </c>
      <c r="DP17" s="212">
        <v>135588</v>
      </c>
      <c r="DQ17" s="212">
        <v>10644</v>
      </c>
      <c r="DR17" s="213">
        <v>1427499</v>
      </c>
      <c r="DS17" s="211">
        <v>73</v>
      </c>
      <c r="DT17" s="212">
        <v>6092</v>
      </c>
      <c r="DU17" s="212">
        <v>862</v>
      </c>
      <c r="DV17" s="212">
        <v>67345</v>
      </c>
      <c r="DW17" s="212">
        <v>231</v>
      </c>
      <c r="DX17" s="212">
        <v>30882</v>
      </c>
      <c r="DY17" s="212">
        <v>3181</v>
      </c>
      <c r="DZ17" s="212">
        <v>412918</v>
      </c>
      <c r="EA17" s="212">
        <v>171</v>
      </c>
      <c r="EB17" s="212">
        <v>19793</v>
      </c>
      <c r="EC17" s="212">
        <v>4154</v>
      </c>
      <c r="ED17" s="212">
        <v>526204</v>
      </c>
      <c r="EE17" s="212">
        <v>308</v>
      </c>
      <c r="EF17" s="212">
        <v>48414</v>
      </c>
      <c r="EG17" s="212">
        <v>4255</v>
      </c>
      <c r="EH17" s="212">
        <v>666080</v>
      </c>
      <c r="EI17" s="212">
        <v>782</v>
      </c>
      <c r="EJ17" s="212">
        <v>105181</v>
      </c>
      <c r="EK17" s="212">
        <v>12452</v>
      </c>
      <c r="EL17" s="213">
        <v>1672547</v>
      </c>
      <c r="EM17" s="179"/>
      <c r="EN17" s="180"/>
      <c r="EO17" s="180"/>
      <c r="EP17" s="180"/>
      <c r="EQ17" s="180"/>
      <c r="ER17" s="180"/>
      <c r="ES17" s="180"/>
      <c r="ET17" s="180"/>
      <c r="EU17" s="180"/>
      <c r="EV17" s="180"/>
      <c r="EW17" s="180"/>
      <c r="EX17" s="180"/>
      <c r="EY17" s="180"/>
      <c r="EZ17" s="180"/>
      <c r="FA17" s="180"/>
      <c r="FB17" s="180"/>
      <c r="FC17" s="180"/>
      <c r="FD17" s="180"/>
      <c r="FE17" s="180"/>
      <c r="FF17" s="181"/>
      <c r="FG17" s="179"/>
      <c r="FH17" s="180"/>
      <c r="FI17" s="180"/>
      <c r="FJ17" s="180"/>
      <c r="FK17" s="180"/>
      <c r="FL17" s="180"/>
      <c r="FM17" s="180"/>
      <c r="FN17" s="180"/>
      <c r="FO17" s="180"/>
      <c r="FP17" s="180"/>
      <c r="FQ17" s="180"/>
      <c r="FR17" s="180"/>
      <c r="FS17" s="180"/>
      <c r="FT17" s="180"/>
      <c r="FU17" s="180"/>
      <c r="FV17" s="180"/>
      <c r="FW17" s="180"/>
      <c r="FX17" s="180"/>
      <c r="FY17" s="180"/>
      <c r="FZ17" s="181"/>
      <c r="GA17" s="179"/>
      <c r="GB17" s="180"/>
      <c r="GC17" s="180"/>
      <c r="GD17" s="180"/>
      <c r="GE17" s="180"/>
      <c r="GF17" s="180"/>
      <c r="GG17" s="180"/>
      <c r="GH17" s="180"/>
      <c r="GI17" s="180"/>
      <c r="GJ17" s="180"/>
      <c r="GK17" s="180"/>
      <c r="GL17" s="180"/>
      <c r="GM17" s="180"/>
      <c r="GN17" s="180"/>
      <c r="GO17" s="180"/>
      <c r="GP17" s="180"/>
      <c r="GQ17" s="180"/>
      <c r="GR17" s="180"/>
      <c r="GS17" s="180"/>
      <c r="GT17" s="181"/>
      <c r="GU17" s="179"/>
      <c r="GV17" s="180"/>
      <c r="GW17" s="180"/>
      <c r="GX17" s="180"/>
      <c r="GY17" s="180"/>
      <c r="GZ17" s="180"/>
      <c r="HA17" s="180"/>
      <c r="HB17" s="180"/>
      <c r="HC17" s="180"/>
      <c r="HD17" s="180"/>
      <c r="HE17" s="180"/>
      <c r="HF17" s="180"/>
      <c r="HG17" s="180"/>
      <c r="HH17" s="180"/>
      <c r="HI17" s="180"/>
      <c r="HJ17" s="180"/>
      <c r="HK17" s="180"/>
      <c r="HL17" s="180"/>
      <c r="HM17" s="180"/>
      <c r="HN17" s="181"/>
      <c r="HO17" s="179"/>
      <c r="HP17" s="180"/>
      <c r="HQ17" s="180"/>
      <c r="HR17" s="180"/>
      <c r="HS17" s="180"/>
      <c r="HT17" s="180"/>
      <c r="HU17" s="180"/>
      <c r="HV17" s="180"/>
      <c r="HW17" s="180"/>
      <c r="HX17" s="180"/>
      <c r="HY17" s="180"/>
      <c r="HZ17" s="180"/>
      <c r="IA17" s="180"/>
      <c r="IB17" s="180"/>
      <c r="IC17" s="180"/>
      <c r="ID17" s="180"/>
      <c r="IE17" s="180"/>
      <c r="IF17" s="180"/>
      <c r="IG17" s="180"/>
      <c r="IH17" s="181"/>
    </row>
    <row r="18" spans="2:242" ht="14">
      <c r="B18" s="175">
        <v>16</v>
      </c>
      <c r="C18" s="211">
        <v>54</v>
      </c>
      <c r="D18" s="212">
        <v>3479</v>
      </c>
      <c r="E18" s="212">
        <v>54</v>
      </c>
      <c r="F18" s="212">
        <v>3479</v>
      </c>
      <c r="G18" s="212">
        <v>230</v>
      </c>
      <c r="H18" s="212">
        <v>26143</v>
      </c>
      <c r="I18" s="212">
        <v>230</v>
      </c>
      <c r="J18" s="212">
        <v>26143</v>
      </c>
      <c r="K18" s="212">
        <v>359</v>
      </c>
      <c r="L18" s="212">
        <v>44720</v>
      </c>
      <c r="M18" s="212">
        <v>359</v>
      </c>
      <c r="N18" s="212">
        <v>44720</v>
      </c>
      <c r="O18" s="212">
        <v>320</v>
      </c>
      <c r="P18" s="212">
        <v>53488</v>
      </c>
      <c r="Q18" s="212">
        <v>320</v>
      </c>
      <c r="R18" s="212">
        <v>53488</v>
      </c>
      <c r="S18" s="212">
        <v>963</v>
      </c>
      <c r="T18" s="212">
        <v>127830</v>
      </c>
      <c r="U18" s="212">
        <v>963</v>
      </c>
      <c r="V18" s="213">
        <v>127830</v>
      </c>
      <c r="W18" s="179">
        <v>58</v>
      </c>
      <c r="X18" s="180">
        <v>4981</v>
      </c>
      <c r="Y18" s="180">
        <v>159</v>
      </c>
      <c r="Z18" s="180">
        <v>11681</v>
      </c>
      <c r="AA18" s="180">
        <v>203</v>
      </c>
      <c r="AB18" s="180">
        <v>30697</v>
      </c>
      <c r="AC18" s="180">
        <v>654</v>
      </c>
      <c r="AD18" s="180">
        <v>86267</v>
      </c>
      <c r="AE18" s="180">
        <v>354</v>
      </c>
      <c r="AF18" s="180">
        <v>43853</v>
      </c>
      <c r="AG18" s="180">
        <v>1124</v>
      </c>
      <c r="AH18" s="180">
        <v>139565</v>
      </c>
      <c r="AI18" s="180">
        <v>347</v>
      </c>
      <c r="AJ18" s="180">
        <v>58580</v>
      </c>
      <c r="AK18" s="180">
        <v>972</v>
      </c>
      <c r="AL18" s="180">
        <v>162600</v>
      </c>
      <c r="AM18" s="180">
        <v>963</v>
      </c>
      <c r="AN18" s="180">
        <v>138109</v>
      </c>
      <c r="AO18" s="180">
        <v>2909</v>
      </c>
      <c r="AP18" s="181">
        <v>400111</v>
      </c>
      <c r="AQ18" s="179">
        <v>37</v>
      </c>
      <c r="AR18" s="180">
        <v>2445</v>
      </c>
      <c r="AS18" s="180">
        <v>294</v>
      </c>
      <c r="AT18" s="180">
        <v>21997</v>
      </c>
      <c r="AU18" s="180">
        <v>233</v>
      </c>
      <c r="AV18" s="180">
        <v>30020</v>
      </c>
      <c r="AW18" s="180">
        <v>1144</v>
      </c>
      <c r="AX18" s="180">
        <v>148374</v>
      </c>
      <c r="AY18" s="180">
        <v>349</v>
      </c>
      <c r="AZ18" s="180">
        <v>41221</v>
      </c>
      <c r="BA18" s="180">
        <v>1834</v>
      </c>
      <c r="BB18" s="180">
        <v>225402</v>
      </c>
      <c r="BC18" s="180">
        <v>357</v>
      </c>
      <c r="BD18" s="180">
        <v>55448</v>
      </c>
      <c r="BE18" s="180">
        <v>1567</v>
      </c>
      <c r="BF18" s="180">
        <v>254082</v>
      </c>
      <c r="BG18" s="180">
        <v>976</v>
      </c>
      <c r="BH18" s="180">
        <v>129134</v>
      </c>
      <c r="BI18" s="180">
        <v>4839</v>
      </c>
      <c r="BJ18" s="181">
        <v>649855</v>
      </c>
      <c r="BK18" s="179">
        <v>79</v>
      </c>
      <c r="BL18" s="180">
        <v>5579</v>
      </c>
      <c r="BM18" s="180">
        <v>428</v>
      </c>
      <c r="BN18" s="180">
        <v>32106</v>
      </c>
      <c r="BO18" s="180">
        <v>230</v>
      </c>
      <c r="BP18" s="180">
        <v>28529</v>
      </c>
      <c r="BQ18" s="180">
        <v>1639</v>
      </c>
      <c r="BR18" s="180">
        <v>213324</v>
      </c>
      <c r="BS18" s="180">
        <v>339</v>
      </c>
      <c r="BT18" s="180">
        <v>38733</v>
      </c>
      <c r="BU18" s="180">
        <v>2679</v>
      </c>
      <c r="BV18" s="180">
        <v>333707</v>
      </c>
      <c r="BW18" s="180">
        <v>386</v>
      </c>
      <c r="BX18" s="180">
        <v>58582</v>
      </c>
      <c r="BY18" s="180">
        <v>2291</v>
      </c>
      <c r="BZ18" s="180">
        <v>361675</v>
      </c>
      <c r="CA18" s="180">
        <v>1034</v>
      </c>
      <c r="CB18" s="180">
        <v>131423</v>
      </c>
      <c r="CC18" s="180">
        <v>7036</v>
      </c>
      <c r="CD18" s="181">
        <v>940812</v>
      </c>
      <c r="CE18" s="179"/>
      <c r="CF18" s="180"/>
      <c r="CG18" s="180"/>
      <c r="CH18" s="180"/>
      <c r="CI18" s="180"/>
      <c r="CJ18" s="180"/>
      <c r="CK18" s="180"/>
      <c r="CL18" s="180"/>
      <c r="CM18" s="180"/>
      <c r="CN18" s="180"/>
      <c r="CO18" s="180"/>
      <c r="CP18" s="180"/>
      <c r="CQ18" s="180"/>
      <c r="CR18" s="180"/>
      <c r="CS18" s="180"/>
      <c r="CT18" s="180"/>
      <c r="CU18" s="180"/>
      <c r="CV18" s="180"/>
      <c r="CW18" s="180"/>
      <c r="CX18" s="181"/>
      <c r="CY18" s="211">
        <v>102</v>
      </c>
      <c r="CZ18" s="212">
        <v>8381</v>
      </c>
      <c r="DA18" s="212">
        <v>702</v>
      </c>
      <c r="DB18" s="212">
        <v>54128</v>
      </c>
      <c r="DC18" s="212">
        <v>318</v>
      </c>
      <c r="DD18" s="212">
        <v>40681</v>
      </c>
      <c r="DE18" s="212">
        <v>2674</v>
      </c>
      <c r="DF18" s="212">
        <v>345672</v>
      </c>
      <c r="DG18" s="212">
        <v>282</v>
      </c>
      <c r="DH18" s="212">
        <v>39953</v>
      </c>
      <c r="DI18" s="212">
        <v>3781</v>
      </c>
      <c r="DJ18" s="212">
        <v>479385</v>
      </c>
      <c r="DK18" s="212">
        <v>412</v>
      </c>
      <c r="DL18" s="212">
        <v>62106</v>
      </c>
      <c r="DM18" s="212">
        <v>3605</v>
      </c>
      <c r="DN18" s="212">
        <v>563845</v>
      </c>
      <c r="DO18" s="212">
        <v>1114</v>
      </c>
      <c r="DP18" s="212">
        <v>151120</v>
      </c>
      <c r="DQ18" s="212">
        <v>10761</v>
      </c>
      <c r="DR18" s="213">
        <v>1443031</v>
      </c>
      <c r="DS18" s="211">
        <v>89</v>
      </c>
      <c r="DT18" s="212">
        <v>7211</v>
      </c>
      <c r="DU18" s="212">
        <v>878</v>
      </c>
      <c r="DV18" s="212">
        <v>68463</v>
      </c>
      <c r="DW18" s="212">
        <v>258</v>
      </c>
      <c r="DX18" s="212">
        <v>34273</v>
      </c>
      <c r="DY18" s="212">
        <v>3208</v>
      </c>
      <c r="DZ18" s="212">
        <v>416311</v>
      </c>
      <c r="EA18" s="212">
        <v>179</v>
      </c>
      <c r="EB18" s="212">
        <v>20511</v>
      </c>
      <c r="EC18" s="212">
        <v>4163</v>
      </c>
      <c r="ED18" s="212">
        <v>526922</v>
      </c>
      <c r="EE18" s="212">
        <v>337</v>
      </c>
      <c r="EF18" s="212">
        <v>53135</v>
      </c>
      <c r="EG18" s="212">
        <v>4284</v>
      </c>
      <c r="EH18" s="212">
        <v>670803</v>
      </c>
      <c r="EI18" s="212">
        <v>863</v>
      </c>
      <c r="EJ18" s="212">
        <v>115131</v>
      </c>
      <c r="EK18" s="212">
        <v>12533</v>
      </c>
      <c r="EL18" s="213">
        <v>1682498</v>
      </c>
      <c r="EM18" s="179"/>
      <c r="EN18" s="180"/>
      <c r="EO18" s="180"/>
      <c r="EP18" s="180"/>
      <c r="EQ18" s="180"/>
      <c r="ER18" s="180"/>
      <c r="ES18" s="180"/>
      <c r="ET18" s="180"/>
      <c r="EU18" s="180"/>
      <c r="EV18" s="180"/>
      <c r="EW18" s="180"/>
      <c r="EX18" s="180"/>
      <c r="EY18" s="180"/>
      <c r="EZ18" s="180"/>
      <c r="FA18" s="180"/>
      <c r="FB18" s="180"/>
      <c r="FC18" s="180"/>
      <c r="FD18" s="180"/>
      <c r="FE18" s="180"/>
      <c r="FF18" s="181"/>
      <c r="FG18" s="179"/>
      <c r="FH18" s="180"/>
      <c r="FI18" s="180"/>
      <c r="FJ18" s="180"/>
      <c r="FK18" s="180"/>
      <c r="FL18" s="180"/>
      <c r="FM18" s="180"/>
      <c r="FN18" s="180"/>
      <c r="FO18" s="180"/>
      <c r="FP18" s="180"/>
      <c r="FQ18" s="180"/>
      <c r="FR18" s="180"/>
      <c r="FS18" s="180"/>
      <c r="FT18" s="180"/>
      <c r="FU18" s="180"/>
      <c r="FV18" s="180"/>
      <c r="FW18" s="180"/>
      <c r="FX18" s="180"/>
      <c r="FY18" s="180"/>
      <c r="FZ18" s="181"/>
      <c r="GA18" s="179"/>
      <c r="GB18" s="180"/>
      <c r="GC18" s="180"/>
      <c r="GD18" s="180"/>
      <c r="GE18" s="180"/>
      <c r="GF18" s="180"/>
      <c r="GG18" s="180"/>
      <c r="GH18" s="180"/>
      <c r="GI18" s="180"/>
      <c r="GJ18" s="180"/>
      <c r="GK18" s="180"/>
      <c r="GL18" s="180"/>
      <c r="GM18" s="180"/>
      <c r="GN18" s="180"/>
      <c r="GO18" s="180"/>
      <c r="GP18" s="180"/>
      <c r="GQ18" s="180"/>
      <c r="GR18" s="180"/>
      <c r="GS18" s="180"/>
      <c r="GT18" s="181"/>
      <c r="GU18" s="179"/>
      <c r="GV18" s="180"/>
      <c r="GW18" s="180"/>
      <c r="GX18" s="180"/>
      <c r="GY18" s="180"/>
      <c r="GZ18" s="180"/>
      <c r="HA18" s="180"/>
      <c r="HB18" s="180"/>
      <c r="HC18" s="180"/>
      <c r="HD18" s="180"/>
      <c r="HE18" s="180"/>
      <c r="HF18" s="180"/>
      <c r="HG18" s="180"/>
      <c r="HH18" s="180"/>
      <c r="HI18" s="180"/>
      <c r="HJ18" s="180"/>
      <c r="HK18" s="180"/>
      <c r="HL18" s="180"/>
      <c r="HM18" s="180"/>
      <c r="HN18" s="181"/>
      <c r="HO18" s="179"/>
      <c r="HP18" s="180"/>
      <c r="HQ18" s="180"/>
      <c r="HR18" s="180"/>
      <c r="HS18" s="180"/>
      <c r="HT18" s="180"/>
      <c r="HU18" s="180"/>
      <c r="HV18" s="180"/>
      <c r="HW18" s="180"/>
      <c r="HX18" s="180"/>
      <c r="HY18" s="180"/>
      <c r="HZ18" s="180"/>
      <c r="IA18" s="180"/>
      <c r="IB18" s="180"/>
      <c r="IC18" s="180"/>
      <c r="ID18" s="180"/>
      <c r="IE18" s="180"/>
      <c r="IF18" s="180"/>
      <c r="IG18" s="180"/>
      <c r="IH18" s="181"/>
    </row>
    <row r="19" spans="2:242" ht="14">
      <c r="B19" s="175">
        <v>17</v>
      </c>
      <c r="C19" s="211"/>
      <c r="D19" s="212"/>
      <c r="E19" s="212"/>
      <c r="F19" s="212"/>
      <c r="G19" s="212"/>
      <c r="H19" s="212"/>
      <c r="I19" s="212"/>
      <c r="J19" s="212"/>
      <c r="K19" s="212"/>
      <c r="L19" s="212"/>
      <c r="M19" s="212"/>
      <c r="N19" s="212"/>
      <c r="O19" s="212"/>
      <c r="P19" s="212"/>
      <c r="Q19" s="212"/>
      <c r="R19" s="212"/>
      <c r="S19" s="212"/>
      <c r="T19" s="212"/>
      <c r="U19" s="212"/>
      <c r="V19" s="213"/>
      <c r="W19" s="179">
        <v>72</v>
      </c>
      <c r="X19" s="180">
        <v>6027</v>
      </c>
      <c r="Y19" s="180">
        <v>173</v>
      </c>
      <c r="Z19" s="180">
        <v>12727</v>
      </c>
      <c r="AA19" s="180">
        <v>224</v>
      </c>
      <c r="AB19" s="180">
        <v>34182</v>
      </c>
      <c r="AC19" s="180">
        <v>674</v>
      </c>
      <c r="AD19" s="180">
        <v>89755</v>
      </c>
      <c r="AE19" s="180">
        <v>390</v>
      </c>
      <c r="AF19" s="180">
        <v>48631</v>
      </c>
      <c r="AG19" s="180">
        <v>1160</v>
      </c>
      <c r="AH19" s="180">
        <v>144342</v>
      </c>
      <c r="AI19" s="180">
        <v>367</v>
      </c>
      <c r="AJ19" s="180">
        <v>61682</v>
      </c>
      <c r="AK19" s="180">
        <v>991</v>
      </c>
      <c r="AL19" s="180">
        <v>165701</v>
      </c>
      <c r="AM19" s="180">
        <v>1052</v>
      </c>
      <c r="AN19" s="180">
        <v>150522</v>
      </c>
      <c r="AO19" s="180">
        <v>2998</v>
      </c>
      <c r="AP19" s="181">
        <v>412527</v>
      </c>
      <c r="AQ19" s="179">
        <v>37</v>
      </c>
      <c r="AR19" s="180">
        <v>2445</v>
      </c>
      <c r="AS19" s="180">
        <v>294</v>
      </c>
      <c r="AT19" s="180">
        <v>21997</v>
      </c>
      <c r="AU19" s="180">
        <v>263</v>
      </c>
      <c r="AV19" s="180">
        <v>33919</v>
      </c>
      <c r="AW19" s="180">
        <v>1174</v>
      </c>
      <c r="AX19" s="180">
        <v>152275</v>
      </c>
      <c r="AY19" s="180">
        <v>364</v>
      </c>
      <c r="AZ19" s="180">
        <v>42966</v>
      </c>
      <c r="BA19" s="180">
        <v>1850</v>
      </c>
      <c r="BB19" s="180">
        <v>227146</v>
      </c>
      <c r="BC19" s="180">
        <v>388</v>
      </c>
      <c r="BD19" s="180">
        <v>59761</v>
      </c>
      <c r="BE19" s="180">
        <v>1599</v>
      </c>
      <c r="BF19" s="180">
        <v>258394</v>
      </c>
      <c r="BG19" s="180">
        <v>1053</v>
      </c>
      <c r="BH19" s="180">
        <v>139091</v>
      </c>
      <c r="BI19" s="180">
        <v>4917</v>
      </c>
      <c r="BJ19" s="181">
        <v>659813</v>
      </c>
      <c r="BK19" s="179">
        <v>79</v>
      </c>
      <c r="BL19" s="180">
        <v>5579</v>
      </c>
      <c r="BM19" s="180">
        <v>428</v>
      </c>
      <c r="BN19" s="180">
        <v>32106</v>
      </c>
      <c r="BO19" s="180">
        <v>257</v>
      </c>
      <c r="BP19" s="180">
        <v>32127</v>
      </c>
      <c r="BQ19" s="180">
        <v>1666</v>
      </c>
      <c r="BR19" s="180">
        <v>216923</v>
      </c>
      <c r="BS19" s="180">
        <v>397</v>
      </c>
      <c r="BT19" s="180">
        <v>47426</v>
      </c>
      <c r="BU19" s="180">
        <v>2737</v>
      </c>
      <c r="BV19" s="180">
        <v>342401</v>
      </c>
      <c r="BW19" s="180">
        <v>421</v>
      </c>
      <c r="BX19" s="180">
        <v>64695</v>
      </c>
      <c r="BY19" s="180">
        <v>2326</v>
      </c>
      <c r="BZ19" s="180">
        <v>367788</v>
      </c>
      <c r="CA19" s="180">
        <v>1154</v>
      </c>
      <c r="CB19" s="180">
        <v>149826</v>
      </c>
      <c r="CC19" s="180">
        <v>7157</v>
      </c>
      <c r="CD19" s="181">
        <v>959217</v>
      </c>
      <c r="CE19" s="179"/>
      <c r="CF19" s="180"/>
      <c r="CG19" s="180"/>
      <c r="CH19" s="180"/>
      <c r="CI19" s="180"/>
      <c r="CJ19" s="180"/>
      <c r="CK19" s="180"/>
      <c r="CL19" s="180"/>
      <c r="CM19" s="180"/>
      <c r="CN19" s="180"/>
      <c r="CO19" s="180"/>
      <c r="CP19" s="180"/>
      <c r="CQ19" s="180"/>
      <c r="CR19" s="180"/>
      <c r="CS19" s="180"/>
      <c r="CT19" s="180"/>
      <c r="CU19" s="180"/>
      <c r="CV19" s="180"/>
      <c r="CW19" s="180"/>
      <c r="CX19" s="181"/>
      <c r="CY19" s="211">
        <v>116</v>
      </c>
      <c r="CZ19" s="212">
        <v>9498</v>
      </c>
      <c r="DA19" s="212">
        <v>715</v>
      </c>
      <c r="DB19" s="212">
        <v>55245</v>
      </c>
      <c r="DC19" s="212">
        <v>338</v>
      </c>
      <c r="DD19" s="212">
        <v>42560</v>
      </c>
      <c r="DE19" s="212">
        <v>2693</v>
      </c>
      <c r="DF19" s="212">
        <v>347552</v>
      </c>
      <c r="DG19" s="212">
        <v>293</v>
      </c>
      <c r="DH19" s="212">
        <v>41826</v>
      </c>
      <c r="DI19" s="212">
        <v>3793</v>
      </c>
      <c r="DJ19" s="212">
        <v>481258</v>
      </c>
      <c r="DK19" s="212">
        <v>455</v>
      </c>
      <c r="DL19" s="212">
        <v>69225</v>
      </c>
      <c r="DM19" s="212">
        <v>3649</v>
      </c>
      <c r="DN19" s="212">
        <v>570963</v>
      </c>
      <c r="DO19" s="212">
        <v>1201</v>
      </c>
      <c r="DP19" s="212">
        <v>163108</v>
      </c>
      <c r="DQ19" s="212">
        <v>10848</v>
      </c>
      <c r="DR19" s="213">
        <v>1455019</v>
      </c>
      <c r="DS19" s="211">
        <v>94</v>
      </c>
      <c r="DT19" s="212">
        <v>7579</v>
      </c>
      <c r="DU19" s="212">
        <v>883</v>
      </c>
      <c r="DV19" s="212">
        <v>68831</v>
      </c>
      <c r="DW19" s="212">
        <v>279</v>
      </c>
      <c r="DX19" s="212">
        <v>37930</v>
      </c>
      <c r="DY19" s="212">
        <v>3230</v>
      </c>
      <c r="DZ19" s="212">
        <v>419967</v>
      </c>
      <c r="EA19" s="212">
        <v>200</v>
      </c>
      <c r="EB19" s="212">
        <v>23550</v>
      </c>
      <c r="EC19" s="212">
        <v>4184</v>
      </c>
      <c r="ED19" s="212">
        <v>529961</v>
      </c>
      <c r="EE19" s="212">
        <v>363</v>
      </c>
      <c r="EF19" s="212">
        <v>57345</v>
      </c>
      <c r="EG19" s="212">
        <v>4310</v>
      </c>
      <c r="EH19" s="212">
        <v>675013</v>
      </c>
      <c r="EI19" s="212">
        <v>938</v>
      </c>
      <c r="EJ19" s="212">
        <v>126404</v>
      </c>
      <c r="EK19" s="212">
        <v>12606</v>
      </c>
      <c r="EL19" s="213">
        <v>1693771</v>
      </c>
      <c r="EM19" s="179"/>
      <c r="EN19" s="180"/>
      <c r="EO19" s="180"/>
      <c r="EP19" s="180"/>
      <c r="EQ19" s="180"/>
      <c r="ER19" s="180"/>
      <c r="ES19" s="180"/>
      <c r="ET19" s="180"/>
      <c r="EU19" s="180"/>
      <c r="EV19" s="180"/>
      <c r="EW19" s="180"/>
      <c r="EX19" s="180"/>
      <c r="EY19" s="180"/>
      <c r="EZ19" s="180"/>
      <c r="FA19" s="180"/>
      <c r="FB19" s="180"/>
      <c r="FC19" s="180"/>
      <c r="FD19" s="180"/>
      <c r="FE19" s="180"/>
      <c r="FF19" s="181"/>
      <c r="FG19" s="179"/>
      <c r="FH19" s="180"/>
      <c r="FI19" s="180"/>
      <c r="FJ19" s="180"/>
      <c r="FK19" s="180"/>
      <c r="FL19" s="180"/>
      <c r="FM19" s="180"/>
      <c r="FN19" s="180"/>
      <c r="FO19" s="180"/>
      <c r="FP19" s="180"/>
      <c r="FQ19" s="180"/>
      <c r="FR19" s="180"/>
      <c r="FS19" s="180"/>
      <c r="FT19" s="180"/>
      <c r="FU19" s="180"/>
      <c r="FV19" s="180"/>
      <c r="FW19" s="180"/>
      <c r="FX19" s="180"/>
      <c r="FY19" s="180"/>
      <c r="FZ19" s="181"/>
      <c r="GA19" s="179"/>
      <c r="GB19" s="180"/>
      <c r="GC19" s="180"/>
      <c r="GD19" s="180"/>
      <c r="GE19" s="180"/>
      <c r="GF19" s="180"/>
      <c r="GG19" s="180"/>
      <c r="GH19" s="180"/>
      <c r="GI19" s="180"/>
      <c r="GJ19" s="180"/>
      <c r="GK19" s="180"/>
      <c r="GL19" s="180"/>
      <c r="GM19" s="180"/>
      <c r="GN19" s="180"/>
      <c r="GO19" s="180"/>
      <c r="GP19" s="180"/>
      <c r="GQ19" s="180"/>
      <c r="GR19" s="180"/>
      <c r="GS19" s="180"/>
      <c r="GT19" s="181"/>
      <c r="GU19" s="179"/>
      <c r="GV19" s="180"/>
      <c r="GW19" s="180"/>
      <c r="GX19" s="180"/>
      <c r="GY19" s="180"/>
      <c r="GZ19" s="180"/>
      <c r="HA19" s="180"/>
      <c r="HB19" s="180"/>
      <c r="HC19" s="180"/>
      <c r="HD19" s="180"/>
      <c r="HE19" s="180"/>
      <c r="HF19" s="180"/>
      <c r="HG19" s="180"/>
      <c r="HH19" s="180"/>
      <c r="HI19" s="180"/>
      <c r="HJ19" s="180"/>
      <c r="HK19" s="180"/>
      <c r="HL19" s="180"/>
      <c r="HM19" s="180"/>
      <c r="HN19" s="181"/>
      <c r="HO19" s="179"/>
      <c r="HP19" s="180"/>
      <c r="HQ19" s="180"/>
      <c r="HR19" s="180"/>
      <c r="HS19" s="180"/>
      <c r="HT19" s="180"/>
      <c r="HU19" s="180"/>
      <c r="HV19" s="180"/>
      <c r="HW19" s="180"/>
      <c r="HX19" s="180"/>
      <c r="HY19" s="180"/>
      <c r="HZ19" s="180"/>
      <c r="IA19" s="180"/>
      <c r="IB19" s="180"/>
      <c r="IC19" s="180"/>
      <c r="ID19" s="180"/>
      <c r="IE19" s="180"/>
      <c r="IF19" s="180"/>
      <c r="IG19" s="180"/>
      <c r="IH19" s="181"/>
    </row>
    <row r="20" spans="2:242" ht="14">
      <c r="B20" s="175">
        <v>18</v>
      </c>
      <c r="C20" s="211"/>
      <c r="D20" s="212"/>
      <c r="E20" s="212"/>
      <c r="F20" s="212"/>
      <c r="G20" s="212"/>
      <c r="H20" s="212"/>
      <c r="I20" s="212"/>
      <c r="J20" s="212"/>
      <c r="K20" s="212"/>
      <c r="L20" s="212"/>
      <c r="M20" s="212"/>
      <c r="N20" s="212"/>
      <c r="O20" s="212"/>
      <c r="P20" s="212"/>
      <c r="Q20" s="212"/>
      <c r="R20" s="212"/>
      <c r="S20" s="212"/>
      <c r="T20" s="212"/>
      <c r="U20" s="212"/>
      <c r="V20" s="213"/>
      <c r="W20" s="179">
        <v>84</v>
      </c>
      <c r="X20" s="180">
        <v>6789</v>
      </c>
      <c r="Y20" s="180">
        <v>185</v>
      </c>
      <c r="Z20" s="180">
        <v>13489</v>
      </c>
      <c r="AA20" s="180">
        <v>267</v>
      </c>
      <c r="AB20" s="180">
        <v>39469</v>
      </c>
      <c r="AC20" s="180">
        <v>717</v>
      </c>
      <c r="AD20" s="180">
        <v>95042</v>
      </c>
      <c r="AE20" s="180">
        <v>410</v>
      </c>
      <c r="AF20" s="180">
        <v>50858</v>
      </c>
      <c r="AG20" s="180">
        <v>1180</v>
      </c>
      <c r="AH20" s="180">
        <v>146569</v>
      </c>
      <c r="AI20" s="180">
        <v>389</v>
      </c>
      <c r="AJ20" s="180">
        <v>65201</v>
      </c>
      <c r="AK20" s="180">
        <v>1014</v>
      </c>
      <c r="AL20" s="180">
        <v>169222</v>
      </c>
      <c r="AM20" s="180">
        <v>1149</v>
      </c>
      <c r="AN20" s="180">
        <v>162319</v>
      </c>
      <c r="AO20" s="180">
        <v>3096</v>
      </c>
      <c r="AP20" s="181">
        <v>424321</v>
      </c>
      <c r="AQ20" s="179">
        <v>37</v>
      </c>
      <c r="AR20" s="180">
        <v>2445</v>
      </c>
      <c r="AS20" s="180">
        <v>294</v>
      </c>
      <c r="AT20" s="180">
        <v>21997</v>
      </c>
      <c r="AU20" s="180">
        <v>278</v>
      </c>
      <c r="AV20" s="180">
        <v>35412</v>
      </c>
      <c r="AW20" s="180">
        <v>1188</v>
      </c>
      <c r="AX20" s="180">
        <v>153765</v>
      </c>
      <c r="AY20" s="180">
        <v>399</v>
      </c>
      <c r="AZ20" s="180">
        <v>47108</v>
      </c>
      <c r="BA20" s="180">
        <v>1885</v>
      </c>
      <c r="BB20" s="180">
        <v>231289</v>
      </c>
      <c r="BC20" s="180">
        <v>434</v>
      </c>
      <c r="BD20" s="180">
        <v>65721</v>
      </c>
      <c r="BE20" s="180">
        <v>1645</v>
      </c>
      <c r="BF20" s="180">
        <v>264356</v>
      </c>
      <c r="BG20" s="180">
        <v>1149</v>
      </c>
      <c r="BH20" s="180">
        <v>150686</v>
      </c>
      <c r="BI20" s="180">
        <v>5012</v>
      </c>
      <c r="BJ20" s="181">
        <v>671407</v>
      </c>
      <c r="BK20" s="179"/>
      <c r="BL20" s="180"/>
      <c r="BM20" s="180"/>
      <c r="BN20" s="180"/>
      <c r="BO20" s="180"/>
      <c r="BP20" s="180"/>
      <c r="BQ20" s="180"/>
      <c r="BR20" s="180"/>
      <c r="BS20" s="180"/>
      <c r="BT20" s="180"/>
      <c r="BU20" s="180"/>
      <c r="BV20" s="180"/>
      <c r="BW20" s="180"/>
      <c r="BX20" s="180"/>
      <c r="BY20" s="180"/>
      <c r="BZ20" s="180"/>
      <c r="CA20" s="180"/>
      <c r="CB20" s="180"/>
      <c r="CC20" s="180"/>
      <c r="CD20" s="181"/>
      <c r="CE20" s="179">
        <v>62</v>
      </c>
      <c r="CF20" s="180">
        <v>5103</v>
      </c>
      <c r="CG20" s="180">
        <v>563</v>
      </c>
      <c r="CH20" s="180">
        <v>43028</v>
      </c>
      <c r="CI20" s="180">
        <v>206</v>
      </c>
      <c r="CJ20" s="180">
        <v>23629</v>
      </c>
      <c r="CK20" s="180">
        <v>2140</v>
      </c>
      <c r="CL20" s="180">
        <v>276270</v>
      </c>
      <c r="CM20" s="180">
        <v>216</v>
      </c>
      <c r="CN20" s="180">
        <v>28714</v>
      </c>
      <c r="CO20" s="180">
        <v>3201</v>
      </c>
      <c r="CP20" s="180">
        <v>402690</v>
      </c>
      <c r="CQ20" s="180">
        <v>318</v>
      </c>
      <c r="CR20" s="180">
        <v>49508</v>
      </c>
      <c r="CS20" s="180">
        <v>2920</v>
      </c>
      <c r="CT20" s="180">
        <v>460261</v>
      </c>
      <c r="CU20" s="180">
        <v>801</v>
      </c>
      <c r="CV20" s="180">
        <v>106954</v>
      </c>
      <c r="CW20" s="180">
        <v>8824</v>
      </c>
      <c r="CX20" s="181">
        <v>1182249</v>
      </c>
      <c r="CY20" s="211">
        <v>119</v>
      </c>
      <c r="CZ20" s="212">
        <v>9793</v>
      </c>
      <c r="DA20" s="212">
        <v>719</v>
      </c>
      <c r="DB20" s="212">
        <v>55540</v>
      </c>
      <c r="DC20" s="212">
        <v>360</v>
      </c>
      <c r="DD20" s="212">
        <v>45906</v>
      </c>
      <c r="DE20" s="212">
        <v>2716</v>
      </c>
      <c r="DF20" s="212">
        <v>350898</v>
      </c>
      <c r="DG20" s="212">
        <v>331</v>
      </c>
      <c r="DH20" s="212">
        <v>44973</v>
      </c>
      <c r="DI20" s="212">
        <v>3830</v>
      </c>
      <c r="DJ20" s="212">
        <v>484404</v>
      </c>
      <c r="DK20" s="212">
        <v>480</v>
      </c>
      <c r="DL20" s="212">
        <v>73510</v>
      </c>
      <c r="DM20" s="212">
        <v>3674</v>
      </c>
      <c r="DN20" s="212">
        <v>575250</v>
      </c>
      <c r="DO20" s="212">
        <v>1289</v>
      </c>
      <c r="DP20" s="212">
        <v>174181</v>
      </c>
      <c r="DQ20" s="212">
        <v>10937</v>
      </c>
      <c r="DR20" s="213">
        <v>1466093</v>
      </c>
      <c r="DS20" s="179"/>
      <c r="DT20" s="180"/>
      <c r="DU20" s="180"/>
      <c r="DV20" s="180"/>
      <c r="DW20" s="180"/>
      <c r="DX20" s="180"/>
      <c r="DY20" s="180"/>
      <c r="DZ20" s="180"/>
      <c r="EA20" s="180"/>
      <c r="EB20" s="180"/>
      <c r="EC20" s="180"/>
      <c r="ED20" s="180"/>
      <c r="EE20" s="180"/>
      <c r="EF20" s="180"/>
      <c r="EG20" s="180"/>
      <c r="EH20" s="180"/>
      <c r="EI20" s="180"/>
      <c r="EJ20" s="180"/>
      <c r="EK20" s="180"/>
      <c r="EL20" s="181"/>
      <c r="EM20" s="179"/>
      <c r="EN20" s="180"/>
      <c r="EO20" s="180"/>
      <c r="EP20" s="180"/>
      <c r="EQ20" s="180"/>
      <c r="ER20" s="180"/>
      <c r="ES20" s="180"/>
      <c r="ET20" s="180"/>
      <c r="EU20" s="180"/>
      <c r="EV20" s="180"/>
      <c r="EW20" s="180"/>
      <c r="EX20" s="180"/>
      <c r="EY20" s="180"/>
      <c r="EZ20" s="180"/>
      <c r="FA20" s="180"/>
      <c r="FB20" s="180"/>
      <c r="FC20" s="180"/>
      <c r="FD20" s="180"/>
      <c r="FE20" s="180"/>
      <c r="FF20" s="181"/>
      <c r="FG20" s="179"/>
      <c r="FH20" s="180"/>
      <c r="FI20" s="180"/>
      <c r="FJ20" s="180"/>
      <c r="FK20" s="180"/>
      <c r="FL20" s="180"/>
      <c r="FM20" s="180"/>
      <c r="FN20" s="180"/>
      <c r="FO20" s="180"/>
      <c r="FP20" s="180"/>
      <c r="FQ20" s="180"/>
      <c r="FR20" s="180"/>
      <c r="FS20" s="180"/>
      <c r="FT20" s="180"/>
      <c r="FU20" s="180"/>
      <c r="FV20" s="180"/>
      <c r="FW20" s="180"/>
      <c r="FX20" s="180"/>
      <c r="FY20" s="180"/>
      <c r="FZ20" s="181"/>
      <c r="GA20" s="179"/>
      <c r="GB20" s="180"/>
      <c r="GC20" s="180"/>
      <c r="GD20" s="180"/>
      <c r="GE20" s="180"/>
      <c r="GF20" s="180"/>
      <c r="GG20" s="180"/>
      <c r="GH20" s="180"/>
      <c r="GI20" s="180"/>
      <c r="GJ20" s="180"/>
      <c r="GK20" s="180"/>
      <c r="GL20" s="180"/>
      <c r="GM20" s="180"/>
      <c r="GN20" s="180"/>
      <c r="GO20" s="180"/>
      <c r="GP20" s="180"/>
      <c r="GQ20" s="180"/>
      <c r="GR20" s="180"/>
      <c r="GS20" s="180"/>
      <c r="GT20" s="181"/>
      <c r="GU20" s="179"/>
      <c r="GV20" s="180"/>
      <c r="GW20" s="180"/>
      <c r="GX20" s="180"/>
      <c r="GY20" s="180"/>
      <c r="GZ20" s="180"/>
      <c r="HA20" s="180"/>
      <c r="HB20" s="180"/>
      <c r="HC20" s="180"/>
      <c r="HD20" s="180"/>
      <c r="HE20" s="180"/>
      <c r="HF20" s="180"/>
      <c r="HG20" s="180"/>
      <c r="HH20" s="180"/>
      <c r="HI20" s="180"/>
      <c r="HJ20" s="180"/>
      <c r="HK20" s="180"/>
      <c r="HL20" s="180"/>
      <c r="HM20" s="180"/>
      <c r="HN20" s="181"/>
      <c r="HO20" s="179"/>
      <c r="HP20" s="180"/>
      <c r="HQ20" s="180"/>
      <c r="HR20" s="180"/>
      <c r="HS20" s="180"/>
      <c r="HT20" s="180"/>
      <c r="HU20" s="180"/>
      <c r="HV20" s="180"/>
      <c r="HW20" s="180"/>
      <c r="HX20" s="180"/>
      <c r="HY20" s="180"/>
      <c r="HZ20" s="180"/>
      <c r="IA20" s="180"/>
      <c r="IB20" s="180"/>
      <c r="IC20" s="180"/>
      <c r="ID20" s="180"/>
      <c r="IE20" s="180"/>
      <c r="IF20" s="180"/>
      <c r="IG20" s="180"/>
      <c r="IH20" s="181"/>
    </row>
    <row r="21" spans="2:242" ht="14">
      <c r="B21" s="175">
        <v>19</v>
      </c>
      <c r="C21" s="211">
        <v>66</v>
      </c>
      <c r="D21" s="212">
        <v>4384</v>
      </c>
      <c r="E21" s="212">
        <v>66</v>
      </c>
      <c r="F21" s="212">
        <v>4384</v>
      </c>
      <c r="G21" s="212">
        <v>245</v>
      </c>
      <c r="H21" s="212">
        <v>27363</v>
      </c>
      <c r="I21" s="212">
        <v>245</v>
      </c>
      <c r="J21" s="212">
        <v>27363</v>
      </c>
      <c r="K21" s="212">
        <v>364</v>
      </c>
      <c r="L21" s="212">
        <v>45071</v>
      </c>
      <c r="M21" s="212">
        <v>364</v>
      </c>
      <c r="N21" s="212">
        <v>45071</v>
      </c>
      <c r="O21" s="212">
        <v>344</v>
      </c>
      <c r="P21" s="212">
        <v>57843</v>
      </c>
      <c r="Q21" s="212">
        <v>344</v>
      </c>
      <c r="R21" s="212">
        <v>57843</v>
      </c>
      <c r="S21" s="212">
        <v>1020</v>
      </c>
      <c r="T21" s="212">
        <v>134660</v>
      </c>
      <c r="U21" s="212">
        <v>1020</v>
      </c>
      <c r="V21" s="213">
        <v>134660</v>
      </c>
      <c r="W21" s="179">
        <v>84</v>
      </c>
      <c r="X21" s="180">
        <v>6789</v>
      </c>
      <c r="Y21" s="180">
        <v>185</v>
      </c>
      <c r="Z21" s="180">
        <v>13489</v>
      </c>
      <c r="AA21" s="180">
        <v>292</v>
      </c>
      <c r="AB21" s="180">
        <v>42850</v>
      </c>
      <c r="AC21" s="180">
        <v>742</v>
      </c>
      <c r="AD21" s="180">
        <v>98423</v>
      </c>
      <c r="AE21" s="180">
        <v>457</v>
      </c>
      <c r="AF21" s="180">
        <v>58126</v>
      </c>
      <c r="AG21" s="180">
        <v>1227</v>
      </c>
      <c r="AH21" s="180">
        <v>153837</v>
      </c>
      <c r="AI21" s="180">
        <v>417</v>
      </c>
      <c r="AJ21" s="180">
        <v>69231</v>
      </c>
      <c r="AK21" s="180">
        <v>1041</v>
      </c>
      <c r="AL21" s="180">
        <v>173252</v>
      </c>
      <c r="AM21" s="180">
        <v>1249</v>
      </c>
      <c r="AN21" s="180">
        <v>176996</v>
      </c>
      <c r="AO21" s="180">
        <v>3195</v>
      </c>
      <c r="AP21" s="181">
        <v>438999</v>
      </c>
      <c r="AQ21" s="179">
        <v>51</v>
      </c>
      <c r="AR21" s="180">
        <v>3742</v>
      </c>
      <c r="AS21" s="180">
        <v>308</v>
      </c>
      <c r="AT21" s="180">
        <v>23294</v>
      </c>
      <c r="AU21" s="180">
        <v>304</v>
      </c>
      <c r="AV21" s="180">
        <v>38600</v>
      </c>
      <c r="AW21" s="180">
        <v>1214</v>
      </c>
      <c r="AX21" s="180">
        <v>156954</v>
      </c>
      <c r="AY21" s="180">
        <v>437</v>
      </c>
      <c r="AZ21" s="180">
        <v>54165</v>
      </c>
      <c r="BA21" s="180">
        <v>1923</v>
      </c>
      <c r="BB21" s="180">
        <v>238346</v>
      </c>
      <c r="BC21" s="180">
        <v>460</v>
      </c>
      <c r="BD21" s="180">
        <v>70045</v>
      </c>
      <c r="BE21" s="180">
        <v>1671</v>
      </c>
      <c r="BF21" s="180">
        <v>268680</v>
      </c>
      <c r="BG21" s="180">
        <v>1252</v>
      </c>
      <c r="BH21" s="180">
        <v>166554</v>
      </c>
      <c r="BI21" s="180">
        <v>5115</v>
      </c>
      <c r="BJ21" s="181">
        <v>687275</v>
      </c>
      <c r="BK21" s="179"/>
      <c r="BL21" s="180"/>
      <c r="BM21" s="180"/>
      <c r="BN21" s="180"/>
      <c r="BO21" s="180"/>
      <c r="BP21" s="180"/>
      <c r="BQ21" s="180"/>
      <c r="BR21" s="180"/>
      <c r="BS21" s="180"/>
      <c r="BT21" s="180"/>
      <c r="BU21" s="180"/>
      <c r="BV21" s="180"/>
      <c r="BW21" s="180"/>
      <c r="BX21" s="180"/>
      <c r="BY21" s="180"/>
      <c r="BZ21" s="180"/>
      <c r="CA21" s="180"/>
      <c r="CB21" s="180"/>
      <c r="CC21" s="180"/>
      <c r="CD21" s="181"/>
      <c r="CE21" s="179">
        <v>72</v>
      </c>
      <c r="CF21" s="180">
        <v>5810</v>
      </c>
      <c r="CG21" s="180">
        <v>572</v>
      </c>
      <c r="CH21" s="180">
        <v>43735</v>
      </c>
      <c r="CI21" s="180">
        <v>237</v>
      </c>
      <c r="CJ21" s="180">
        <v>27758</v>
      </c>
      <c r="CK21" s="180">
        <v>2171</v>
      </c>
      <c r="CL21" s="180">
        <v>280400</v>
      </c>
      <c r="CM21" s="180">
        <v>255</v>
      </c>
      <c r="CN21" s="180">
        <v>32742</v>
      </c>
      <c r="CO21" s="180">
        <v>3240</v>
      </c>
      <c r="CP21" s="180">
        <v>406719</v>
      </c>
      <c r="CQ21" s="180">
        <v>345</v>
      </c>
      <c r="CR21" s="180">
        <v>54400</v>
      </c>
      <c r="CS21" s="180">
        <v>2947</v>
      </c>
      <c r="CT21" s="180">
        <v>465150</v>
      </c>
      <c r="CU21" s="180">
        <v>909</v>
      </c>
      <c r="CV21" s="180">
        <v>120709</v>
      </c>
      <c r="CW21" s="180">
        <v>8931</v>
      </c>
      <c r="CX21" s="181">
        <v>1196003</v>
      </c>
      <c r="CY21" s="211">
        <v>121</v>
      </c>
      <c r="CZ21" s="212">
        <v>9981</v>
      </c>
      <c r="DA21" s="212">
        <v>720</v>
      </c>
      <c r="DB21" s="212">
        <v>55728</v>
      </c>
      <c r="DC21" s="212">
        <v>387</v>
      </c>
      <c r="DD21" s="212">
        <v>50770</v>
      </c>
      <c r="DE21" s="212">
        <v>2743</v>
      </c>
      <c r="DF21" s="212">
        <v>355763</v>
      </c>
      <c r="DG21" s="212">
        <v>337</v>
      </c>
      <c r="DH21" s="212">
        <v>46009</v>
      </c>
      <c r="DI21" s="212">
        <v>3836</v>
      </c>
      <c r="DJ21" s="212">
        <v>485441</v>
      </c>
      <c r="DK21" s="212">
        <v>505</v>
      </c>
      <c r="DL21" s="212">
        <v>76740</v>
      </c>
      <c r="DM21" s="212">
        <v>3699</v>
      </c>
      <c r="DN21" s="212">
        <v>578479</v>
      </c>
      <c r="DO21" s="212">
        <v>1349</v>
      </c>
      <c r="DP21" s="212">
        <v>183501</v>
      </c>
      <c r="DQ21" s="212">
        <v>10996</v>
      </c>
      <c r="DR21" s="213">
        <v>1475412</v>
      </c>
      <c r="DS21" s="179"/>
      <c r="DT21" s="180"/>
      <c r="DU21" s="180"/>
      <c r="DV21" s="180"/>
      <c r="DW21" s="180"/>
      <c r="DX21" s="180"/>
      <c r="DY21" s="180"/>
      <c r="DZ21" s="180"/>
      <c r="EA21" s="180"/>
      <c r="EB21" s="180"/>
      <c r="EC21" s="180"/>
      <c r="ED21" s="180"/>
      <c r="EE21" s="180"/>
      <c r="EF21" s="180"/>
      <c r="EG21" s="180"/>
      <c r="EH21" s="180"/>
      <c r="EI21" s="180"/>
      <c r="EJ21" s="180"/>
      <c r="EK21" s="180"/>
      <c r="EL21" s="181"/>
      <c r="EM21" s="179"/>
      <c r="EN21" s="180"/>
      <c r="EO21" s="180"/>
      <c r="EP21" s="180"/>
      <c r="EQ21" s="180"/>
      <c r="ER21" s="180"/>
      <c r="ES21" s="180"/>
      <c r="ET21" s="180"/>
      <c r="EU21" s="180"/>
      <c r="EV21" s="180"/>
      <c r="EW21" s="180"/>
      <c r="EX21" s="180"/>
      <c r="EY21" s="180"/>
      <c r="EZ21" s="180"/>
      <c r="FA21" s="180"/>
      <c r="FB21" s="180"/>
      <c r="FC21" s="180"/>
      <c r="FD21" s="180"/>
      <c r="FE21" s="180"/>
      <c r="FF21" s="181"/>
      <c r="FG21" s="179"/>
      <c r="FH21" s="180"/>
      <c r="FI21" s="180"/>
      <c r="FJ21" s="180"/>
      <c r="FK21" s="180"/>
      <c r="FL21" s="180"/>
      <c r="FM21" s="180"/>
      <c r="FN21" s="180"/>
      <c r="FO21" s="180"/>
      <c r="FP21" s="180"/>
      <c r="FQ21" s="180"/>
      <c r="FR21" s="180"/>
      <c r="FS21" s="180"/>
      <c r="FT21" s="180"/>
      <c r="FU21" s="180"/>
      <c r="FV21" s="180"/>
      <c r="FW21" s="180"/>
      <c r="FX21" s="180"/>
      <c r="FY21" s="180"/>
      <c r="FZ21" s="181"/>
      <c r="GA21" s="179"/>
      <c r="GB21" s="180"/>
      <c r="GC21" s="180"/>
      <c r="GD21" s="180"/>
      <c r="GE21" s="180"/>
      <c r="GF21" s="180"/>
      <c r="GG21" s="180"/>
      <c r="GH21" s="180"/>
      <c r="GI21" s="180"/>
      <c r="GJ21" s="180"/>
      <c r="GK21" s="180"/>
      <c r="GL21" s="180"/>
      <c r="GM21" s="180"/>
      <c r="GN21" s="180"/>
      <c r="GO21" s="180"/>
      <c r="GP21" s="180"/>
      <c r="GQ21" s="180"/>
      <c r="GR21" s="180"/>
      <c r="GS21" s="180"/>
      <c r="GT21" s="181"/>
      <c r="GU21" s="179"/>
      <c r="GV21" s="180"/>
      <c r="GW21" s="180"/>
      <c r="GX21" s="180"/>
      <c r="GY21" s="180"/>
      <c r="GZ21" s="180"/>
      <c r="HA21" s="180"/>
      <c r="HB21" s="180"/>
      <c r="HC21" s="180"/>
      <c r="HD21" s="180"/>
      <c r="HE21" s="180"/>
      <c r="HF21" s="180"/>
      <c r="HG21" s="180"/>
      <c r="HH21" s="180"/>
      <c r="HI21" s="180"/>
      <c r="HJ21" s="180"/>
      <c r="HK21" s="180"/>
      <c r="HL21" s="180"/>
      <c r="HM21" s="180"/>
      <c r="HN21" s="181"/>
      <c r="HO21" s="179"/>
      <c r="HP21" s="180"/>
      <c r="HQ21" s="180"/>
      <c r="HR21" s="180"/>
      <c r="HS21" s="180"/>
      <c r="HT21" s="180"/>
      <c r="HU21" s="180"/>
      <c r="HV21" s="180"/>
      <c r="HW21" s="180"/>
      <c r="HX21" s="180"/>
      <c r="HY21" s="180"/>
      <c r="HZ21" s="180"/>
      <c r="IA21" s="180"/>
      <c r="IB21" s="180"/>
      <c r="IC21" s="180"/>
      <c r="ID21" s="180"/>
      <c r="IE21" s="180"/>
      <c r="IF21" s="180"/>
      <c r="IG21" s="180"/>
      <c r="IH21" s="181"/>
    </row>
    <row r="22" spans="2:242" ht="14">
      <c r="B22" s="175">
        <v>20</v>
      </c>
      <c r="C22" s="211">
        <v>72</v>
      </c>
      <c r="D22" s="212">
        <v>4842</v>
      </c>
      <c r="E22" s="212">
        <v>72</v>
      </c>
      <c r="F22" s="212">
        <v>4842</v>
      </c>
      <c r="G22" s="212">
        <v>278</v>
      </c>
      <c r="H22" s="212">
        <v>33518</v>
      </c>
      <c r="I22" s="212">
        <v>278</v>
      </c>
      <c r="J22" s="212">
        <v>33518</v>
      </c>
      <c r="K22" s="212">
        <v>412</v>
      </c>
      <c r="L22" s="212">
        <v>52893</v>
      </c>
      <c r="M22" s="212">
        <v>412</v>
      </c>
      <c r="N22" s="212">
        <v>52893</v>
      </c>
      <c r="O22" s="212">
        <v>371</v>
      </c>
      <c r="P22" s="212">
        <v>61273</v>
      </c>
      <c r="Q22" s="212">
        <v>371</v>
      </c>
      <c r="R22" s="212">
        <v>61273</v>
      </c>
      <c r="S22" s="212">
        <v>1134</v>
      </c>
      <c r="T22" s="212">
        <v>152527</v>
      </c>
      <c r="U22" s="212">
        <v>1134</v>
      </c>
      <c r="V22" s="213">
        <v>152527</v>
      </c>
      <c r="W22" s="179">
        <v>92</v>
      </c>
      <c r="X22" s="180">
        <v>7303</v>
      </c>
      <c r="Y22" s="180">
        <v>193</v>
      </c>
      <c r="Z22" s="180">
        <v>14002</v>
      </c>
      <c r="AA22" s="180">
        <v>329</v>
      </c>
      <c r="AB22" s="180">
        <v>46283</v>
      </c>
      <c r="AC22" s="180">
        <v>779</v>
      </c>
      <c r="AD22" s="180">
        <v>101857</v>
      </c>
      <c r="AE22" s="180">
        <v>525</v>
      </c>
      <c r="AF22" s="180">
        <v>66250</v>
      </c>
      <c r="AG22" s="180">
        <v>1295</v>
      </c>
      <c r="AH22" s="180">
        <v>161961</v>
      </c>
      <c r="AI22" s="180">
        <v>440</v>
      </c>
      <c r="AJ22" s="180">
        <v>72857</v>
      </c>
      <c r="AK22" s="180">
        <v>1065</v>
      </c>
      <c r="AL22" s="180">
        <v>176875</v>
      </c>
      <c r="AM22" s="180">
        <v>1385</v>
      </c>
      <c r="AN22" s="180">
        <v>192693</v>
      </c>
      <c r="AO22" s="180">
        <v>3332</v>
      </c>
      <c r="AP22" s="181">
        <v>454697</v>
      </c>
      <c r="AQ22" s="179">
        <v>68</v>
      </c>
      <c r="AR22" s="180">
        <v>5335</v>
      </c>
      <c r="AS22" s="180">
        <v>325</v>
      </c>
      <c r="AT22" s="180">
        <v>24887</v>
      </c>
      <c r="AU22" s="180">
        <v>322</v>
      </c>
      <c r="AV22" s="180">
        <v>40175</v>
      </c>
      <c r="AW22" s="180">
        <v>1232</v>
      </c>
      <c r="AX22" s="180">
        <v>158530</v>
      </c>
      <c r="AY22" s="180">
        <v>538</v>
      </c>
      <c r="AZ22" s="180">
        <v>63969</v>
      </c>
      <c r="BA22" s="180">
        <v>2024</v>
      </c>
      <c r="BB22" s="180">
        <v>248150</v>
      </c>
      <c r="BC22" s="180">
        <v>487</v>
      </c>
      <c r="BD22" s="180">
        <v>74125</v>
      </c>
      <c r="BE22" s="180">
        <v>1698</v>
      </c>
      <c r="BF22" s="180">
        <v>272758</v>
      </c>
      <c r="BG22" s="180">
        <v>1415</v>
      </c>
      <c r="BH22" s="180">
        <v>183604</v>
      </c>
      <c r="BI22" s="180">
        <v>5278</v>
      </c>
      <c r="BJ22" s="181">
        <v>704326</v>
      </c>
      <c r="BK22" s="179">
        <v>84</v>
      </c>
      <c r="BL22" s="180">
        <v>6071</v>
      </c>
      <c r="BM22" s="180">
        <v>432</v>
      </c>
      <c r="BN22" s="180">
        <v>32599</v>
      </c>
      <c r="BO22" s="180">
        <v>278</v>
      </c>
      <c r="BP22" s="180">
        <v>35372</v>
      </c>
      <c r="BQ22" s="180">
        <v>1687</v>
      </c>
      <c r="BR22" s="180">
        <v>220167</v>
      </c>
      <c r="BS22" s="180">
        <v>397</v>
      </c>
      <c r="BT22" s="180">
        <v>47426</v>
      </c>
      <c r="BU22" s="180">
        <v>2737</v>
      </c>
      <c r="BV22" s="180">
        <v>342401</v>
      </c>
      <c r="BW22" s="180">
        <v>445</v>
      </c>
      <c r="BX22" s="180">
        <v>69053</v>
      </c>
      <c r="BY22" s="180">
        <v>2350</v>
      </c>
      <c r="BZ22" s="180">
        <v>372145</v>
      </c>
      <c r="CA22" s="180">
        <v>1205</v>
      </c>
      <c r="CB22" s="180">
        <v>157922</v>
      </c>
      <c r="CC22" s="180">
        <v>7207</v>
      </c>
      <c r="CD22" s="181">
        <v>967311</v>
      </c>
      <c r="CE22" s="179">
        <v>77</v>
      </c>
      <c r="CF22" s="180">
        <v>6170</v>
      </c>
      <c r="CG22" s="180">
        <v>578</v>
      </c>
      <c r="CH22" s="180">
        <v>44096</v>
      </c>
      <c r="CI22" s="180">
        <v>264</v>
      </c>
      <c r="CJ22" s="180">
        <v>32163</v>
      </c>
      <c r="CK22" s="180">
        <v>2198</v>
      </c>
      <c r="CL22" s="180">
        <v>284803</v>
      </c>
      <c r="CM22" s="180">
        <v>269</v>
      </c>
      <c r="CN22" s="180">
        <v>34608</v>
      </c>
      <c r="CO22" s="180">
        <v>3254</v>
      </c>
      <c r="CP22" s="180">
        <v>408586</v>
      </c>
      <c r="CQ22" s="180">
        <v>385</v>
      </c>
      <c r="CR22" s="180">
        <v>60521</v>
      </c>
      <c r="CS22" s="180">
        <v>2987</v>
      </c>
      <c r="CT22" s="180">
        <v>471272</v>
      </c>
      <c r="CU22" s="180">
        <v>996</v>
      </c>
      <c r="CV22" s="180">
        <v>133462</v>
      </c>
      <c r="CW22" s="180">
        <v>9018</v>
      </c>
      <c r="CX22" s="181">
        <v>1208755</v>
      </c>
      <c r="CY22" s="179"/>
      <c r="CZ22" s="180"/>
      <c r="DA22" s="180"/>
      <c r="DB22" s="180"/>
      <c r="DC22" s="180"/>
      <c r="DD22" s="180"/>
      <c r="DE22" s="180"/>
      <c r="DF22" s="180"/>
      <c r="DG22" s="180"/>
      <c r="DH22" s="180"/>
      <c r="DI22" s="180"/>
      <c r="DJ22" s="180"/>
      <c r="DK22" s="180"/>
      <c r="DL22" s="180"/>
      <c r="DM22" s="180"/>
      <c r="DN22" s="180"/>
      <c r="DO22" s="180"/>
      <c r="DP22" s="180"/>
      <c r="DQ22" s="180"/>
      <c r="DR22" s="181"/>
      <c r="DS22" s="211">
        <v>97</v>
      </c>
      <c r="DT22" s="212">
        <v>7858</v>
      </c>
      <c r="DU22" s="212">
        <v>886</v>
      </c>
      <c r="DV22" s="212">
        <v>69111</v>
      </c>
      <c r="DW22" s="212">
        <v>319</v>
      </c>
      <c r="DX22" s="212">
        <v>43184</v>
      </c>
      <c r="DY22" s="212">
        <v>3270</v>
      </c>
      <c r="DZ22" s="212">
        <v>425223</v>
      </c>
      <c r="EA22" s="212">
        <v>203</v>
      </c>
      <c r="EB22" s="212">
        <v>23771</v>
      </c>
      <c r="EC22" s="212">
        <v>4187</v>
      </c>
      <c r="ED22" s="212">
        <v>530182</v>
      </c>
      <c r="EE22" s="212">
        <v>391</v>
      </c>
      <c r="EF22" s="212">
        <v>61864</v>
      </c>
      <c r="EG22" s="212">
        <v>4338</v>
      </c>
      <c r="EH22" s="212">
        <v>679531</v>
      </c>
      <c r="EI22" s="212">
        <v>1011</v>
      </c>
      <c r="EJ22" s="212">
        <v>136679</v>
      </c>
      <c r="EK22" s="212">
        <v>12680</v>
      </c>
      <c r="EL22" s="213">
        <v>1704045</v>
      </c>
      <c r="EM22" s="179"/>
      <c r="EN22" s="180"/>
      <c r="EO22" s="180"/>
      <c r="EP22" s="180"/>
      <c r="EQ22" s="180"/>
      <c r="ER22" s="180"/>
      <c r="ES22" s="180"/>
      <c r="ET22" s="180"/>
      <c r="EU22" s="180"/>
      <c r="EV22" s="180"/>
      <c r="EW22" s="180"/>
      <c r="EX22" s="180"/>
      <c r="EY22" s="180"/>
      <c r="EZ22" s="180"/>
      <c r="FA22" s="180"/>
      <c r="FB22" s="180"/>
      <c r="FC22" s="180"/>
      <c r="FD22" s="180"/>
      <c r="FE22" s="180"/>
      <c r="FF22" s="181"/>
      <c r="FG22" s="179"/>
      <c r="FH22" s="180"/>
      <c r="FI22" s="180"/>
      <c r="FJ22" s="180"/>
      <c r="FK22" s="180"/>
      <c r="FL22" s="180"/>
      <c r="FM22" s="180"/>
      <c r="FN22" s="180"/>
      <c r="FO22" s="180"/>
      <c r="FP22" s="180"/>
      <c r="FQ22" s="180"/>
      <c r="FR22" s="180"/>
      <c r="FS22" s="180"/>
      <c r="FT22" s="180"/>
      <c r="FU22" s="180"/>
      <c r="FV22" s="180"/>
      <c r="FW22" s="180"/>
      <c r="FX22" s="180"/>
      <c r="FY22" s="180"/>
      <c r="FZ22" s="181"/>
      <c r="GA22" s="179"/>
      <c r="GB22" s="180"/>
      <c r="GC22" s="180"/>
      <c r="GD22" s="180"/>
      <c r="GE22" s="180"/>
      <c r="GF22" s="180"/>
      <c r="GG22" s="180"/>
      <c r="GH22" s="180"/>
      <c r="GI22" s="180"/>
      <c r="GJ22" s="180"/>
      <c r="GK22" s="180"/>
      <c r="GL22" s="180"/>
      <c r="GM22" s="180"/>
      <c r="GN22" s="180"/>
      <c r="GO22" s="180"/>
      <c r="GP22" s="180"/>
      <c r="GQ22" s="180"/>
      <c r="GR22" s="180"/>
      <c r="GS22" s="180"/>
      <c r="GT22" s="181"/>
      <c r="GU22" s="179"/>
      <c r="GV22" s="180"/>
      <c r="GW22" s="180"/>
      <c r="GX22" s="180"/>
      <c r="GY22" s="180"/>
      <c r="GZ22" s="180"/>
      <c r="HA22" s="180"/>
      <c r="HB22" s="180"/>
      <c r="HC22" s="180"/>
      <c r="HD22" s="180"/>
      <c r="HE22" s="180"/>
      <c r="HF22" s="180"/>
      <c r="HG22" s="180"/>
      <c r="HH22" s="180"/>
      <c r="HI22" s="180"/>
      <c r="HJ22" s="180"/>
      <c r="HK22" s="180"/>
      <c r="HL22" s="180"/>
      <c r="HM22" s="180"/>
      <c r="HN22" s="181"/>
      <c r="HO22" s="179"/>
      <c r="HP22" s="180"/>
      <c r="HQ22" s="180"/>
      <c r="HR22" s="180"/>
      <c r="HS22" s="180"/>
      <c r="HT22" s="180"/>
      <c r="HU22" s="180"/>
      <c r="HV22" s="180"/>
      <c r="HW22" s="180"/>
      <c r="HX22" s="180"/>
      <c r="HY22" s="180"/>
      <c r="HZ22" s="180"/>
      <c r="IA22" s="180"/>
      <c r="IB22" s="180"/>
      <c r="IC22" s="180"/>
      <c r="ID22" s="180"/>
      <c r="IE22" s="180"/>
      <c r="IF22" s="180"/>
      <c r="IG22" s="180"/>
      <c r="IH22" s="181"/>
    </row>
    <row r="23" spans="2:242" ht="14">
      <c r="B23" s="175">
        <v>21</v>
      </c>
      <c r="C23" s="211">
        <v>75</v>
      </c>
      <c r="D23" s="212">
        <v>4973</v>
      </c>
      <c r="E23" s="212">
        <v>75</v>
      </c>
      <c r="F23" s="212">
        <v>4973</v>
      </c>
      <c r="G23" s="212">
        <v>286</v>
      </c>
      <c r="H23" s="212">
        <v>34376</v>
      </c>
      <c r="I23" s="212">
        <v>286</v>
      </c>
      <c r="J23" s="212">
        <v>34376</v>
      </c>
      <c r="K23" s="212">
        <v>440</v>
      </c>
      <c r="L23" s="212">
        <v>57741</v>
      </c>
      <c r="M23" s="212">
        <v>440</v>
      </c>
      <c r="N23" s="212">
        <v>57741</v>
      </c>
      <c r="O23" s="212">
        <v>404</v>
      </c>
      <c r="P23" s="212">
        <v>66117</v>
      </c>
      <c r="Q23" s="212">
        <v>404</v>
      </c>
      <c r="R23" s="212">
        <v>66117</v>
      </c>
      <c r="S23" s="212">
        <v>1205</v>
      </c>
      <c r="T23" s="212">
        <v>163207</v>
      </c>
      <c r="U23" s="212">
        <v>1205</v>
      </c>
      <c r="V23" s="213">
        <v>163207</v>
      </c>
      <c r="W23" s="179"/>
      <c r="X23" s="180"/>
      <c r="Y23" s="180"/>
      <c r="Z23" s="180"/>
      <c r="AA23" s="180"/>
      <c r="AB23" s="180"/>
      <c r="AC23" s="180"/>
      <c r="AD23" s="180"/>
      <c r="AE23" s="180"/>
      <c r="AF23" s="180"/>
      <c r="AG23" s="180"/>
      <c r="AH23" s="180"/>
      <c r="AI23" s="180"/>
      <c r="AJ23" s="180"/>
      <c r="AK23" s="180"/>
      <c r="AL23" s="180"/>
      <c r="AM23" s="180"/>
      <c r="AN23" s="180"/>
      <c r="AO23" s="180"/>
      <c r="AP23" s="181"/>
      <c r="AQ23" s="179"/>
      <c r="AR23" s="180"/>
      <c r="AS23" s="180"/>
      <c r="AT23" s="180"/>
      <c r="AU23" s="180"/>
      <c r="AV23" s="180"/>
      <c r="AW23" s="180"/>
      <c r="AX23" s="180"/>
      <c r="AY23" s="180"/>
      <c r="AZ23" s="180"/>
      <c r="BA23" s="180"/>
      <c r="BB23" s="180"/>
      <c r="BC23" s="180"/>
      <c r="BD23" s="180"/>
      <c r="BE23" s="180"/>
      <c r="BF23" s="180"/>
      <c r="BG23" s="180"/>
      <c r="BH23" s="180"/>
      <c r="BI23" s="180"/>
      <c r="BJ23" s="181"/>
      <c r="BK23" s="179">
        <v>89</v>
      </c>
      <c r="BL23" s="180">
        <v>6462</v>
      </c>
      <c r="BM23" s="180">
        <v>437</v>
      </c>
      <c r="BN23" s="180">
        <v>32991</v>
      </c>
      <c r="BO23" s="180">
        <v>307</v>
      </c>
      <c r="BP23" s="180">
        <v>39431</v>
      </c>
      <c r="BQ23" s="180">
        <v>1716</v>
      </c>
      <c r="BR23" s="180">
        <v>224226</v>
      </c>
      <c r="BS23" s="180">
        <v>410</v>
      </c>
      <c r="BT23" s="180">
        <v>48703</v>
      </c>
      <c r="BU23" s="180">
        <v>2750</v>
      </c>
      <c r="BV23" s="180">
        <v>343677</v>
      </c>
      <c r="BW23" s="180">
        <v>480</v>
      </c>
      <c r="BX23" s="180">
        <v>73387</v>
      </c>
      <c r="BY23" s="180">
        <v>2384</v>
      </c>
      <c r="BZ23" s="180">
        <v>376479</v>
      </c>
      <c r="CA23" s="180">
        <v>1284</v>
      </c>
      <c r="CB23" s="180">
        <v>167985</v>
      </c>
      <c r="CC23" s="180">
        <v>7287</v>
      </c>
      <c r="CD23" s="181">
        <v>977374</v>
      </c>
      <c r="CE23" s="179">
        <v>77</v>
      </c>
      <c r="CF23" s="180">
        <v>6170</v>
      </c>
      <c r="CG23" s="180">
        <v>578</v>
      </c>
      <c r="CH23" s="180">
        <v>44096</v>
      </c>
      <c r="CI23" s="180">
        <v>288</v>
      </c>
      <c r="CJ23" s="180">
        <v>34999</v>
      </c>
      <c r="CK23" s="180">
        <v>2222</v>
      </c>
      <c r="CL23" s="180">
        <v>287640</v>
      </c>
      <c r="CM23" s="180">
        <v>287</v>
      </c>
      <c r="CN23" s="180">
        <v>37528</v>
      </c>
      <c r="CO23" s="180">
        <v>3272</v>
      </c>
      <c r="CP23" s="180">
        <v>411505</v>
      </c>
      <c r="CQ23" s="180">
        <v>427</v>
      </c>
      <c r="CR23" s="180">
        <v>66440</v>
      </c>
      <c r="CS23" s="180">
        <v>3028</v>
      </c>
      <c r="CT23" s="180">
        <v>477191</v>
      </c>
      <c r="CU23" s="180">
        <v>1079</v>
      </c>
      <c r="CV23" s="180">
        <v>145137</v>
      </c>
      <c r="CW23" s="180">
        <v>9101</v>
      </c>
      <c r="CX23" s="181">
        <v>1220431</v>
      </c>
      <c r="CY23" s="179"/>
      <c r="CZ23" s="180"/>
      <c r="DA23" s="180"/>
      <c r="DB23" s="180"/>
      <c r="DC23" s="180"/>
      <c r="DD23" s="180"/>
      <c r="DE23" s="180"/>
      <c r="DF23" s="180"/>
      <c r="DG23" s="180"/>
      <c r="DH23" s="180"/>
      <c r="DI23" s="180"/>
      <c r="DJ23" s="180"/>
      <c r="DK23" s="180"/>
      <c r="DL23" s="180"/>
      <c r="DM23" s="180"/>
      <c r="DN23" s="180"/>
      <c r="DO23" s="180"/>
      <c r="DP23" s="180"/>
      <c r="DQ23" s="180"/>
      <c r="DR23" s="181"/>
      <c r="DS23" s="211">
        <v>128</v>
      </c>
      <c r="DT23" s="212">
        <v>10081</v>
      </c>
      <c r="DU23" s="212">
        <v>917</v>
      </c>
      <c r="DV23" s="212">
        <v>71333</v>
      </c>
      <c r="DW23" s="212">
        <v>341</v>
      </c>
      <c r="DX23" s="212">
        <v>46440</v>
      </c>
      <c r="DY23" s="212">
        <v>3292</v>
      </c>
      <c r="DZ23" s="212">
        <v>428479</v>
      </c>
      <c r="EA23" s="212">
        <v>203</v>
      </c>
      <c r="EB23" s="212">
        <v>23677</v>
      </c>
      <c r="EC23" s="212">
        <v>4187</v>
      </c>
      <c r="ED23" s="212">
        <v>530087</v>
      </c>
      <c r="EE23" s="212">
        <v>427</v>
      </c>
      <c r="EF23" s="212">
        <v>67172</v>
      </c>
      <c r="EG23" s="212">
        <v>4374</v>
      </c>
      <c r="EH23" s="212">
        <v>684838</v>
      </c>
      <c r="EI23" s="212">
        <v>1100</v>
      </c>
      <c r="EJ23" s="212">
        <v>147371</v>
      </c>
      <c r="EK23" s="212">
        <v>12769</v>
      </c>
      <c r="EL23" s="213">
        <v>1714738</v>
      </c>
      <c r="EM23" s="179"/>
      <c r="EN23" s="180"/>
      <c r="EO23" s="180"/>
      <c r="EP23" s="180"/>
      <c r="EQ23" s="180"/>
      <c r="ER23" s="180"/>
      <c r="ES23" s="180"/>
      <c r="ET23" s="180"/>
      <c r="EU23" s="180"/>
      <c r="EV23" s="180"/>
      <c r="EW23" s="180"/>
      <c r="EX23" s="180"/>
      <c r="EY23" s="180"/>
      <c r="EZ23" s="180"/>
      <c r="FA23" s="180"/>
      <c r="FB23" s="180"/>
      <c r="FC23" s="180"/>
      <c r="FD23" s="180"/>
      <c r="FE23" s="180"/>
      <c r="FF23" s="181"/>
      <c r="FG23" s="179"/>
      <c r="FH23" s="180"/>
      <c r="FI23" s="180"/>
      <c r="FJ23" s="180"/>
      <c r="FK23" s="180"/>
      <c r="FL23" s="180"/>
      <c r="FM23" s="180"/>
      <c r="FN23" s="180"/>
      <c r="FO23" s="180"/>
      <c r="FP23" s="180"/>
      <c r="FQ23" s="180"/>
      <c r="FR23" s="180"/>
      <c r="FS23" s="180"/>
      <c r="FT23" s="180"/>
      <c r="FU23" s="180"/>
      <c r="FV23" s="180"/>
      <c r="FW23" s="180"/>
      <c r="FX23" s="180"/>
      <c r="FY23" s="180"/>
      <c r="FZ23" s="181"/>
      <c r="GA23" s="179"/>
      <c r="GB23" s="180"/>
      <c r="GC23" s="180"/>
      <c r="GD23" s="180"/>
      <c r="GE23" s="180"/>
      <c r="GF23" s="180"/>
      <c r="GG23" s="180"/>
      <c r="GH23" s="180"/>
      <c r="GI23" s="180"/>
      <c r="GJ23" s="180"/>
      <c r="GK23" s="180"/>
      <c r="GL23" s="180"/>
      <c r="GM23" s="180"/>
      <c r="GN23" s="180"/>
      <c r="GO23" s="180"/>
      <c r="GP23" s="180"/>
      <c r="GQ23" s="180"/>
      <c r="GR23" s="180"/>
      <c r="GS23" s="180"/>
      <c r="GT23" s="181"/>
      <c r="GU23" s="179"/>
      <c r="GV23" s="180"/>
      <c r="GW23" s="180"/>
      <c r="GX23" s="180"/>
      <c r="GY23" s="180"/>
      <c r="GZ23" s="180"/>
      <c r="HA23" s="180"/>
      <c r="HB23" s="180"/>
      <c r="HC23" s="180"/>
      <c r="HD23" s="180"/>
      <c r="HE23" s="180"/>
      <c r="HF23" s="180"/>
      <c r="HG23" s="180"/>
      <c r="HH23" s="180"/>
      <c r="HI23" s="180"/>
      <c r="HJ23" s="180"/>
      <c r="HK23" s="180"/>
      <c r="HL23" s="180"/>
      <c r="HM23" s="180"/>
      <c r="HN23" s="181"/>
      <c r="HO23" s="179"/>
      <c r="HP23" s="180"/>
      <c r="HQ23" s="180"/>
      <c r="HR23" s="180"/>
      <c r="HS23" s="180"/>
      <c r="HT23" s="180"/>
      <c r="HU23" s="180"/>
      <c r="HV23" s="180"/>
      <c r="HW23" s="180"/>
      <c r="HX23" s="180"/>
      <c r="HY23" s="180"/>
      <c r="HZ23" s="180"/>
      <c r="IA23" s="180"/>
      <c r="IB23" s="180"/>
      <c r="IC23" s="180"/>
      <c r="ID23" s="180"/>
      <c r="IE23" s="180"/>
      <c r="IF23" s="180"/>
      <c r="IG23" s="180"/>
      <c r="IH23" s="181"/>
    </row>
    <row r="24" spans="2:242" ht="14">
      <c r="B24" s="175">
        <v>22</v>
      </c>
      <c r="C24" s="211">
        <v>75</v>
      </c>
      <c r="D24" s="212">
        <v>4973</v>
      </c>
      <c r="E24" s="212">
        <v>75</v>
      </c>
      <c r="F24" s="212">
        <v>4973</v>
      </c>
      <c r="G24" s="212">
        <v>303</v>
      </c>
      <c r="H24" s="212">
        <v>36502</v>
      </c>
      <c r="I24" s="212">
        <v>303</v>
      </c>
      <c r="J24" s="212">
        <v>36502</v>
      </c>
      <c r="K24" s="212">
        <v>482</v>
      </c>
      <c r="L24" s="212">
        <v>62457</v>
      </c>
      <c r="M24" s="212">
        <v>482</v>
      </c>
      <c r="N24" s="212">
        <v>62457</v>
      </c>
      <c r="O24" s="212">
        <v>439</v>
      </c>
      <c r="P24" s="212">
        <v>71504</v>
      </c>
      <c r="Q24" s="212">
        <v>439</v>
      </c>
      <c r="R24" s="212">
        <v>71504</v>
      </c>
      <c r="S24" s="212">
        <v>1299</v>
      </c>
      <c r="T24" s="212">
        <v>175437</v>
      </c>
      <c r="U24" s="212">
        <v>1299</v>
      </c>
      <c r="V24" s="213">
        <v>175437</v>
      </c>
      <c r="W24" s="179"/>
      <c r="X24" s="180"/>
      <c r="Y24" s="180"/>
      <c r="Z24" s="180"/>
      <c r="AA24" s="180"/>
      <c r="AB24" s="180"/>
      <c r="AC24" s="180"/>
      <c r="AD24" s="180"/>
      <c r="AE24" s="180"/>
      <c r="AF24" s="180"/>
      <c r="AG24" s="180"/>
      <c r="AH24" s="180"/>
      <c r="AI24" s="180"/>
      <c r="AJ24" s="180"/>
      <c r="AK24" s="180"/>
      <c r="AL24" s="180"/>
      <c r="AM24" s="180"/>
      <c r="AN24" s="180"/>
      <c r="AO24" s="180"/>
      <c r="AP24" s="181"/>
      <c r="AQ24" s="179"/>
      <c r="AR24" s="180"/>
      <c r="AS24" s="180"/>
      <c r="AT24" s="180"/>
      <c r="AU24" s="180"/>
      <c r="AV24" s="180"/>
      <c r="AW24" s="180"/>
      <c r="AX24" s="180"/>
      <c r="AY24" s="180"/>
      <c r="AZ24" s="180"/>
      <c r="BA24" s="180"/>
      <c r="BB24" s="180"/>
      <c r="BC24" s="180"/>
      <c r="BD24" s="180"/>
      <c r="BE24" s="180"/>
      <c r="BF24" s="180"/>
      <c r="BG24" s="180"/>
      <c r="BH24" s="180"/>
      <c r="BI24" s="180"/>
      <c r="BJ24" s="181"/>
      <c r="BK24" s="179">
        <v>90</v>
      </c>
      <c r="BL24" s="180">
        <v>6565</v>
      </c>
      <c r="BM24" s="180">
        <v>439</v>
      </c>
      <c r="BN24" s="180">
        <v>33093</v>
      </c>
      <c r="BO24" s="180">
        <v>337</v>
      </c>
      <c r="BP24" s="180">
        <v>44173</v>
      </c>
      <c r="BQ24" s="180">
        <v>1746</v>
      </c>
      <c r="BR24" s="180">
        <v>228969</v>
      </c>
      <c r="BS24" s="180">
        <v>417</v>
      </c>
      <c r="BT24" s="180">
        <v>49910</v>
      </c>
      <c r="BU24" s="180">
        <v>2757</v>
      </c>
      <c r="BV24" s="180">
        <v>344885</v>
      </c>
      <c r="BW24" s="180">
        <v>511</v>
      </c>
      <c r="BX24" s="180">
        <v>77844</v>
      </c>
      <c r="BY24" s="180">
        <v>2416</v>
      </c>
      <c r="BZ24" s="180">
        <v>380935</v>
      </c>
      <c r="CA24" s="180">
        <v>1356</v>
      </c>
      <c r="CB24" s="180">
        <v>178492</v>
      </c>
      <c r="CC24" s="180">
        <v>7358</v>
      </c>
      <c r="CD24" s="181">
        <v>987882</v>
      </c>
      <c r="CE24" s="211">
        <v>87</v>
      </c>
      <c r="CF24" s="212">
        <v>6986</v>
      </c>
      <c r="CG24" s="212">
        <v>588</v>
      </c>
      <c r="CH24" s="212">
        <v>44911</v>
      </c>
      <c r="CI24" s="212">
        <v>339</v>
      </c>
      <c r="CJ24" s="212">
        <v>42633</v>
      </c>
      <c r="CK24" s="212">
        <v>2273</v>
      </c>
      <c r="CL24" s="212">
        <v>295273</v>
      </c>
      <c r="CM24" s="212">
        <v>335</v>
      </c>
      <c r="CN24" s="212">
        <v>44839</v>
      </c>
      <c r="CO24" s="212">
        <v>3321</v>
      </c>
      <c r="CP24" s="212">
        <v>418817</v>
      </c>
      <c r="CQ24" s="212">
        <v>447</v>
      </c>
      <c r="CR24" s="212">
        <v>69317</v>
      </c>
      <c r="CS24" s="212">
        <v>3049</v>
      </c>
      <c r="CT24" s="212">
        <v>480068</v>
      </c>
      <c r="CU24" s="212">
        <v>1209</v>
      </c>
      <c r="CV24" s="212">
        <v>163776</v>
      </c>
      <c r="CW24" s="212">
        <v>9231</v>
      </c>
      <c r="CX24" s="213">
        <v>1239068</v>
      </c>
      <c r="CY24" s="211">
        <v>134</v>
      </c>
      <c r="CZ24" s="212">
        <v>10772</v>
      </c>
      <c r="DA24" s="212">
        <v>734</v>
      </c>
      <c r="DB24" s="212">
        <v>56519</v>
      </c>
      <c r="DC24" s="212">
        <v>413</v>
      </c>
      <c r="DD24" s="212">
        <v>54505</v>
      </c>
      <c r="DE24" s="212">
        <v>2769</v>
      </c>
      <c r="DF24" s="212">
        <v>359498</v>
      </c>
      <c r="DG24" s="212">
        <v>348</v>
      </c>
      <c r="DH24" s="212">
        <v>47776</v>
      </c>
      <c r="DI24" s="212">
        <v>3847</v>
      </c>
      <c r="DJ24" s="212">
        <v>487209</v>
      </c>
      <c r="DK24" s="212">
        <v>533</v>
      </c>
      <c r="DL24" s="212">
        <v>81012</v>
      </c>
      <c r="DM24" s="212">
        <v>3727</v>
      </c>
      <c r="DN24" s="212">
        <v>582752</v>
      </c>
      <c r="DO24" s="212">
        <v>1428</v>
      </c>
      <c r="DP24" s="212">
        <v>194066</v>
      </c>
      <c r="DQ24" s="212">
        <v>11075</v>
      </c>
      <c r="DR24" s="213">
        <v>1485979</v>
      </c>
      <c r="DS24" s="211">
        <v>167</v>
      </c>
      <c r="DT24" s="212">
        <v>13425</v>
      </c>
      <c r="DU24" s="212">
        <v>956</v>
      </c>
      <c r="DV24" s="212">
        <v>74677</v>
      </c>
      <c r="DW24" s="212">
        <v>360</v>
      </c>
      <c r="DX24" s="212">
        <v>48924</v>
      </c>
      <c r="DY24" s="212">
        <v>3310</v>
      </c>
      <c r="DZ24" s="212">
        <v>430961</v>
      </c>
      <c r="EA24" s="212">
        <v>224</v>
      </c>
      <c r="EB24" s="212">
        <v>25987</v>
      </c>
      <c r="EC24" s="212">
        <v>4208</v>
      </c>
      <c r="ED24" s="212">
        <v>532398</v>
      </c>
      <c r="EE24" s="212">
        <v>464</v>
      </c>
      <c r="EF24" s="212">
        <v>72281</v>
      </c>
      <c r="EG24" s="212">
        <v>4410</v>
      </c>
      <c r="EH24" s="212">
        <v>689947</v>
      </c>
      <c r="EI24" s="212">
        <v>1216</v>
      </c>
      <c r="EJ24" s="212">
        <v>160617</v>
      </c>
      <c r="EK24" s="212">
        <v>12885</v>
      </c>
      <c r="EL24" s="213">
        <v>1727982</v>
      </c>
      <c r="EM24" s="179"/>
      <c r="EN24" s="180"/>
      <c r="EO24" s="180"/>
      <c r="EP24" s="180"/>
      <c r="EQ24" s="180"/>
      <c r="ER24" s="180"/>
      <c r="ES24" s="180"/>
      <c r="ET24" s="180"/>
      <c r="EU24" s="180"/>
      <c r="EV24" s="180"/>
      <c r="EW24" s="180"/>
      <c r="EX24" s="180"/>
      <c r="EY24" s="180"/>
      <c r="EZ24" s="180"/>
      <c r="FA24" s="180"/>
      <c r="FB24" s="180"/>
      <c r="FC24" s="180"/>
      <c r="FD24" s="180"/>
      <c r="FE24" s="180"/>
      <c r="FF24" s="181"/>
      <c r="FG24" s="179"/>
      <c r="FH24" s="180"/>
      <c r="FI24" s="180"/>
      <c r="FJ24" s="180"/>
      <c r="FK24" s="180"/>
      <c r="FL24" s="180"/>
      <c r="FM24" s="180"/>
      <c r="FN24" s="180"/>
      <c r="FO24" s="180"/>
      <c r="FP24" s="180"/>
      <c r="FQ24" s="180"/>
      <c r="FR24" s="180"/>
      <c r="FS24" s="180"/>
      <c r="FT24" s="180"/>
      <c r="FU24" s="180"/>
      <c r="FV24" s="180"/>
      <c r="FW24" s="180"/>
      <c r="FX24" s="180"/>
      <c r="FY24" s="180"/>
      <c r="FZ24" s="181"/>
      <c r="GA24" s="179"/>
      <c r="GB24" s="180"/>
      <c r="GC24" s="180"/>
      <c r="GD24" s="180"/>
      <c r="GE24" s="180"/>
      <c r="GF24" s="180"/>
      <c r="GG24" s="180"/>
      <c r="GH24" s="180"/>
      <c r="GI24" s="180"/>
      <c r="GJ24" s="180"/>
      <c r="GK24" s="180"/>
      <c r="GL24" s="180"/>
      <c r="GM24" s="180"/>
      <c r="GN24" s="180"/>
      <c r="GO24" s="180"/>
      <c r="GP24" s="180"/>
      <c r="GQ24" s="180"/>
      <c r="GR24" s="180"/>
      <c r="GS24" s="180"/>
      <c r="GT24" s="181"/>
      <c r="GU24" s="179"/>
      <c r="GV24" s="180"/>
      <c r="GW24" s="180"/>
      <c r="GX24" s="180"/>
      <c r="GY24" s="180"/>
      <c r="GZ24" s="180"/>
      <c r="HA24" s="180"/>
      <c r="HB24" s="180"/>
      <c r="HC24" s="180"/>
      <c r="HD24" s="180"/>
      <c r="HE24" s="180"/>
      <c r="HF24" s="180"/>
      <c r="HG24" s="180"/>
      <c r="HH24" s="180"/>
      <c r="HI24" s="180"/>
      <c r="HJ24" s="180"/>
      <c r="HK24" s="180"/>
      <c r="HL24" s="180"/>
      <c r="HM24" s="180"/>
      <c r="HN24" s="181"/>
      <c r="HO24" s="179"/>
      <c r="HP24" s="180"/>
      <c r="HQ24" s="180"/>
      <c r="HR24" s="180"/>
      <c r="HS24" s="180"/>
      <c r="HT24" s="180"/>
      <c r="HU24" s="180"/>
      <c r="HV24" s="180"/>
      <c r="HW24" s="180"/>
      <c r="HX24" s="180"/>
      <c r="HY24" s="180"/>
      <c r="HZ24" s="180"/>
      <c r="IA24" s="180"/>
      <c r="IB24" s="180"/>
      <c r="IC24" s="180"/>
      <c r="ID24" s="180"/>
      <c r="IE24" s="180"/>
      <c r="IF24" s="180"/>
      <c r="IG24" s="180"/>
      <c r="IH24" s="181"/>
    </row>
    <row r="25" spans="2:242" ht="14">
      <c r="B25" s="175">
        <v>23</v>
      </c>
      <c r="C25" s="211">
        <v>75</v>
      </c>
      <c r="D25" s="212">
        <v>4973</v>
      </c>
      <c r="E25" s="212">
        <v>75</v>
      </c>
      <c r="F25" s="212">
        <v>4973</v>
      </c>
      <c r="G25" s="212">
        <v>328</v>
      </c>
      <c r="H25" s="212">
        <v>40266</v>
      </c>
      <c r="I25" s="212">
        <v>328</v>
      </c>
      <c r="J25" s="212">
        <v>40266</v>
      </c>
      <c r="K25" s="212">
        <v>540</v>
      </c>
      <c r="L25" s="212">
        <v>69242</v>
      </c>
      <c r="M25" s="212">
        <v>540</v>
      </c>
      <c r="N25" s="212">
        <v>69242</v>
      </c>
      <c r="O25" s="212">
        <v>472</v>
      </c>
      <c r="P25" s="212">
        <v>77170</v>
      </c>
      <c r="Q25" s="212">
        <v>472</v>
      </c>
      <c r="R25" s="212">
        <v>77170</v>
      </c>
      <c r="S25" s="212">
        <v>1416</v>
      </c>
      <c r="T25" s="212">
        <v>191652</v>
      </c>
      <c r="U25" s="212">
        <v>1416</v>
      </c>
      <c r="V25" s="213">
        <v>191652</v>
      </c>
      <c r="W25" s="179">
        <v>109</v>
      </c>
      <c r="X25" s="180">
        <v>8933</v>
      </c>
      <c r="Y25" s="180">
        <v>210</v>
      </c>
      <c r="Z25" s="180">
        <v>15632</v>
      </c>
      <c r="AA25" s="180">
        <v>348</v>
      </c>
      <c r="AB25" s="180">
        <v>49372</v>
      </c>
      <c r="AC25" s="180">
        <v>798</v>
      </c>
      <c r="AD25" s="180">
        <v>104945</v>
      </c>
      <c r="AE25" s="180">
        <v>561</v>
      </c>
      <c r="AF25" s="180">
        <v>70814</v>
      </c>
      <c r="AG25" s="180">
        <v>1331</v>
      </c>
      <c r="AH25" s="180">
        <v>166525</v>
      </c>
      <c r="AI25" s="180">
        <v>474</v>
      </c>
      <c r="AJ25" s="180">
        <v>78519</v>
      </c>
      <c r="AK25" s="180">
        <v>1098</v>
      </c>
      <c r="AL25" s="180">
        <v>182537</v>
      </c>
      <c r="AM25" s="180">
        <v>1491</v>
      </c>
      <c r="AN25" s="180">
        <v>207638</v>
      </c>
      <c r="AO25" s="180">
        <v>3438</v>
      </c>
      <c r="AP25" s="181">
        <v>469642</v>
      </c>
      <c r="AQ25" s="179">
        <v>75</v>
      </c>
      <c r="AR25" s="180">
        <v>5824</v>
      </c>
      <c r="AS25" s="180">
        <v>332</v>
      </c>
      <c r="AT25" s="180">
        <v>25376</v>
      </c>
      <c r="AU25" s="180">
        <v>333</v>
      </c>
      <c r="AV25" s="180">
        <v>41132</v>
      </c>
      <c r="AW25" s="180">
        <v>1244</v>
      </c>
      <c r="AX25" s="180">
        <v>159486</v>
      </c>
      <c r="AY25" s="180">
        <v>541</v>
      </c>
      <c r="AZ25" s="180">
        <v>64575</v>
      </c>
      <c r="BA25" s="180">
        <v>2027</v>
      </c>
      <c r="BB25" s="180">
        <v>248757</v>
      </c>
      <c r="BC25" s="180">
        <v>525</v>
      </c>
      <c r="BD25" s="180">
        <v>80018</v>
      </c>
      <c r="BE25" s="180">
        <v>1736</v>
      </c>
      <c r="BF25" s="180">
        <v>278652</v>
      </c>
      <c r="BG25" s="180">
        <v>1475</v>
      </c>
      <c r="BH25" s="180">
        <v>191550</v>
      </c>
      <c r="BI25" s="180">
        <v>5338</v>
      </c>
      <c r="BJ25" s="181">
        <v>712270</v>
      </c>
      <c r="BK25" s="179">
        <v>97</v>
      </c>
      <c r="BL25" s="180">
        <v>6968</v>
      </c>
      <c r="BM25" s="180">
        <v>445</v>
      </c>
      <c r="BN25" s="180">
        <v>33495</v>
      </c>
      <c r="BO25" s="180">
        <v>360</v>
      </c>
      <c r="BP25" s="180">
        <v>46800</v>
      </c>
      <c r="BQ25" s="180">
        <v>1768</v>
      </c>
      <c r="BR25" s="180">
        <v>231594</v>
      </c>
      <c r="BS25" s="180">
        <v>446</v>
      </c>
      <c r="BT25" s="180">
        <v>55153</v>
      </c>
      <c r="BU25" s="180">
        <v>2786</v>
      </c>
      <c r="BV25" s="180">
        <v>350128</v>
      </c>
      <c r="BW25" s="180">
        <v>544</v>
      </c>
      <c r="BX25" s="180">
        <v>83024</v>
      </c>
      <c r="BY25" s="180">
        <v>2448</v>
      </c>
      <c r="BZ25" s="180">
        <v>386116</v>
      </c>
      <c r="CA25" s="180">
        <v>1446</v>
      </c>
      <c r="CB25" s="180">
        <v>191943</v>
      </c>
      <c r="CC25" s="180">
        <v>7448</v>
      </c>
      <c r="CD25" s="181">
        <v>1001333</v>
      </c>
      <c r="CE25" s="179"/>
      <c r="CF25" s="180"/>
      <c r="CG25" s="180"/>
      <c r="CH25" s="180"/>
      <c r="CI25" s="180"/>
      <c r="CJ25" s="180"/>
      <c r="CK25" s="180"/>
      <c r="CL25" s="180"/>
      <c r="CM25" s="180"/>
      <c r="CN25" s="180"/>
      <c r="CO25" s="180"/>
      <c r="CP25" s="180"/>
      <c r="CQ25" s="180"/>
      <c r="CR25" s="180"/>
      <c r="CS25" s="180"/>
      <c r="CT25" s="180"/>
      <c r="CU25" s="180"/>
      <c r="CV25" s="180"/>
      <c r="CW25" s="180"/>
      <c r="CX25" s="181"/>
      <c r="CY25" s="211">
        <v>139</v>
      </c>
      <c r="CZ25" s="212">
        <v>11213</v>
      </c>
      <c r="DA25" s="212">
        <v>738</v>
      </c>
      <c r="DB25" s="212">
        <v>56960</v>
      </c>
      <c r="DC25" s="212">
        <v>442</v>
      </c>
      <c r="DD25" s="212">
        <v>58757</v>
      </c>
      <c r="DE25" s="212">
        <v>2798</v>
      </c>
      <c r="DF25" s="212">
        <v>363748</v>
      </c>
      <c r="DG25" s="212">
        <v>362</v>
      </c>
      <c r="DH25" s="212">
        <v>49563</v>
      </c>
      <c r="DI25" s="212">
        <v>3861</v>
      </c>
      <c r="DJ25" s="212">
        <v>488996</v>
      </c>
      <c r="DK25" s="212">
        <v>582</v>
      </c>
      <c r="DL25" s="212">
        <v>88036</v>
      </c>
      <c r="DM25" s="212">
        <v>3776</v>
      </c>
      <c r="DN25" s="212">
        <v>589777</v>
      </c>
      <c r="DO25" s="212">
        <v>1525</v>
      </c>
      <c r="DP25" s="212">
        <v>207568</v>
      </c>
      <c r="DQ25" s="212">
        <v>11172</v>
      </c>
      <c r="DR25" s="213">
        <v>1499481</v>
      </c>
      <c r="DS25" s="211">
        <v>174</v>
      </c>
      <c r="DT25" s="212">
        <v>14057</v>
      </c>
      <c r="DU25" s="212">
        <v>963</v>
      </c>
      <c r="DV25" s="212">
        <v>75309</v>
      </c>
      <c r="DW25" s="212">
        <v>388</v>
      </c>
      <c r="DX25" s="212">
        <v>52636</v>
      </c>
      <c r="DY25" s="212">
        <v>3338</v>
      </c>
      <c r="DZ25" s="212">
        <v>434675</v>
      </c>
      <c r="EA25" s="212">
        <v>239</v>
      </c>
      <c r="EB25" s="212">
        <v>28386</v>
      </c>
      <c r="EC25" s="212">
        <v>4223</v>
      </c>
      <c r="ED25" s="212">
        <v>534797</v>
      </c>
      <c r="EE25" s="212">
        <v>502</v>
      </c>
      <c r="EF25" s="212">
        <v>78961</v>
      </c>
      <c r="EG25" s="212">
        <v>4449</v>
      </c>
      <c r="EH25" s="212">
        <v>696627</v>
      </c>
      <c r="EI25" s="212">
        <v>1304</v>
      </c>
      <c r="EJ25" s="212">
        <v>174040</v>
      </c>
      <c r="EK25" s="212">
        <v>12972</v>
      </c>
      <c r="EL25" s="213">
        <v>1741407</v>
      </c>
      <c r="EM25" s="179"/>
      <c r="EN25" s="180"/>
      <c r="EO25" s="180"/>
      <c r="EP25" s="180"/>
      <c r="EQ25" s="180"/>
      <c r="ER25" s="180"/>
      <c r="ES25" s="180"/>
      <c r="ET25" s="180"/>
      <c r="EU25" s="180"/>
      <c r="EV25" s="180"/>
      <c r="EW25" s="180"/>
      <c r="EX25" s="180"/>
      <c r="EY25" s="180"/>
      <c r="EZ25" s="180"/>
      <c r="FA25" s="180"/>
      <c r="FB25" s="180"/>
      <c r="FC25" s="180"/>
      <c r="FD25" s="180"/>
      <c r="FE25" s="180"/>
      <c r="FF25" s="181"/>
      <c r="FG25" s="179"/>
      <c r="FH25" s="180"/>
      <c r="FI25" s="180"/>
      <c r="FJ25" s="180"/>
      <c r="FK25" s="180"/>
      <c r="FL25" s="180"/>
      <c r="FM25" s="180"/>
      <c r="FN25" s="180"/>
      <c r="FO25" s="180"/>
      <c r="FP25" s="180"/>
      <c r="FQ25" s="180"/>
      <c r="FR25" s="180"/>
      <c r="FS25" s="180"/>
      <c r="FT25" s="180"/>
      <c r="FU25" s="180"/>
      <c r="FV25" s="180"/>
      <c r="FW25" s="180"/>
      <c r="FX25" s="180"/>
      <c r="FY25" s="180"/>
      <c r="FZ25" s="181"/>
      <c r="GA25" s="179"/>
      <c r="GB25" s="180"/>
      <c r="GC25" s="180"/>
      <c r="GD25" s="180"/>
      <c r="GE25" s="180"/>
      <c r="GF25" s="180"/>
      <c r="GG25" s="180"/>
      <c r="GH25" s="180"/>
      <c r="GI25" s="180"/>
      <c r="GJ25" s="180"/>
      <c r="GK25" s="180"/>
      <c r="GL25" s="180"/>
      <c r="GM25" s="180"/>
      <c r="GN25" s="180"/>
      <c r="GO25" s="180"/>
      <c r="GP25" s="180"/>
      <c r="GQ25" s="180"/>
      <c r="GR25" s="180"/>
      <c r="GS25" s="180"/>
      <c r="GT25" s="181"/>
      <c r="GU25" s="179"/>
      <c r="GV25" s="180"/>
      <c r="GW25" s="180"/>
      <c r="GX25" s="180"/>
      <c r="GY25" s="180"/>
      <c r="GZ25" s="180"/>
      <c r="HA25" s="180"/>
      <c r="HB25" s="180"/>
      <c r="HC25" s="180"/>
      <c r="HD25" s="180"/>
      <c r="HE25" s="180"/>
      <c r="HF25" s="180"/>
      <c r="HG25" s="180"/>
      <c r="HH25" s="180"/>
      <c r="HI25" s="180"/>
      <c r="HJ25" s="180"/>
      <c r="HK25" s="180"/>
      <c r="HL25" s="180"/>
      <c r="HM25" s="180"/>
      <c r="HN25" s="181"/>
      <c r="HO25" s="179"/>
      <c r="HP25" s="180"/>
      <c r="HQ25" s="180"/>
      <c r="HR25" s="180"/>
      <c r="HS25" s="180"/>
      <c r="HT25" s="180"/>
      <c r="HU25" s="180"/>
      <c r="HV25" s="180"/>
      <c r="HW25" s="180"/>
      <c r="HX25" s="180"/>
      <c r="HY25" s="180"/>
      <c r="HZ25" s="180"/>
      <c r="IA25" s="180"/>
      <c r="IB25" s="180"/>
      <c r="IC25" s="180"/>
      <c r="ID25" s="180"/>
      <c r="IE25" s="180"/>
      <c r="IF25" s="180"/>
      <c r="IG25" s="180"/>
      <c r="IH25" s="181"/>
    </row>
    <row r="26" spans="2:242" ht="14">
      <c r="B26" s="175">
        <v>24</v>
      </c>
      <c r="C26" s="211"/>
      <c r="D26" s="212"/>
      <c r="E26" s="212"/>
      <c r="F26" s="212"/>
      <c r="G26" s="212"/>
      <c r="H26" s="212"/>
      <c r="I26" s="212"/>
      <c r="J26" s="212"/>
      <c r="K26" s="212"/>
      <c r="L26" s="212"/>
      <c r="M26" s="212"/>
      <c r="N26" s="212"/>
      <c r="O26" s="212"/>
      <c r="P26" s="212"/>
      <c r="Q26" s="212"/>
      <c r="R26" s="212"/>
      <c r="S26" s="212"/>
      <c r="T26" s="212"/>
      <c r="U26" s="212"/>
      <c r="V26" s="213"/>
      <c r="W26" s="179">
        <v>112</v>
      </c>
      <c r="X26" s="180">
        <v>9117</v>
      </c>
      <c r="Y26" s="180">
        <v>213</v>
      </c>
      <c r="Z26" s="180">
        <v>15816</v>
      </c>
      <c r="AA26" s="180">
        <v>386</v>
      </c>
      <c r="AB26" s="180">
        <v>54238</v>
      </c>
      <c r="AC26" s="180">
        <v>836</v>
      </c>
      <c r="AD26" s="180">
        <v>109810</v>
      </c>
      <c r="AE26" s="180">
        <v>570</v>
      </c>
      <c r="AF26" s="180">
        <v>71721</v>
      </c>
      <c r="AG26" s="180">
        <v>1340</v>
      </c>
      <c r="AH26" s="180">
        <v>167432</v>
      </c>
      <c r="AI26" s="180">
        <v>511</v>
      </c>
      <c r="AJ26" s="180">
        <v>83562</v>
      </c>
      <c r="AK26" s="180">
        <v>1135</v>
      </c>
      <c r="AL26" s="180">
        <v>187582</v>
      </c>
      <c r="AM26" s="180">
        <v>1578</v>
      </c>
      <c r="AN26" s="180">
        <v>218639</v>
      </c>
      <c r="AO26" s="180">
        <v>3525</v>
      </c>
      <c r="AP26" s="181">
        <v>480642</v>
      </c>
      <c r="AQ26" s="179">
        <v>76</v>
      </c>
      <c r="AR26" s="180">
        <v>5951</v>
      </c>
      <c r="AS26" s="180">
        <v>333</v>
      </c>
      <c r="AT26" s="180">
        <v>25503</v>
      </c>
      <c r="AU26" s="180">
        <v>363</v>
      </c>
      <c r="AV26" s="180">
        <v>44578</v>
      </c>
      <c r="AW26" s="180">
        <v>1274</v>
      </c>
      <c r="AX26" s="180">
        <v>162933</v>
      </c>
      <c r="AY26" s="180">
        <v>581</v>
      </c>
      <c r="AZ26" s="180">
        <v>70736</v>
      </c>
      <c r="BA26" s="180">
        <v>2067</v>
      </c>
      <c r="BB26" s="180">
        <v>254918</v>
      </c>
      <c r="BC26" s="180">
        <v>557</v>
      </c>
      <c r="BD26" s="180">
        <v>84455</v>
      </c>
      <c r="BE26" s="180">
        <v>1768</v>
      </c>
      <c r="BF26" s="180">
        <v>283088</v>
      </c>
      <c r="BG26" s="180">
        <v>1578</v>
      </c>
      <c r="BH26" s="180">
        <v>205721</v>
      </c>
      <c r="BI26" s="180">
        <v>5441</v>
      </c>
      <c r="BJ26" s="181">
        <v>726443</v>
      </c>
      <c r="BK26" s="179">
        <v>100</v>
      </c>
      <c r="BL26" s="180">
        <v>7239</v>
      </c>
      <c r="BM26" s="180">
        <v>449</v>
      </c>
      <c r="BN26" s="180">
        <v>33767</v>
      </c>
      <c r="BO26" s="180">
        <v>391</v>
      </c>
      <c r="BP26" s="180">
        <v>50479</v>
      </c>
      <c r="BQ26" s="180">
        <v>1800</v>
      </c>
      <c r="BR26" s="180">
        <v>235275</v>
      </c>
      <c r="BS26" s="180">
        <v>487</v>
      </c>
      <c r="BT26" s="180">
        <v>58549</v>
      </c>
      <c r="BU26" s="180">
        <v>2827</v>
      </c>
      <c r="BV26" s="180">
        <v>353525</v>
      </c>
      <c r="BW26" s="180">
        <v>588</v>
      </c>
      <c r="BX26" s="180">
        <v>89764</v>
      </c>
      <c r="BY26" s="180">
        <v>2492</v>
      </c>
      <c r="BZ26" s="180">
        <v>392857</v>
      </c>
      <c r="CA26" s="180">
        <v>1565</v>
      </c>
      <c r="CB26" s="180">
        <v>206034</v>
      </c>
      <c r="CC26" s="180">
        <v>7568</v>
      </c>
      <c r="CD26" s="181">
        <v>1015423</v>
      </c>
      <c r="CE26" s="179"/>
      <c r="CF26" s="180"/>
      <c r="CG26" s="180"/>
      <c r="CH26" s="180"/>
      <c r="CI26" s="180"/>
      <c r="CJ26" s="180"/>
      <c r="CK26" s="180"/>
      <c r="CL26" s="180"/>
      <c r="CM26" s="180"/>
      <c r="CN26" s="180"/>
      <c r="CO26" s="180"/>
      <c r="CP26" s="180"/>
      <c r="CQ26" s="180"/>
      <c r="CR26" s="180"/>
      <c r="CS26" s="180"/>
      <c r="CT26" s="180"/>
      <c r="CU26" s="180"/>
      <c r="CV26" s="180"/>
      <c r="CW26" s="180"/>
      <c r="CX26" s="181"/>
      <c r="CY26" s="211">
        <v>142</v>
      </c>
      <c r="CZ26" s="212">
        <v>11496</v>
      </c>
      <c r="DA26" s="212">
        <v>742</v>
      </c>
      <c r="DB26" s="212">
        <v>57243</v>
      </c>
      <c r="DC26" s="212">
        <v>475</v>
      </c>
      <c r="DD26" s="212">
        <v>62200</v>
      </c>
      <c r="DE26" s="212">
        <v>2831</v>
      </c>
      <c r="DF26" s="212">
        <v>367192</v>
      </c>
      <c r="DG26" s="212">
        <v>396</v>
      </c>
      <c r="DH26" s="212">
        <v>54295</v>
      </c>
      <c r="DI26" s="212">
        <v>3896</v>
      </c>
      <c r="DJ26" s="212">
        <v>493727</v>
      </c>
      <c r="DK26" s="212">
        <v>613</v>
      </c>
      <c r="DL26" s="212">
        <v>92054</v>
      </c>
      <c r="DM26" s="212">
        <v>3807</v>
      </c>
      <c r="DN26" s="212">
        <v>593795</v>
      </c>
      <c r="DO26" s="212">
        <v>1627</v>
      </c>
      <c r="DP26" s="212">
        <v>220047</v>
      </c>
      <c r="DQ26" s="212">
        <v>11274</v>
      </c>
      <c r="DR26" s="213">
        <v>1511957</v>
      </c>
      <c r="DS26" s="211">
        <v>174</v>
      </c>
      <c r="DT26" s="212">
        <v>14057</v>
      </c>
      <c r="DU26" s="212">
        <v>963</v>
      </c>
      <c r="DV26" s="212">
        <v>75309</v>
      </c>
      <c r="DW26" s="212">
        <v>415</v>
      </c>
      <c r="DX26" s="212">
        <v>56163</v>
      </c>
      <c r="DY26" s="212">
        <v>3365</v>
      </c>
      <c r="DZ26" s="212">
        <v>438200</v>
      </c>
      <c r="EA26" s="212">
        <v>248</v>
      </c>
      <c r="EB26" s="212">
        <v>29348</v>
      </c>
      <c r="EC26" s="212">
        <v>4232</v>
      </c>
      <c r="ED26" s="212">
        <v>535758</v>
      </c>
      <c r="EE26" s="212">
        <v>526</v>
      </c>
      <c r="EF26" s="212">
        <v>82964</v>
      </c>
      <c r="EG26" s="212">
        <v>4473</v>
      </c>
      <c r="EH26" s="212">
        <v>700632</v>
      </c>
      <c r="EI26" s="212">
        <v>1363</v>
      </c>
      <c r="EJ26" s="212">
        <v>182533</v>
      </c>
      <c r="EK26" s="212">
        <v>13032</v>
      </c>
      <c r="EL26" s="213">
        <v>1749900</v>
      </c>
      <c r="EM26" s="179"/>
      <c r="EN26" s="180"/>
      <c r="EO26" s="180"/>
      <c r="EP26" s="180"/>
      <c r="EQ26" s="180"/>
      <c r="ER26" s="180"/>
      <c r="ES26" s="180"/>
      <c r="ET26" s="180"/>
      <c r="EU26" s="180"/>
      <c r="EV26" s="180"/>
      <c r="EW26" s="180"/>
      <c r="EX26" s="180"/>
      <c r="EY26" s="180"/>
      <c r="EZ26" s="180"/>
      <c r="FA26" s="180"/>
      <c r="FB26" s="180"/>
      <c r="FC26" s="180"/>
      <c r="FD26" s="180"/>
      <c r="FE26" s="180"/>
      <c r="FF26" s="181"/>
      <c r="FG26" s="179"/>
      <c r="FH26" s="180"/>
      <c r="FI26" s="180"/>
      <c r="FJ26" s="180"/>
      <c r="FK26" s="180"/>
      <c r="FL26" s="180"/>
      <c r="FM26" s="180"/>
      <c r="FN26" s="180"/>
      <c r="FO26" s="180"/>
      <c r="FP26" s="180"/>
      <c r="FQ26" s="180"/>
      <c r="FR26" s="180"/>
      <c r="FS26" s="180"/>
      <c r="FT26" s="180"/>
      <c r="FU26" s="180"/>
      <c r="FV26" s="180"/>
      <c r="FW26" s="180"/>
      <c r="FX26" s="180"/>
      <c r="FY26" s="180"/>
      <c r="FZ26" s="181"/>
      <c r="GA26" s="179"/>
      <c r="GB26" s="180"/>
      <c r="GC26" s="180"/>
      <c r="GD26" s="180"/>
      <c r="GE26" s="180"/>
      <c r="GF26" s="180"/>
      <c r="GG26" s="180"/>
      <c r="GH26" s="180"/>
      <c r="GI26" s="180"/>
      <c r="GJ26" s="180"/>
      <c r="GK26" s="180"/>
      <c r="GL26" s="180"/>
      <c r="GM26" s="180"/>
      <c r="GN26" s="180"/>
      <c r="GO26" s="180"/>
      <c r="GP26" s="180"/>
      <c r="GQ26" s="180"/>
      <c r="GR26" s="180"/>
      <c r="GS26" s="180"/>
      <c r="GT26" s="181"/>
      <c r="GU26" s="179"/>
      <c r="GV26" s="180"/>
      <c r="GW26" s="180"/>
      <c r="GX26" s="180"/>
      <c r="GY26" s="180"/>
      <c r="GZ26" s="180"/>
      <c r="HA26" s="180"/>
      <c r="HB26" s="180"/>
      <c r="HC26" s="180"/>
      <c r="HD26" s="180"/>
      <c r="HE26" s="180"/>
      <c r="HF26" s="180"/>
      <c r="HG26" s="180"/>
      <c r="HH26" s="180"/>
      <c r="HI26" s="180"/>
      <c r="HJ26" s="180"/>
      <c r="HK26" s="180"/>
      <c r="HL26" s="180"/>
      <c r="HM26" s="180"/>
      <c r="HN26" s="181"/>
      <c r="HO26" s="179"/>
      <c r="HP26" s="180"/>
      <c r="HQ26" s="180"/>
      <c r="HR26" s="180"/>
      <c r="HS26" s="180"/>
      <c r="HT26" s="180"/>
      <c r="HU26" s="180"/>
      <c r="HV26" s="180"/>
      <c r="HW26" s="180"/>
      <c r="HX26" s="180"/>
      <c r="HY26" s="180"/>
      <c r="HZ26" s="180"/>
      <c r="IA26" s="180"/>
      <c r="IB26" s="180"/>
      <c r="IC26" s="180"/>
      <c r="ID26" s="180"/>
      <c r="IE26" s="180"/>
      <c r="IF26" s="180"/>
      <c r="IG26" s="180"/>
      <c r="IH26" s="181"/>
    </row>
    <row r="27" spans="2:242" ht="14">
      <c r="B27" s="175">
        <v>25</v>
      </c>
      <c r="C27" s="211"/>
      <c r="D27" s="212"/>
      <c r="E27" s="212"/>
      <c r="F27" s="212"/>
      <c r="G27" s="212"/>
      <c r="H27" s="212"/>
      <c r="I27" s="212"/>
      <c r="J27" s="212"/>
      <c r="K27" s="212"/>
      <c r="L27" s="212"/>
      <c r="M27" s="212"/>
      <c r="N27" s="212"/>
      <c r="O27" s="212"/>
      <c r="P27" s="212"/>
      <c r="Q27" s="212"/>
      <c r="R27" s="212"/>
      <c r="S27" s="212"/>
      <c r="T27" s="212"/>
      <c r="U27" s="212"/>
      <c r="V27" s="213"/>
      <c r="W27" s="179">
        <v>132</v>
      </c>
      <c r="X27" s="180">
        <v>11154</v>
      </c>
      <c r="Y27" s="180">
        <v>233</v>
      </c>
      <c r="Z27" s="180">
        <v>17854</v>
      </c>
      <c r="AA27" s="180">
        <v>415</v>
      </c>
      <c r="AB27" s="180">
        <v>57438</v>
      </c>
      <c r="AC27" s="180">
        <v>865</v>
      </c>
      <c r="AD27" s="180">
        <v>113012</v>
      </c>
      <c r="AE27" s="180">
        <v>576</v>
      </c>
      <c r="AF27" s="180">
        <v>72066</v>
      </c>
      <c r="AG27" s="180">
        <v>1347</v>
      </c>
      <c r="AH27" s="180">
        <v>167778</v>
      </c>
      <c r="AI27" s="180">
        <v>528</v>
      </c>
      <c r="AJ27" s="180">
        <v>86027</v>
      </c>
      <c r="AK27" s="180">
        <v>1152</v>
      </c>
      <c r="AL27" s="180">
        <v>190047</v>
      </c>
      <c r="AM27" s="180">
        <v>1651</v>
      </c>
      <c r="AN27" s="180">
        <v>226686</v>
      </c>
      <c r="AO27" s="180">
        <v>3597</v>
      </c>
      <c r="AP27" s="181">
        <v>488690</v>
      </c>
      <c r="AQ27" s="179">
        <v>76</v>
      </c>
      <c r="AR27" s="180">
        <v>5951</v>
      </c>
      <c r="AS27" s="180">
        <v>333</v>
      </c>
      <c r="AT27" s="180">
        <v>25503</v>
      </c>
      <c r="AU27" s="180">
        <v>384</v>
      </c>
      <c r="AV27" s="180">
        <v>46499</v>
      </c>
      <c r="AW27" s="180">
        <v>1295</v>
      </c>
      <c r="AX27" s="180">
        <v>164854</v>
      </c>
      <c r="AY27" s="180">
        <v>615</v>
      </c>
      <c r="AZ27" s="180">
        <v>74571</v>
      </c>
      <c r="BA27" s="180">
        <v>2101</v>
      </c>
      <c r="BB27" s="180">
        <v>258751</v>
      </c>
      <c r="BC27" s="180">
        <v>573</v>
      </c>
      <c r="BD27" s="180">
        <v>86803</v>
      </c>
      <c r="BE27" s="180">
        <v>1784</v>
      </c>
      <c r="BF27" s="180">
        <v>285438</v>
      </c>
      <c r="BG27" s="180">
        <v>1649</v>
      </c>
      <c r="BH27" s="180">
        <v>213825</v>
      </c>
      <c r="BI27" s="180">
        <v>5513</v>
      </c>
      <c r="BJ27" s="181">
        <v>734547</v>
      </c>
      <c r="BK27" s="179"/>
      <c r="BL27" s="180"/>
      <c r="BM27" s="180"/>
      <c r="BN27" s="180"/>
      <c r="BO27" s="180"/>
      <c r="BP27" s="180"/>
      <c r="BQ27" s="180"/>
      <c r="BR27" s="180"/>
      <c r="BS27" s="180"/>
      <c r="BT27" s="180"/>
      <c r="BU27" s="180"/>
      <c r="BV27" s="180"/>
      <c r="BW27" s="180"/>
      <c r="BX27" s="180"/>
      <c r="BY27" s="180"/>
      <c r="BZ27" s="180"/>
      <c r="CA27" s="180"/>
      <c r="CB27" s="180"/>
      <c r="CC27" s="180"/>
      <c r="CD27" s="181"/>
      <c r="CE27" s="179"/>
      <c r="CF27" s="180"/>
      <c r="CG27" s="180"/>
      <c r="CH27" s="180"/>
      <c r="CI27" s="180"/>
      <c r="CJ27" s="180"/>
      <c r="CK27" s="180"/>
      <c r="CL27" s="180"/>
      <c r="CM27" s="180"/>
      <c r="CN27" s="180"/>
      <c r="CO27" s="180"/>
      <c r="CP27" s="180"/>
      <c r="CQ27" s="180"/>
      <c r="CR27" s="180"/>
      <c r="CS27" s="180"/>
      <c r="CT27" s="180"/>
      <c r="CU27" s="180"/>
      <c r="CV27" s="180"/>
      <c r="CW27" s="180"/>
      <c r="CX27" s="181"/>
      <c r="CY27" s="211">
        <v>142</v>
      </c>
      <c r="CZ27" s="212">
        <v>11496</v>
      </c>
      <c r="DA27" s="212">
        <v>742</v>
      </c>
      <c r="DB27" s="212">
        <v>57243</v>
      </c>
      <c r="DC27" s="212">
        <v>491</v>
      </c>
      <c r="DD27" s="212">
        <v>64186</v>
      </c>
      <c r="DE27" s="212">
        <v>2847</v>
      </c>
      <c r="DF27" s="212">
        <v>369180</v>
      </c>
      <c r="DG27" s="212">
        <v>422</v>
      </c>
      <c r="DH27" s="212">
        <v>57664</v>
      </c>
      <c r="DI27" s="212">
        <v>3921</v>
      </c>
      <c r="DJ27" s="212">
        <v>497097</v>
      </c>
      <c r="DK27" s="212">
        <v>639</v>
      </c>
      <c r="DL27" s="212">
        <v>96384</v>
      </c>
      <c r="DM27" s="212">
        <v>3832</v>
      </c>
      <c r="DN27" s="212">
        <v>598123</v>
      </c>
      <c r="DO27" s="212">
        <v>1694</v>
      </c>
      <c r="DP27" s="212">
        <v>229730</v>
      </c>
      <c r="DQ27" s="212">
        <v>11342</v>
      </c>
      <c r="DR27" s="213">
        <v>1521642</v>
      </c>
      <c r="DS27" s="179"/>
      <c r="DT27" s="180"/>
      <c r="DU27" s="180"/>
      <c r="DV27" s="180"/>
      <c r="DW27" s="180"/>
      <c r="DX27" s="180"/>
      <c r="DY27" s="180"/>
      <c r="DZ27" s="180"/>
      <c r="EA27" s="180"/>
      <c r="EB27" s="180"/>
      <c r="EC27" s="180"/>
      <c r="ED27" s="180"/>
      <c r="EE27" s="180"/>
      <c r="EF27" s="180"/>
      <c r="EG27" s="180"/>
      <c r="EH27" s="180"/>
      <c r="EI27" s="180"/>
      <c r="EJ27" s="180"/>
      <c r="EK27" s="180"/>
      <c r="EL27" s="181"/>
      <c r="EM27" s="179"/>
      <c r="EN27" s="180"/>
      <c r="EO27" s="180"/>
      <c r="EP27" s="180"/>
      <c r="EQ27" s="180"/>
      <c r="ER27" s="180"/>
      <c r="ES27" s="180"/>
      <c r="ET27" s="180"/>
      <c r="EU27" s="180"/>
      <c r="EV27" s="180"/>
      <c r="EW27" s="180"/>
      <c r="EX27" s="180"/>
      <c r="EY27" s="180"/>
      <c r="EZ27" s="180"/>
      <c r="FA27" s="180"/>
      <c r="FB27" s="180"/>
      <c r="FC27" s="180"/>
      <c r="FD27" s="180"/>
      <c r="FE27" s="180"/>
      <c r="FF27" s="181"/>
      <c r="FG27" s="179"/>
      <c r="FH27" s="180"/>
      <c r="FI27" s="180"/>
      <c r="FJ27" s="180"/>
      <c r="FK27" s="180"/>
      <c r="FL27" s="180"/>
      <c r="FM27" s="180"/>
      <c r="FN27" s="180"/>
      <c r="FO27" s="180"/>
      <c r="FP27" s="180"/>
      <c r="FQ27" s="180"/>
      <c r="FR27" s="180"/>
      <c r="FS27" s="180"/>
      <c r="FT27" s="180"/>
      <c r="FU27" s="180"/>
      <c r="FV27" s="180"/>
      <c r="FW27" s="180"/>
      <c r="FX27" s="180"/>
      <c r="FY27" s="180"/>
      <c r="FZ27" s="181"/>
      <c r="GA27" s="179"/>
      <c r="GB27" s="180"/>
      <c r="GC27" s="180"/>
      <c r="GD27" s="180"/>
      <c r="GE27" s="180"/>
      <c r="GF27" s="180"/>
      <c r="GG27" s="180"/>
      <c r="GH27" s="180"/>
      <c r="GI27" s="180"/>
      <c r="GJ27" s="180"/>
      <c r="GK27" s="180"/>
      <c r="GL27" s="180"/>
      <c r="GM27" s="180"/>
      <c r="GN27" s="180"/>
      <c r="GO27" s="180"/>
      <c r="GP27" s="180"/>
      <c r="GQ27" s="180"/>
      <c r="GR27" s="180"/>
      <c r="GS27" s="180"/>
      <c r="GT27" s="181"/>
      <c r="GU27" s="179"/>
      <c r="GV27" s="180"/>
      <c r="GW27" s="180"/>
      <c r="GX27" s="180"/>
      <c r="GY27" s="180"/>
      <c r="GZ27" s="180"/>
      <c r="HA27" s="180"/>
      <c r="HB27" s="180"/>
      <c r="HC27" s="180"/>
      <c r="HD27" s="180"/>
      <c r="HE27" s="180"/>
      <c r="HF27" s="180"/>
      <c r="HG27" s="180"/>
      <c r="HH27" s="180"/>
      <c r="HI27" s="180"/>
      <c r="HJ27" s="180"/>
      <c r="HK27" s="180"/>
      <c r="HL27" s="180"/>
      <c r="HM27" s="180"/>
      <c r="HN27" s="181"/>
      <c r="HO27" s="179"/>
      <c r="HP27" s="180"/>
      <c r="HQ27" s="180"/>
      <c r="HR27" s="180"/>
      <c r="HS27" s="180"/>
      <c r="HT27" s="180"/>
      <c r="HU27" s="180"/>
      <c r="HV27" s="180"/>
      <c r="HW27" s="180"/>
      <c r="HX27" s="180"/>
      <c r="HY27" s="180"/>
      <c r="HZ27" s="180"/>
      <c r="IA27" s="180"/>
      <c r="IB27" s="180"/>
      <c r="IC27" s="180"/>
      <c r="ID27" s="180"/>
      <c r="IE27" s="180"/>
      <c r="IF27" s="180"/>
      <c r="IG27" s="180"/>
      <c r="IH27" s="181"/>
    </row>
    <row r="28" spans="2:242" ht="14">
      <c r="B28" s="175">
        <v>26</v>
      </c>
      <c r="C28" s="211">
        <v>87</v>
      </c>
      <c r="D28" s="212">
        <v>5785</v>
      </c>
      <c r="E28" s="212">
        <v>87</v>
      </c>
      <c r="F28" s="212">
        <v>5785</v>
      </c>
      <c r="G28" s="212">
        <v>337</v>
      </c>
      <c r="H28" s="212">
        <v>41578</v>
      </c>
      <c r="I28" s="212">
        <v>337</v>
      </c>
      <c r="J28" s="212">
        <v>41578</v>
      </c>
      <c r="K28" s="212">
        <v>578</v>
      </c>
      <c r="L28" s="212">
        <v>73743</v>
      </c>
      <c r="M28" s="212">
        <v>578</v>
      </c>
      <c r="N28" s="212">
        <v>73743</v>
      </c>
      <c r="O28" s="212">
        <v>493</v>
      </c>
      <c r="P28" s="212">
        <v>81970</v>
      </c>
      <c r="Q28" s="212">
        <v>493</v>
      </c>
      <c r="R28" s="212">
        <v>81970</v>
      </c>
      <c r="S28" s="212">
        <v>1496</v>
      </c>
      <c r="T28" s="212">
        <v>203075</v>
      </c>
      <c r="U28" s="212">
        <v>1496</v>
      </c>
      <c r="V28" s="213">
        <v>203075</v>
      </c>
      <c r="W28" s="179">
        <v>141</v>
      </c>
      <c r="X28" s="180">
        <v>11710</v>
      </c>
      <c r="Y28" s="180">
        <v>242</v>
      </c>
      <c r="Z28" s="180">
        <v>18410</v>
      </c>
      <c r="AA28" s="180">
        <v>430</v>
      </c>
      <c r="AB28" s="180">
        <v>59375</v>
      </c>
      <c r="AC28" s="180">
        <v>881</v>
      </c>
      <c r="AD28" s="180">
        <v>114948</v>
      </c>
      <c r="AE28" s="180">
        <v>639</v>
      </c>
      <c r="AF28" s="180">
        <v>78285</v>
      </c>
      <c r="AG28" s="180">
        <v>1410</v>
      </c>
      <c r="AH28" s="180">
        <v>173996</v>
      </c>
      <c r="AI28" s="180">
        <v>559</v>
      </c>
      <c r="AJ28" s="180">
        <v>90546</v>
      </c>
      <c r="AK28" s="180">
        <v>1183</v>
      </c>
      <c r="AL28" s="180">
        <v>194567</v>
      </c>
      <c r="AM28" s="180">
        <v>1769</v>
      </c>
      <c r="AN28" s="180">
        <v>239917</v>
      </c>
      <c r="AO28" s="180">
        <v>3715</v>
      </c>
      <c r="AP28" s="181">
        <v>501920</v>
      </c>
      <c r="AQ28" s="179">
        <v>76</v>
      </c>
      <c r="AR28" s="180">
        <v>5951</v>
      </c>
      <c r="AS28" s="180">
        <v>333</v>
      </c>
      <c r="AT28" s="180">
        <v>25503</v>
      </c>
      <c r="AU28" s="180">
        <v>424</v>
      </c>
      <c r="AV28" s="180">
        <v>50967</v>
      </c>
      <c r="AW28" s="180">
        <v>1335</v>
      </c>
      <c r="AX28" s="180">
        <v>169322</v>
      </c>
      <c r="AY28" s="180">
        <v>675</v>
      </c>
      <c r="AZ28" s="180">
        <v>86070</v>
      </c>
      <c r="BA28" s="180">
        <v>2160</v>
      </c>
      <c r="BB28" s="180">
        <v>270250</v>
      </c>
      <c r="BC28" s="180">
        <v>610</v>
      </c>
      <c r="BD28" s="180">
        <v>91925</v>
      </c>
      <c r="BE28" s="180">
        <v>1820</v>
      </c>
      <c r="BF28" s="180">
        <v>290559</v>
      </c>
      <c r="BG28" s="180">
        <v>1785</v>
      </c>
      <c r="BH28" s="180">
        <v>234912</v>
      </c>
      <c r="BI28" s="180">
        <v>5649</v>
      </c>
      <c r="BJ28" s="181">
        <v>755632</v>
      </c>
      <c r="BK28" s="179"/>
      <c r="BL28" s="180"/>
      <c r="BM28" s="180"/>
      <c r="BN28" s="180"/>
      <c r="BO28" s="180"/>
      <c r="BP28" s="180"/>
      <c r="BQ28" s="180"/>
      <c r="BR28" s="180"/>
      <c r="BS28" s="180"/>
      <c r="BT28" s="180"/>
      <c r="BU28" s="180"/>
      <c r="BV28" s="180"/>
      <c r="BW28" s="180"/>
      <c r="BX28" s="180"/>
      <c r="BY28" s="180"/>
      <c r="BZ28" s="180"/>
      <c r="CA28" s="180"/>
      <c r="CB28" s="180"/>
      <c r="CC28" s="180"/>
      <c r="CD28" s="181"/>
      <c r="CE28" s="211">
        <v>87</v>
      </c>
      <c r="CF28" s="212">
        <v>6986</v>
      </c>
      <c r="CG28" s="212">
        <v>588</v>
      </c>
      <c r="CH28" s="212">
        <v>44911</v>
      </c>
      <c r="CI28" s="212">
        <v>355</v>
      </c>
      <c r="CJ28" s="212">
        <v>44058</v>
      </c>
      <c r="CK28" s="212">
        <v>2289</v>
      </c>
      <c r="CL28" s="212">
        <v>296697</v>
      </c>
      <c r="CM28" s="212">
        <v>339</v>
      </c>
      <c r="CN28" s="212">
        <v>45406</v>
      </c>
      <c r="CO28" s="212">
        <v>3324</v>
      </c>
      <c r="CP28" s="212">
        <v>419384</v>
      </c>
      <c r="CQ28" s="212">
        <v>473</v>
      </c>
      <c r="CR28" s="212">
        <v>72945</v>
      </c>
      <c r="CS28" s="212">
        <v>3075</v>
      </c>
      <c r="CT28" s="212">
        <v>483695</v>
      </c>
      <c r="CU28" s="212">
        <v>1254</v>
      </c>
      <c r="CV28" s="212">
        <v>169395</v>
      </c>
      <c r="CW28" s="212">
        <v>9276</v>
      </c>
      <c r="CX28" s="213">
        <v>1244687</v>
      </c>
      <c r="CY28" s="211">
        <v>147</v>
      </c>
      <c r="CZ28" s="212">
        <v>11793</v>
      </c>
      <c r="DA28" s="212">
        <v>747</v>
      </c>
      <c r="DB28" s="212">
        <v>57540</v>
      </c>
      <c r="DC28" s="212">
        <v>553</v>
      </c>
      <c r="DD28" s="212">
        <v>72181</v>
      </c>
      <c r="DE28" s="212">
        <v>2909</v>
      </c>
      <c r="DF28" s="212">
        <v>377174</v>
      </c>
      <c r="DG28" s="212">
        <v>422</v>
      </c>
      <c r="DH28" s="212">
        <v>57858</v>
      </c>
      <c r="DI28" s="212">
        <v>3921</v>
      </c>
      <c r="DJ28" s="212">
        <v>497290</v>
      </c>
      <c r="DK28" s="212">
        <v>672</v>
      </c>
      <c r="DL28" s="212">
        <v>101963</v>
      </c>
      <c r="DM28" s="212">
        <v>3865</v>
      </c>
      <c r="DN28" s="212">
        <v>603703</v>
      </c>
      <c r="DO28" s="212">
        <v>1795</v>
      </c>
      <c r="DP28" s="212">
        <v>243796</v>
      </c>
      <c r="DQ28" s="212">
        <v>11443</v>
      </c>
      <c r="DR28" s="213">
        <v>1535707</v>
      </c>
      <c r="DS28" s="179"/>
      <c r="DT28" s="180"/>
      <c r="DU28" s="180"/>
      <c r="DV28" s="180"/>
      <c r="DW28" s="180"/>
      <c r="DX28" s="180"/>
      <c r="DY28" s="180"/>
      <c r="DZ28" s="180"/>
      <c r="EA28" s="180"/>
      <c r="EB28" s="180"/>
      <c r="EC28" s="180"/>
      <c r="ED28" s="180"/>
      <c r="EE28" s="180"/>
      <c r="EF28" s="180"/>
      <c r="EG28" s="180"/>
      <c r="EH28" s="180"/>
      <c r="EI28" s="180"/>
      <c r="EJ28" s="180"/>
      <c r="EK28" s="180"/>
      <c r="EL28" s="181"/>
      <c r="EM28" s="179"/>
      <c r="EN28" s="180"/>
      <c r="EO28" s="180"/>
      <c r="EP28" s="180"/>
      <c r="EQ28" s="180"/>
      <c r="ER28" s="180"/>
      <c r="ES28" s="180"/>
      <c r="ET28" s="180"/>
      <c r="EU28" s="180"/>
      <c r="EV28" s="180"/>
      <c r="EW28" s="180"/>
      <c r="EX28" s="180"/>
      <c r="EY28" s="180"/>
      <c r="EZ28" s="180"/>
      <c r="FA28" s="180"/>
      <c r="FB28" s="180"/>
      <c r="FC28" s="180"/>
      <c r="FD28" s="180"/>
      <c r="FE28" s="180"/>
      <c r="FF28" s="181"/>
      <c r="FG28" s="179"/>
      <c r="FH28" s="180"/>
      <c r="FI28" s="180"/>
      <c r="FJ28" s="180"/>
      <c r="FK28" s="180"/>
      <c r="FL28" s="180"/>
      <c r="FM28" s="180"/>
      <c r="FN28" s="180"/>
      <c r="FO28" s="180"/>
      <c r="FP28" s="180"/>
      <c r="FQ28" s="180"/>
      <c r="FR28" s="180"/>
      <c r="FS28" s="180"/>
      <c r="FT28" s="180"/>
      <c r="FU28" s="180"/>
      <c r="FV28" s="180"/>
      <c r="FW28" s="180"/>
      <c r="FX28" s="180"/>
      <c r="FY28" s="180"/>
      <c r="FZ28" s="181"/>
      <c r="GA28" s="179"/>
      <c r="GB28" s="180"/>
      <c r="GC28" s="180"/>
      <c r="GD28" s="180"/>
      <c r="GE28" s="180"/>
      <c r="GF28" s="180"/>
      <c r="GG28" s="180"/>
      <c r="GH28" s="180"/>
      <c r="GI28" s="180"/>
      <c r="GJ28" s="180"/>
      <c r="GK28" s="180"/>
      <c r="GL28" s="180"/>
      <c r="GM28" s="180"/>
      <c r="GN28" s="180"/>
      <c r="GO28" s="180"/>
      <c r="GP28" s="180"/>
      <c r="GQ28" s="180"/>
      <c r="GR28" s="180"/>
      <c r="GS28" s="180"/>
      <c r="GT28" s="181"/>
      <c r="GU28" s="179"/>
      <c r="GV28" s="180"/>
      <c r="GW28" s="180"/>
      <c r="GX28" s="180"/>
      <c r="GY28" s="180"/>
      <c r="GZ28" s="180"/>
      <c r="HA28" s="180"/>
      <c r="HB28" s="180"/>
      <c r="HC28" s="180"/>
      <c r="HD28" s="180"/>
      <c r="HE28" s="180"/>
      <c r="HF28" s="180"/>
      <c r="HG28" s="180"/>
      <c r="HH28" s="180"/>
      <c r="HI28" s="180"/>
      <c r="HJ28" s="180"/>
      <c r="HK28" s="180"/>
      <c r="HL28" s="180"/>
      <c r="HM28" s="180"/>
      <c r="HN28" s="181"/>
      <c r="HO28" s="179"/>
      <c r="HP28" s="180"/>
      <c r="HQ28" s="180"/>
      <c r="HR28" s="180"/>
      <c r="HS28" s="180"/>
      <c r="HT28" s="180"/>
      <c r="HU28" s="180"/>
      <c r="HV28" s="180"/>
      <c r="HW28" s="180"/>
      <c r="HX28" s="180"/>
      <c r="HY28" s="180"/>
      <c r="HZ28" s="180"/>
      <c r="IA28" s="180"/>
      <c r="IB28" s="180"/>
      <c r="IC28" s="180"/>
      <c r="ID28" s="180"/>
      <c r="IE28" s="180"/>
      <c r="IF28" s="180"/>
      <c r="IG28" s="180"/>
      <c r="IH28" s="181"/>
    </row>
    <row r="29" spans="2:242" ht="14">
      <c r="B29" s="175">
        <v>27</v>
      </c>
      <c r="C29" s="211">
        <v>87</v>
      </c>
      <c r="D29" s="212">
        <v>5785</v>
      </c>
      <c r="E29" s="212">
        <v>87</v>
      </c>
      <c r="F29" s="212">
        <v>5785</v>
      </c>
      <c r="G29" s="212">
        <v>373</v>
      </c>
      <c r="H29" s="212">
        <v>45276</v>
      </c>
      <c r="I29" s="212">
        <v>373</v>
      </c>
      <c r="J29" s="212">
        <v>45276</v>
      </c>
      <c r="K29" s="212">
        <v>608</v>
      </c>
      <c r="L29" s="212">
        <v>78368</v>
      </c>
      <c r="M29" s="212">
        <v>608</v>
      </c>
      <c r="N29" s="212">
        <v>78368</v>
      </c>
      <c r="O29" s="212">
        <v>525</v>
      </c>
      <c r="P29" s="212">
        <v>87059</v>
      </c>
      <c r="Q29" s="212">
        <v>525</v>
      </c>
      <c r="R29" s="212">
        <v>87059</v>
      </c>
      <c r="S29" s="212">
        <v>1594</v>
      </c>
      <c r="T29" s="212">
        <v>216488</v>
      </c>
      <c r="U29" s="212">
        <v>1594</v>
      </c>
      <c r="V29" s="213">
        <v>216488</v>
      </c>
      <c r="W29" s="179">
        <v>156</v>
      </c>
      <c r="X29" s="180">
        <v>12853</v>
      </c>
      <c r="Y29" s="180">
        <v>257</v>
      </c>
      <c r="Z29" s="180">
        <v>19552</v>
      </c>
      <c r="AA29" s="180">
        <v>460</v>
      </c>
      <c r="AB29" s="180">
        <v>62782</v>
      </c>
      <c r="AC29" s="180">
        <v>910</v>
      </c>
      <c r="AD29" s="180">
        <v>118355</v>
      </c>
      <c r="AE29" s="180">
        <v>715</v>
      </c>
      <c r="AF29" s="180">
        <v>88469</v>
      </c>
      <c r="AG29" s="180">
        <v>1486</v>
      </c>
      <c r="AH29" s="180">
        <v>184180</v>
      </c>
      <c r="AI29" s="180">
        <v>586</v>
      </c>
      <c r="AJ29" s="180">
        <v>94615</v>
      </c>
      <c r="AK29" s="180">
        <v>1211</v>
      </c>
      <c r="AL29" s="180">
        <v>198634</v>
      </c>
      <c r="AM29" s="180">
        <v>1917</v>
      </c>
      <c r="AN29" s="180">
        <v>258719</v>
      </c>
      <c r="AO29" s="180">
        <v>3863</v>
      </c>
      <c r="AP29" s="181">
        <v>520721</v>
      </c>
      <c r="AQ29" s="179">
        <v>88</v>
      </c>
      <c r="AR29" s="180">
        <v>6721</v>
      </c>
      <c r="AS29" s="180">
        <v>345</v>
      </c>
      <c r="AT29" s="180">
        <v>26273</v>
      </c>
      <c r="AU29" s="180">
        <v>431</v>
      </c>
      <c r="AV29" s="180">
        <v>51880</v>
      </c>
      <c r="AW29" s="180">
        <v>1343</v>
      </c>
      <c r="AX29" s="180">
        <v>170235</v>
      </c>
      <c r="AY29" s="180">
        <v>743</v>
      </c>
      <c r="AZ29" s="180">
        <v>93443</v>
      </c>
      <c r="BA29" s="180">
        <v>2229</v>
      </c>
      <c r="BB29" s="180">
        <v>277625</v>
      </c>
      <c r="BC29" s="180">
        <v>642</v>
      </c>
      <c r="BD29" s="180">
        <v>96924</v>
      </c>
      <c r="BE29" s="180">
        <v>1853</v>
      </c>
      <c r="BF29" s="180">
        <v>295559</v>
      </c>
      <c r="BG29" s="180">
        <v>1905</v>
      </c>
      <c r="BH29" s="180">
        <v>248969</v>
      </c>
      <c r="BI29" s="180">
        <v>5769</v>
      </c>
      <c r="BJ29" s="181">
        <v>769689</v>
      </c>
      <c r="BK29" s="179">
        <v>103</v>
      </c>
      <c r="BL29" s="180">
        <v>7559</v>
      </c>
      <c r="BM29" s="180">
        <v>452</v>
      </c>
      <c r="BN29" s="180">
        <v>34087</v>
      </c>
      <c r="BO29" s="180">
        <v>412</v>
      </c>
      <c r="BP29" s="180">
        <v>52760</v>
      </c>
      <c r="BQ29" s="180">
        <v>1821</v>
      </c>
      <c r="BR29" s="180">
        <v>237555</v>
      </c>
      <c r="BS29" s="180">
        <v>488</v>
      </c>
      <c r="BT29" s="180">
        <v>58977</v>
      </c>
      <c r="BU29" s="180">
        <v>2829</v>
      </c>
      <c r="BV29" s="180">
        <v>353952</v>
      </c>
      <c r="BW29" s="180">
        <v>615</v>
      </c>
      <c r="BX29" s="180">
        <v>94256</v>
      </c>
      <c r="BY29" s="180">
        <v>2519</v>
      </c>
      <c r="BZ29" s="180">
        <v>397349</v>
      </c>
      <c r="CA29" s="180">
        <v>1618</v>
      </c>
      <c r="CB29" s="180">
        <v>213553</v>
      </c>
      <c r="CC29" s="180">
        <v>7621</v>
      </c>
      <c r="CD29" s="181">
        <v>1022943</v>
      </c>
      <c r="CE29" s="211">
        <v>87</v>
      </c>
      <c r="CF29" s="212">
        <v>6986</v>
      </c>
      <c r="CG29" s="212">
        <v>588</v>
      </c>
      <c r="CH29" s="212">
        <v>44911</v>
      </c>
      <c r="CI29" s="212">
        <v>364</v>
      </c>
      <c r="CJ29" s="212">
        <v>45537</v>
      </c>
      <c r="CK29" s="212">
        <v>2298</v>
      </c>
      <c r="CL29" s="212">
        <v>298177</v>
      </c>
      <c r="CM29" s="212">
        <v>366</v>
      </c>
      <c r="CN29" s="212">
        <v>50222</v>
      </c>
      <c r="CO29" s="212">
        <v>3351</v>
      </c>
      <c r="CP29" s="212">
        <v>424199</v>
      </c>
      <c r="CQ29" s="212">
        <v>509</v>
      </c>
      <c r="CR29" s="212">
        <v>78713</v>
      </c>
      <c r="CS29" s="212">
        <v>3111</v>
      </c>
      <c r="CT29" s="212">
        <v>489464</v>
      </c>
      <c r="CU29" s="212">
        <v>1327</v>
      </c>
      <c r="CV29" s="212">
        <v>181457</v>
      </c>
      <c r="CW29" s="212">
        <v>9349</v>
      </c>
      <c r="CX29" s="213">
        <v>1256750</v>
      </c>
      <c r="CY29" s="179"/>
      <c r="CZ29" s="180"/>
      <c r="DA29" s="180"/>
      <c r="DB29" s="180"/>
      <c r="DC29" s="180"/>
      <c r="DD29" s="180"/>
      <c r="DE29" s="180"/>
      <c r="DF29" s="180"/>
      <c r="DG29" s="180"/>
      <c r="DH29" s="180"/>
      <c r="DI29" s="180"/>
      <c r="DJ29" s="180"/>
      <c r="DK29" s="180"/>
      <c r="DL29" s="180"/>
      <c r="DM29" s="180"/>
      <c r="DN29" s="180"/>
      <c r="DO29" s="180"/>
      <c r="DP29" s="180"/>
      <c r="DQ29" s="180"/>
      <c r="DR29" s="181"/>
      <c r="DS29" s="211">
        <v>180</v>
      </c>
      <c r="DT29" s="212">
        <v>14652</v>
      </c>
      <c r="DU29" s="212">
        <v>969</v>
      </c>
      <c r="DV29" s="212">
        <v>75905</v>
      </c>
      <c r="DW29" s="212">
        <v>427</v>
      </c>
      <c r="DX29" s="212">
        <v>57205</v>
      </c>
      <c r="DY29" s="212">
        <v>3378</v>
      </c>
      <c r="DZ29" s="212">
        <v>439243</v>
      </c>
      <c r="EA29" s="212">
        <v>259</v>
      </c>
      <c r="EB29" s="212">
        <v>31012</v>
      </c>
      <c r="EC29" s="212">
        <v>4243</v>
      </c>
      <c r="ED29" s="212">
        <v>537423</v>
      </c>
      <c r="EE29" s="212">
        <v>560</v>
      </c>
      <c r="EF29" s="212">
        <v>87968</v>
      </c>
      <c r="EG29" s="212">
        <v>4507</v>
      </c>
      <c r="EH29" s="212">
        <v>705635</v>
      </c>
      <c r="EI29" s="212">
        <v>1427</v>
      </c>
      <c r="EJ29" s="212">
        <v>190838</v>
      </c>
      <c r="EK29" s="212">
        <v>13096</v>
      </c>
      <c r="EL29" s="213">
        <v>1758205</v>
      </c>
      <c r="EM29" s="179"/>
      <c r="EN29" s="180"/>
      <c r="EO29" s="180"/>
      <c r="EP29" s="180"/>
      <c r="EQ29" s="180"/>
      <c r="ER29" s="180"/>
      <c r="ES29" s="180"/>
      <c r="ET29" s="180"/>
      <c r="EU29" s="180"/>
      <c r="EV29" s="180"/>
      <c r="EW29" s="180"/>
      <c r="EX29" s="180"/>
      <c r="EY29" s="180"/>
      <c r="EZ29" s="180"/>
      <c r="FA29" s="180"/>
      <c r="FB29" s="180"/>
      <c r="FC29" s="180"/>
      <c r="FD29" s="180"/>
      <c r="FE29" s="180"/>
      <c r="FF29" s="181"/>
      <c r="FG29" s="179"/>
      <c r="FH29" s="180"/>
      <c r="FI29" s="180"/>
      <c r="FJ29" s="180"/>
      <c r="FK29" s="180"/>
      <c r="FL29" s="180"/>
      <c r="FM29" s="180"/>
      <c r="FN29" s="180"/>
      <c r="FO29" s="180"/>
      <c r="FP29" s="180"/>
      <c r="FQ29" s="180"/>
      <c r="FR29" s="180"/>
      <c r="FS29" s="180"/>
      <c r="FT29" s="180"/>
      <c r="FU29" s="180"/>
      <c r="FV29" s="180"/>
      <c r="FW29" s="180"/>
      <c r="FX29" s="180"/>
      <c r="FY29" s="180"/>
      <c r="FZ29" s="181"/>
      <c r="GA29" s="179"/>
      <c r="GB29" s="180"/>
      <c r="GC29" s="180"/>
      <c r="GD29" s="180"/>
      <c r="GE29" s="180"/>
      <c r="GF29" s="180"/>
      <c r="GG29" s="180"/>
      <c r="GH29" s="180"/>
      <c r="GI29" s="180"/>
      <c r="GJ29" s="180"/>
      <c r="GK29" s="180"/>
      <c r="GL29" s="180"/>
      <c r="GM29" s="180"/>
      <c r="GN29" s="180"/>
      <c r="GO29" s="180"/>
      <c r="GP29" s="180"/>
      <c r="GQ29" s="180"/>
      <c r="GR29" s="180"/>
      <c r="GS29" s="180"/>
      <c r="GT29" s="181"/>
      <c r="GU29" s="179"/>
      <c r="GV29" s="180"/>
      <c r="GW29" s="180"/>
      <c r="GX29" s="180"/>
      <c r="GY29" s="180"/>
      <c r="GZ29" s="180"/>
      <c r="HA29" s="180"/>
      <c r="HB29" s="180"/>
      <c r="HC29" s="180"/>
      <c r="HD29" s="180"/>
      <c r="HE29" s="180"/>
      <c r="HF29" s="180"/>
      <c r="HG29" s="180"/>
      <c r="HH29" s="180"/>
      <c r="HI29" s="180"/>
      <c r="HJ29" s="180"/>
      <c r="HK29" s="180"/>
      <c r="HL29" s="180"/>
      <c r="HM29" s="180"/>
      <c r="HN29" s="181"/>
      <c r="HO29" s="179"/>
      <c r="HP29" s="180"/>
      <c r="HQ29" s="180"/>
      <c r="HR29" s="180"/>
      <c r="HS29" s="180"/>
      <c r="HT29" s="180"/>
      <c r="HU29" s="180"/>
      <c r="HV29" s="180"/>
      <c r="HW29" s="180"/>
      <c r="HX29" s="180"/>
      <c r="HY29" s="180"/>
      <c r="HZ29" s="180"/>
      <c r="IA29" s="180"/>
      <c r="IB29" s="180"/>
      <c r="IC29" s="180"/>
      <c r="ID29" s="180"/>
      <c r="IE29" s="180"/>
      <c r="IF29" s="180"/>
      <c r="IG29" s="180"/>
      <c r="IH29" s="181"/>
    </row>
    <row r="30" spans="2:242" ht="14">
      <c r="B30" s="175">
        <v>28</v>
      </c>
      <c r="C30" s="211">
        <v>87</v>
      </c>
      <c r="D30" s="212">
        <v>5785</v>
      </c>
      <c r="E30" s="212">
        <v>87</v>
      </c>
      <c r="F30" s="212">
        <v>5785</v>
      </c>
      <c r="G30" s="212">
        <v>401</v>
      </c>
      <c r="H30" s="212">
        <v>48543</v>
      </c>
      <c r="I30" s="212">
        <v>401</v>
      </c>
      <c r="J30" s="212">
        <v>48543</v>
      </c>
      <c r="K30" s="212">
        <v>642</v>
      </c>
      <c r="L30" s="212">
        <v>82146</v>
      </c>
      <c r="M30" s="212">
        <v>642</v>
      </c>
      <c r="N30" s="212">
        <v>82146</v>
      </c>
      <c r="O30" s="212">
        <v>545</v>
      </c>
      <c r="P30" s="212">
        <v>90758</v>
      </c>
      <c r="Q30" s="212">
        <v>545</v>
      </c>
      <c r="R30" s="212">
        <v>90758</v>
      </c>
      <c r="S30" s="212">
        <v>1677</v>
      </c>
      <c r="T30" s="212">
        <v>227233</v>
      </c>
      <c r="U30" s="212">
        <v>1677</v>
      </c>
      <c r="V30" s="213">
        <v>227233</v>
      </c>
      <c r="W30" s="179"/>
      <c r="X30" s="180"/>
      <c r="Y30" s="180"/>
      <c r="Z30" s="180"/>
      <c r="AA30" s="180"/>
      <c r="AB30" s="180"/>
      <c r="AC30" s="180"/>
      <c r="AD30" s="180"/>
      <c r="AE30" s="180"/>
      <c r="AF30" s="180"/>
      <c r="AG30" s="180"/>
      <c r="AH30" s="180"/>
      <c r="AI30" s="180"/>
      <c r="AJ30" s="180"/>
      <c r="AK30" s="180"/>
      <c r="AL30" s="180"/>
      <c r="AM30" s="180"/>
      <c r="AN30" s="180"/>
      <c r="AO30" s="180"/>
      <c r="AP30" s="181"/>
      <c r="AQ30" s="179"/>
      <c r="AR30" s="180"/>
      <c r="AS30" s="180"/>
      <c r="AT30" s="180"/>
      <c r="AU30" s="180"/>
      <c r="AV30" s="180"/>
      <c r="AW30" s="180"/>
      <c r="AX30" s="180"/>
      <c r="AY30" s="180"/>
      <c r="AZ30" s="180"/>
      <c r="BA30" s="180"/>
      <c r="BB30" s="180"/>
      <c r="BC30" s="180"/>
      <c r="BD30" s="180"/>
      <c r="BE30" s="180"/>
      <c r="BF30" s="180"/>
      <c r="BG30" s="180"/>
      <c r="BH30" s="180"/>
      <c r="BI30" s="180"/>
      <c r="BJ30" s="181"/>
      <c r="BK30" s="179">
        <v>118</v>
      </c>
      <c r="BL30" s="180">
        <v>8840</v>
      </c>
      <c r="BM30" s="180">
        <v>466</v>
      </c>
      <c r="BN30" s="180">
        <v>35368</v>
      </c>
      <c r="BO30" s="180">
        <v>434</v>
      </c>
      <c r="BP30" s="180">
        <v>55984</v>
      </c>
      <c r="BQ30" s="180">
        <v>1843</v>
      </c>
      <c r="BR30" s="180">
        <v>240779</v>
      </c>
      <c r="BS30" s="180">
        <v>507</v>
      </c>
      <c r="BT30" s="180">
        <v>61488</v>
      </c>
      <c r="BU30" s="180">
        <v>2848</v>
      </c>
      <c r="BV30" s="180">
        <v>356464</v>
      </c>
      <c r="BW30" s="180">
        <v>641</v>
      </c>
      <c r="BX30" s="180">
        <v>98130</v>
      </c>
      <c r="BY30" s="180">
        <v>2545</v>
      </c>
      <c r="BZ30" s="180">
        <v>401222</v>
      </c>
      <c r="CA30" s="180">
        <v>1699</v>
      </c>
      <c r="CB30" s="180">
        <v>224442</v>
      </c>
      <c r="CC30" s="180">
        <v>7702</v>
      </c>
      <c r="CD30" s="181">
        <v>1033834</v>
      </c>
      <c r="CE30" s="211">
        <v>87</v>
      </c>
      <c r="CF30" s="212">
        <v>7007</v>
      </c>
      <c r="CG30" s="212">
        <v>588</v>
      </c>
      <c r="CH30" s="212">
        <v>44932</v>
      </c>
      <c r="CI30" s="212">
        <v>391</v>
      </c>
      <c r="CJ30" s="212">
        <v>49274</v>
      </c>
      <c r="CK30" s="212">
        <v>2325</v>
      </c>
      <c r="CL30" s="212">
        <v>301914</v>
      </c>
      <c r="CM30" s="212">
        <v>412</v>
      </c>
      <c r="CN30" s="212">
        <v>54861</v>
      </c>
      <c r="CO30" s="212">
        <v>3397</v>
      </c>
      <c r="CP30" s="212">
        <v>428838</v>
      </c>
      <c r="CQ30" s="212">
        <v>550</v>
      </c>
      <c r="CR30" s="212">
        <v>85053</v>
      </c>
      <c r="CS30" s="212">
        <v>3152</v>
      </c>
      <c r="CT30" s="212">
        <v>495805</v>
      </c>
      <c r="CU30" s="212">
        <v>1441</v>
      </c>
      <c r="CV30" s="212">
        <v>196196</v>
      </c>
      <c r="CW30" s="212">
        <v>9463</v>
      </c>
      <c r="CX30" s="213">
        <v>1271490</v>
      </c>
      <c r="CY30" s="179"/>
      <c r="CZ30" s="180"/>
      <c r="DA30" s="180"/>
      <c r="DB30" s="180"/>
      <c r="DC30" s="180"/>
      <c r="DD30" s="180"/>
      <c r="DE30" s="180"/>
      <c r="DF30" s="180"/>
      <c r="DG30" s="180"/>
      <c r="DH30" s="180"/>
      <c r="DI30" s="180"/>
      <c r="DJ30" s="180"/>
      <c r="DK30" s="180"/>
      <c r="DL30" s="180"/>
      <c r="DM30" s="180"/>
      <c r="DN30" s="180"/>
      <c r="DO30" s="180"/>
      <c r="DP30" s="180"/>
      <c r="DQ30" s="180"/>
      <c r="DR30" s="181"/>
      <c r="DS30" s="211">
        <v>186</v>
      </c>
      <c r="DT30" s="212">
        <v>15261</v>
      </c>
      <c r="DU30" s="212">
        <v>975</v>
      </c>
      <c r="DV30" s="212">
        <v>76514</v>
      </c>
      <c r="DW30" s="212">
        <v>447</v>
      </c>
      <c r="DX30" s="212">
        <v>58827</v>
      </c>
      <c r="DY30" s="212">
        <v>3397</v>
      </c>
      <c r="DZ30" s="212">
        <v>440865</v>
      </c>
      <c r="EA30" s="212">
        <v>367</v>
      </c>
      <c r="EB30" s="212">
        <v>41962</v>
      </c>
      <c r="EC30" s="212">
        <v>4351</v>
      </c>
      <c r="ED30" s="212">
        <v>548371</v>
      </c>
      <c r="EE30" s="212">
        <v>590</v>
      </c>
      <c r="EF30" s="212">
        <v>93061</v>
      </c>
      <c r="EG30" s="212">
        <v>4537</v>
      </c>
      <c r="EH30" s="212">
        <v>710728</v>
      </c>
      <c r="EI30" s="212">
        <v>1591</v>
      </c>
      <c r="EJ30" s="212">
        <v>209114</v>
      </c>
      <c r="EK30" s="212">
        <v>13260</v>
      </c>
      <c r="EL30" s="213">
        <v>1776479</v>
      </c>
      <c r="EM30" s="179"/>
      <c r="EN30" s="180"/>
      <c r="EO30" s="180"/>
      <c r="EP30" s="180"/>
      <c r="EQ30" s="180"/>
      <c r="ER30" s="180"/>
      <c r="ES30" s="180"/>
      <c r="ET30" s="180"/>
      <c r="EU30" s="180"/>
      <c r="EV30" s="180"/>
      <c r="EW30" s="180"/>
      <c r="EX30" s="180"/>
      <c r="EY30" s="180"/>
      <c r="EZ30" s="180"/>
      <c r="FA30" s="180"/>
      <c r="FB30" s="180"/>
      <c r="FC30" s="180"/>
      <c r="FD30" s="180"/>
      <c r="FE30" s="180"/>
      <c r="FF30" s="181"/>
      <c r="FG30" s="179"/>
      <c r="FH30" s="180"/>
      <c r="FI30" s="180"/>
      <c r="FJ30" s="180"/>
      <c r="FK30" s="180"/>
      <c r="FL30" s="180"/>
      <c r="FM30" s="180"/>
      <c r="FN30" s="180"/>
      <c r="FO30" s="180"/>
      <c r="FP30" s="180"/>
      <c r="FQ30" s="180"/>
      <c r="FR30" s="180"/>
      <c r="FS30" s="180"/>
      <c r="FT30" s="180"/>
      <c r="FU30" s="180"/>
      <c r="FV30" s="180"/>
      <c r="FW30" s="180"/>
      <c r="FX30" s="180"/>
      <c r="FY30" s="180"/>
      <c r="FZ30" s="181"/>
      <c r="GA30" s="179"/>
      <c r="GB30" s="180"/>
      <c r="GC30" s="180"/>
      <c r="GD30" s="180"/>
      <c r="GE30" s="180"/>
      <c r="GF30" s="180"/>
      <c r="GG30" s="180"/>
      <c r="GH30" s="180"/>
      <c r="GI30" s="180"/>
      <c r="GJ30" s="180"/>
      <c r="GK30" s="180"/>
      <c r="GL30" s="180"/>
      <c r="GM30" s="180"/>
      <c r="GN30" s="180"/>
      <c r="GO30" s="180"/>
      <c r="GP30" s="180"/>
      <c r="GQ30" s="180"/>
      <c r="GR30" s="180"/>
      <c r="GS30" s="180"/>
      <c r="GT30" s="181"/>
      <c r="GU30" s="179"/>
      <c r="GV30" s="180"/>
      <c r="GW30" s="180"/>
      <c r="GX30" s="180"/>
      <c r="GY30" s="180"/>
      <c r="GZ30" s="180"/>
      <c r="HA30" s="180"/>
      <c r="HB30" s="180"/>
      <c r="HC30" s="180"/>
      <c r="HD30" s="180"/>
      <c r="HE30" s="180"/>
      <c r="HF30" s="180"/>
      <c r="HG30" s="180"/>
      <c r="HH30" s="180"/>
      <c r="HI30" s="180"/>
      <c r="HJ30" s="180"/>
      <c r="HK30" s="180"/>
      <c r="HL30" s="180"/>
      <c r="HM30" s="180"/>
      <c r="HN30" s="181"/>
      <c r="HO30" s="179"/>
      <c r="HP30" s="180"/>
      <c r="HQ30" s="180"/>
      <c r="HR30" s="180"/>
      <c r="HS30" s="180"/>
      <c r="HT30" s="180"/>
      <c r="HU30" s="180"/>
      <c r="HV30" s="180"/>
      <c r="HW30" s="180"/>
      <c r="HX30" s="180"/>
      <c r="HY30" s="180"/>
      <c r="HZ30" s="180"/>
      <c r="IA30" s="180"/>
      <c r="IB30" s="180"/>
      <c r="IC30" s="180"/>
      <c r="ID30" s="180"/>
      <c r="IE30" s="180"/>
      <c r="IF30" s="180"/>
      <c r="IG30" s="180"/>
      <c r="IH30" s="181"/>
    </row>
    <row r="31" spans="2:242" ht="14">
      <c r="B31" s="175">
        <v>29</v>
      </c>
      <c r="C31" s="211">
        <v>99</v>
      </c>
      <c r="D31" s="212">
        <v>6494</v>
      </c>
      <c r="E31" s="212">
        <v>99</v>
      </c>
      <c r="F31" s="212">
        <v>6494</v>
      </c>
      <c r="G31" s="212">
        <v>424</v>
      </c>
      <c r="H31" s="212">
        <v>52528</v>
      </c>
      <c r="I31" s="212">
        <v>424</v>
      </c>
      <c r="J31" s="212">
        <v>52528</v>
      </c>
      <c r="K31" s="212">
        <v>654</v>
      </c>
      <c r="L31" s="212">
        <v>84992</v>
      </c>
      <c r="M31" s="212">
        <v>654</v>
      </c>
      <c r="N31" s="212">
        <v>84992</v>
      </c>
      <c r="O31" s="212">
        <v>585</v>
      </c>
      <c r="P31" s="212">
        <v>97271</v>
      </c>
      <c r="Q31" s="212">
        <v>585</v>
      </c>
      <c r="R31" s="212">
        <v>97271</v>
      </c>
      <c r="S31" s="212">
        <v>1763</v>
      </c>
      <c r="T31" s="212">
        <v>241285</v>
      </c>
      <c r="U31" s="212">
        <v>1763</v>
      </c>
      <c r="V31" s="213">
        <v>241285</v>
      </c>
      <c r="W31" s="179"/>
      <c r="X31" s="180"/>
      <c r="Y31" s="180"/>
      <c r="Z31" s="180"/>
      <c r="AA31" s="180"/>
      <c r="AB31" s="180"/>
      <c r="AC31" s="180"/>
      <c r="AD31" s="180"/>
      <c r="AE31" s="180"/>
      <c r="AF31" s="180"/>
      <c r="AG31" s="180"/>
      <c r="AH31" s="180"/>
      <c r="AI31" s="180"/>
      <c r="AJ31" s="180"/>
      <c r="AK31" s="180"/>
      <c r="AL31" s="180"/>
      <c r="AM31" s="180"/>
      <c r="AN31" s="180"/>
      <c r="AO31" s="180"/>
      <c r="AP31" s="181"/>
      <c r="AQ31" s="179"/>
      <c r="AR31" s="180"/>
      <c r="AS31" s="180"/>
      <c r="AT31" s="180"/>
      <c r="AU31" s="180"/>
      <c r="AV31" s="180"/>
      <c r="AW31" s="180"/>
      <c r="AX31" s="180"/>
      <c r="AY31" s="180"/>
      <c r="AZ31" s="180"/>
      <c r="BA31" s="180"/>
      <c r="BB31" s="180"/>
      <c r="BC31" s="180"/>
      <c r="BD31" s="180"/>
      <c r="BE31" s="180"/>
      <c r="BF31" s="180"/>
      <c r="BG31" s="180"/>
      <c r="BH31" s="180"/>
      <c r="BI31" s="180"/>
      <c r="BJ31" s="181"/>
      <c r="BK31" s="179">
        <v>128</v>
      </c>
      <c r="BL31" s="180">
        <v>9439</v>
      </c>
      <c r="BM31" s="180">
        <v>477</v>
      </c>
      <c r="BN31" s="180">
        <v>35966</v>
      </c>
      <c r="BO31" s="180">
        <v>461</v>
      </c>
      <c r="BP31" s="180">
        <v>59072</v>
      </c>
      <c r="BQ31" s="180">
        <v>1870</v>
      </c>
      <c r="BR31" s="180">
        <v>243865</v>
      </c>
      <c r="BS31" s="180">
        <v>571</v>
      </c>
      <c r="BT31" s="180">
        <v>70794</v>
      </c>
      <c r="BU31" s="180">
        <v>2911</v>
      </c>
      <c r="BV31" s="180">
        <v>365770</v>
      </c>
      <c r="BW31" s="180">
        <v>666</v>
      </c>
      <c r="BX31" s="180">
        <v>101785</v>
      </c>
      <c r="BY31" s="180">
        <v>2570</v>
      </c>
      <c r="BZ31" s="180">
        <v>404876</v>
      </c>
      <c r="CA31" s="180">
        <v>1826</v>
      </c>
      <c r="CB31" s="180">
        <v>241089</v>
      </c>
      <c r="CC31" s="180">
        <v>7828</v>
      </c>
      <c r="CD31" s="181">
        <v>1050479</v>
      </c>
      <c r="CE31" s="211">
        <v>99</v>
      </c>
      <c r="CF31" s="212">
        <v>7823</v>
      </c>
      <c r="CG31" s="212">
        <v>600</v>
      </c>
      <c r="CH31" s="212">
        <v>45747</v>
      </c>
      <c r="CI31" s="212">
        <v>421</v>
      </c>
      <c r="CJ31" s="212">
        <v>52352</v>
      </c>
      <c r="CK31" s="212">
        <v>2356</v>
      </c>
      <c r="CL31" s="212">
        <v>304992</v>
      </c>
      <c r="CM31" s="212">
        <v>514</v>
      </c>
      <c r="CN31" s="212">
        <v>65455</v>
      </c>
      <c r="CO31" s="212">
        <v>3499</v>
      </c>
      <c r="CP31" s="212">
        <v>439432</v>
      </c>
      <c r="CQ31" s="212">
        <v>591</v>
      </c>
      <c r="CR31" s="212">
        <v>90988</v>
      </c>
      <c r="CS31" s="212">
        <v>3193</v>
      </c>
      <c r="CT31" s="212">
        <v>501739</v>
      </c>
      <c r="CU31" s="212">
        <v>1625</v>
      </c>
      <c r="CV31" s="212">
        <v>216618</v>
      </c>
      <c r="CW31" s="212">
        <v>9647</v>
      </c>
      <c r="CX31" s="213">
        <v>1291911</v>
      </c>
      <c r="CY31" s="211">
        <v>170</v>
      </c>
      <c r="CZ31" s="212">
        <v>14147</v>
      </c>
      <c r="DA31" s="212">
        <v>770</v>
      </c>
      <c r="DB31" s="212">
        <v>59894</v>
      </c>
      <c r="DC31" s="212">
        <v>567</v>
      </c>
      <c r="DD31" s="212">
        <v>73762</v>
      </c>
      <c r="DE31" s="212">
        <v>2923</v>
      </c>
      <c r="DF31" s="212">
        <v>378755</v>
      </c>
      <c r="DG31" s="212">
        <v>428</v>
      </c>
      <c r="DH31" s="212">
        <v>58169</v>
      </c>
      <c r="DI31" s="212">
        <v>3927</v>
      </c>
      <c r="DJ31" s="212">
        <v>497602</v>
      </c>
      <c r="DK31" s="212">
        <v>708</v>
      </c>
      <c r="DL31" s="212">
        <v>107705</v>
      </c>
      <c r="DM31" s="212">
        <v>3902</v>
      </c>
      <c r="DN31" s="212">
        <v>609444</v>
      </c>
      <c r="DO31" s="212">
        <v>1874</v>
      </c>
      <c r="DP31" s="212">
        <v>253783</v>
      </c>
      <c r="DQ31" s="212">
        <v>11521</v>
      </c>
      <c r="DR31" s="213">
        <v>1545694</v>
      </c>
      <c r="DS31" s="211">
        <v>193</v>
      </c>
      <c r="DT31" s="212">
        <v>16581</v>
      </c>
      <c r="DU31" s="212">
        <v>982</v>
      </c>
      <c r="DV31" s="212">
        <v>77834</v>
      </c>
      <c r="DW31" s="212">
        <v>462</v>
      </c>
      <c r="DX31" s="212">
        <v>60809</v>
      </c>
      <c r="DY31" s="212">
        <v>3412</v>
      </c>
      <c r="DZ31" s="212">
        <v>442847</v>
      </c>
      <c r="EA31" s="212">
        <v>372</v>
      </c>
      <c r="EB31" s="212">
        <v>42239</v>
      </c>
      <c r="EC31" s="212">
        <v>4356</v>
      </c>
      <c r="ED31" s="212">
        <v>548649</v>
      </c>
      <c r="EE31" s="212">
        <v>626</v>
      </c>
      <c r="EF31" s="212">
        <v>99642</v>
      </c>
      <c r="EG31" s="212">
        <v>4573</v>
      </c>
      <c r="EH31" s="212">
        <v>717309</v>
      </c>
      <c r="EI31" s="212">
        <v>1653</v>
      </c>
      <c r="EJ31" s="212">
        <v>219270</v>
      </c>
      <c r="EK31" s="212">
        <v>13322</v>
      </c>
      <c r="EL31" s="213">
        <v>1786638</v>
      </c>
      <c r="EM31" s="179"/>
      <c r="EN31" s="180"/>
      <c r="EO31" s="180"/>
      <c r="EP31" s="180"/>
      <c r="EQ31" s="180"/>
      <c r="ER31" s="180"/>
      <c r="ES31" s="180"/>
      <c r="ET31" s="180"/>
      <c r="EU31" s="180"/>
      <c r="EV31" s="180"/>
      <c r="EW31" s="180"/>
      <c r="EX31" s="180"/>
      <c r="EY31" s="180"/>
      <c r="EZ31" s="180"/>
      <c r="FA31" s="180"/>
      <c r="FB31" s="180"/>
      <c r="FC31" s="180"/>
      <c r="FD31" s="180"/>
      <c r="FE31" s="180"/>
      <c r="FF31" s="181"/>
      <c r="FG31" s="179"/>
      <c r="FH31" s="180"/>
      <c r="FI31" s="180"/>
      <c r="FJ31" s="180"/>
      <c r="FK31" s="180"/>
      <c r="FL31" s="180"/>
      <c r="FM31" s="180"/>
      <c r="FN31" s="180"/>
      <c r="FO31" s="180"/>
      <c r="FP31" s="180"/>
      <c r="FQ31" s="180"/>
      <c r="FR31" s="180"/>
      <c r="FS31" s="180"/>
      <c r="FT31" s="180"/>
      <c r="FU31" s="180"/>
      <c r="FV31" s="180"/>
      <c r="FW31" s="180"/>
      <c r="FX31" s="180"/>
      <c r="FY31" s="180"/>
      <c r="FZ31" s="181"/>
      <c r="GA31" s="179"/>
      <c r="GB31" s="180"/>
      <c r="GC31" s="180"/>
      <c r="GD31" s="180"/>
      <c r="GE31" s="180"/>
      <c r="GF31" s="180"/>
      <c r="GG31" s="180"/>
      <c r="GH31" s="180"/>
      <c r="GI31" s="180"/>
      <c r="GJ31" s="180"/>
      <c r="GK31" s="180"/>
      <c r="GL31" s="180"/>
      <c r="GM31" s="180"/>
      <c r="GN31" s="180"/>
      <c r="GO31" s="180"/>
      <c r="GP31" s="180"/>
      <c r="GQ31" s="180"/>
      <c r="GR31" s="180"/>
      <c r="GS31" s="180"/>
      <c r="GT31" s="181"/>
      <c r="GU31" s="179"/>
      <c r="GV31" s="180"/>
      <c r="GW31" s="180"/>
      <c r="GX31" s="180"/>
      <c r="GY31" s="180"/>
      <c r="GZ31" s="180"/>
      <c r="HA31" s="180"/>
      <c r="HB31" s="180"/>
      <c r="HC31" s="180"/>
      <c r="HD31" s="180"/>
      <c r="HE31" s="180"/>
      <c r="HF31" s="180"/>
      <c r="HG31" s="180"/>
      <c r="HH31" s="180"/>
      <c r="HI31" s="180"/>
      <c r="HJ31" s="180"/>
      <c r="HK31" s="180"/>
      <c r="HL31" s="180"/>
      <c r="HM31" s="180"/>
      <c r="HN31" s="181"/>
      <c r="HO31" s="179"/>
      <c r="HP31" s="180"/>
      <c r="HQ31" s="180"/>
      <c r="HR31" s="180"/>
      <c r="HS31" s="180"/>
      <c r="HT31" s="180"/>
      <c r="HU31" s="180"/>
      <c r="HV31" s="180"/>
      <c r="HW31" s="180"/>
      <c r="HX31" s="180"/>
      <c r="HY31" s="180"/>
      <c r="HZ31" s="180"/>
      <c r="IA31" s="180"/>
      <c r="IB31" s="180"/>
      <c r="IC31" s="180"/>
      <c r="ID31" s="180"/>
      <c r="IE31" s="180"/>
      <c r="IF31" s="180"/>
      <c r="IG31" s="180"/>
      <c r="IH31" s="181"/>
    </row>
    <row r="32" spans="2:242" ht="14">
      <c r="B32" s="175">
        <v>30</v>
      </c>
      <c r="C32" s="211">
        <v>101</v>
      </c>
      <c r="D32" s="212">
        <v>6699</v>
      </c>
      <c r="E32" s="212">
        <v>101</v>
      </c>
      <c r="F32" s="212">
        <v>6699</v>
      </c>
      <c r="G32" s="212">
        <v>450</v>
      </c>
      <c r="H32" s="212">
        <v>55573</v>
      </c>
      <c r="I32" s="212">
        <v>450</v>
      </c>
      <c r="J32" s="212">
        <v>55573</v>
      </c>
      <c r="K32" s="212">
        <v>771</v>
      </c>
      <c r="L32" s="212">
        <v>95711</v>
      </c>
      <c r="M32" s="212">
        <v>771</v>
      </c>
      <c r="N32" s="212">
        <v>95711</v>
      </c>
      <c r="O32" s="212">
        <v>624</v>
      </c>
      <c r="P32" s="212">
        <v>104019</v>
      </c>
      <c r="Q32" s="212">
        <v>624</v>
      </c>
      <c r="R32" s="212">
        <v>104019</v>
      </c>
      <c r="S32" s="212">
        <v>1946</v>
      </c>
      <c r="T32" s="212">
        <v>262003</v>
      </c>
      <c r="U32" s="212">
        <v>1946</v>
      </c>
      <c r="V32" s="213">
        <v>262003</v>
      </c>
      <c r="W32" s="179"/>
      <c r="X32" s="180"/>
      <c r="Y32" s="180"/>
      <c r="Z32" s="180"/>
      <c r="AA32" s="180"/>
      <c r="AB32" s="180"/>
      <c r="AC32" s="180"/>
      <c r="AD32" s="180"/>
      <c r="AE32" s="180"/>
      <c r="AF32" s="180"/>
      <c r="AG32" s="180"/>
      <c r="AH32" s="180"/>
      <c r="AI32" s="180"/>
      <c r="AJ32" s="180"/>
      <c r="AK32" s="180"/>
      <c r="AL32" s="180"/>
      <c r="AM32" s="180"/>
      <c r="AN32" s="180"/>
      <c r="AO32" s="180"/>
      <c r="AP32" s="181"/>
      <c r="AQ32" s="179">
        <v>88</v>
      </c>
      <c r="AR32" s="180">
        <v>6721</v>
      </c>
      <c r="AS32" s="180">
        <v>345</v>
      </c>
      <c r="AT32" s="180">
        <v>26273</v>
      </c>
      <c r="AU32" s="180">
        <v>447</v>
      </c>
      <c r="AV32" s="180">
        <v>56214</v>
      </c>
      <c r="AW32" s="180">
        <v>1358</v>
      </c>
      <c r="AX32" s="180">
        <v>174569</v>
      </c>
      <c r="AY32" s="180">
        <v>735</v>
      </c>
      <c r="AZ32" s="180">
        <v>92258</v>
      </c>
      <c r="BA32" s="180">
        <v>2221</v>
      </c>
      <c r="BB32" s="180">
        <v>276439</v>
      </c>
      <c r="BC32" s="180">
        <v>666</v>
      </c>
      <c r="BD32" s="180">
        <v>100452</v>
      </c>
      <c r="BE32" s="180">
        <v>1875</v>
      </c>
      <c r="BF32" s="180">
        <v>299086</v>
      </c>
      <c r="BG32" s="180">
        <v>1935</v>
      </c>
      <c r="BH32" s="180">
        <v>255646</v>
      </c>
      <c r="BI32" s="180">
        <v>5799</v>
      </c>
      <c r="BJ32" s="181">
        <v>776368</v>
      </c>
      <c r="BK32" s="179">
        <v>152</v>
      </c>
      <c r="BL32" s="180">
        <v>11397</v>
      </c>
      <c r="BM32" s="180">
        <v>501</v>
      </c>
      <c r="BN32" s="180">
        <v>37925</v>
      </c>
      <c r="BO32" s="180">
        <v>525</v>
      </c>
      <c r="BP32" s="180">
        <v>67845</v>
      </c>
      <c r="BQ32" s="180">
        <v>1934</v>
      </c>
      <c r="BR32" s="180">
        <v>252640</v>
      </c>
      <c r="BS32" s="180">
        <v>644</v>
      </c>
      <c r="BT32" s="180">
        <v>79002</v>
      </c>
      <c r="BU32" s="180">
        <v>2985</v>
      </c>
      <c r="BV32" s="180">
        <v>373977</v>
      </c>
      <c r="BW32" s="180">
        <v>698</v>
      </c>
      <c r="BX32" s="180">
        <v>107659</v>
      </c>
      <c r="BY32" s="180">
        <v>2602</v>
      </c>
      <c r="BZ32" s="180">
        <v>410752</v>
      </c>
      <c r="CA32" s="180">
        <v>2019</v>
      </c>
      <c r="CB32" s="180">
        <v>265903</v>
      </c>
      <c r="CC32" s="180">
        <v>8022</v>
      </c>
      <c r="CD32" s="181">
        <v>1075293</v>
      </c>
      <c r="CE32" s="179"/>
      <c r="CF32" s="180"/>
      <c r="CG32" s="180"/>
      <c r="CH32" s="180"/>
      <c r="CI32" s="180"/>
      <c r="CJ32" s="180"/>
      <c r="CK32" s="180"/>
      <c r="CL32" s="180"/>
      <c r="CM32" s="180"/>
      <c r="CN32" s="180"/>
      <c r="CO32" s="180"/>
      <c r="CP32" s="180"/>
      <c r="CQ32" s="180"/>
      <c r="CR32" s="180"/>
      <c r="CS32" s="180"/>
      <c r="CT32" s="180"/>
      <c r="CU32" s="180"/>
      <c r="CV32" s="180"/>
      <c r="CW32" s="180"/>
      <c r="CX32" s="181"/>
      <c r="CY32" s="211">
        <v>189</v>
      </c>
      <c r="CZ32" s="212">
        <v>15506</v>
      </c>
      <c r="DA32" s="212">
        <v>789</v>
      </c>
      <c r="DB32" s="212">
        <v>61253</v>
      </c>
      <c r="DC32" s="212">
        <v>595</v>
      </c>
      <c r="DD32" s="212">
        <v>77045</v>
      </c>
      <c r="DE32" s="212">
        <v>2950</v>
      </c>
      <c r="DF32" s="212">
        <v>382037</v>
      </c>
      <c r="DG32" s="212">
        <v>485</v>
      </c>
      <c r="DH32" s="212">
        <v>66978</v>
      </c>
      <c r="DI32" s="212">
        <v>3984</v>
      </c>
      <c r="DJ32" s="212">
        <v>506411</v>
      </c>
      <c r="DK32" s="212">
        <v>753</v>
      </c>
      <c r="DL32" s="212">
        <v>115926</v>
      </c>
      <c r="DM32" s="212">
        <v>3947</v>
      </c>
      <c r="DN32" s="212">
        <v>617667</v>
      </c>
      <c r="DO32" s="212">
        <v>2022</v>
      </c>
      <c r="DP32" s="212">
        <v>275455</v>
      </c>
      <c r="DQ32" s="212">
        <v>11670</v>
      </c>
      <c r="DR32" s="213">
        <v>1567367</v>
      </c>
      <c r="DS32" s="211">
        <v>211</v>
      </c>
      <c r="DT32" s="212">
        <v>17959</v>
      </c>
      <c r="DU32" s="212">
        <v>1000</v>
      </c>
      <c r="DV32" s="212">
        <v>79212</v>
      </c>
      <c r="DW32" s="212">
        <v>485</v>
      </c>
      <c r="DX32" s="212">
        <v>63318</v>
      </c>
      <c r="DY32" s="212">
        <v>3436</v>
      </c>
      <c r="DZ32" s="212">
        <v>445356</v>
      </c>
      <c r="EA32" s="212">
        <v>400</v>
      </c>
      <c r="EB32" s="212">
        <v>44502</v>
      </c>
      <c r="EC32" s="212">
        <v>4384</v>
      </c>
      <c r="ED32" s="212">
        <v>550913</v>
      </c>
      <c r="EE32" s="212">
        <v>655</v>
      </c>
      <c r="EF32" s="212">
        <v>105535</v>
      </c>
      <c r="EG32" s="212">
        <v>4602</v>
      </c>
      <c r="EH32" s="212">
        <v>723199</v>
      </c>
      <c r="EI32" s="212">
        <v>1752</v>
      </c>
      <c r="EJ32" s="212">
        <v>231314</v>
      </c>
      <c r="EK32" s="212">
        <v>13422</v>
      </c>
      <c r="EL32" s="213">
        <v>1798679</v>
      </c>
      <c r="EM32" s="179"/>
      <c r="EN32" s="180"/>
      <c r="EO32" s="180"/>
      <c r="EP32" s="180"/>
      <c r="EQ32" s="180"/>
      <c r="ER32" s="180"/>
      <c r="ES32" s="180"/>
      <c r="ET32" s="180"/>
      <c r="EU32" s="180"/>
      <c r="EV32" s="180"/>
      <c r="EW32" s="180"/>
      <c r="EX32" s="180"/>
      <c r="EY32" s="180"/>
      <c r="EZ32" s="180"/>
      <c r="FA32" s="180"/>
      <c r="FB32" s="180"/>
      <c r="FC32" s="180"/>
      <c r="FD32" s="180"/>
      <c r="FE32" s="180"/>
      <c r="FF32" s="181"/>
      <c r="FG32" s="179"/>
      <c r="FH32" s="180"/>
      <c r="FI32" s="180"/>
      <c r="FJ32" s="180"/>
      <c r="FK32" s="180"/>
      <c r="FL32" s="180"/>
      <c r="FM32" s="180"/>
      <c r="FN32" s="180"/>
      <c r="FO32" s="180"/>
      <c r="FP32" s="180"/>
      <c r="FQ32" s="180"/>
      <c r="FR32" s="180"/>
      <c r="FS32" s="180"/>
      <c r="FT32" s="180"/>
      <c r="FU32" s="180"/>
      <c r="FV32" s="180"/>
      <c r="FW32" s="180"/>
      <c r="FX32" s="180"/>
      <c r="FY32" s="180"/>
      <c r="FZ32" s="181"/>
      <c r="GA32" s="179"/>
      <c r="GB32" s="180"/>
      <c r="GC32" s="180"/>
      <c r="GD32" s="180"/>
      <c r="GE32" s="180"/>
      <c r="GF32" s="180"/>
      <c r="GG32" s="180"/>
      <c r="GH32" s="180"/>
      <c r="GI32" s="180"/>
      <c r="GJ32" s="180"/>
      <c r="GK32" s="180"/>
      <c r="GL32" s="180"/>
      <c r="GM32" s="180"/>
      <c r="GN32" s="180"/>
      <c r="GO32" s="180"/>
      <c r="GP32" s="180"/>
      <c r="GQ32" s="180"/>
      <c r="GR32" s="180"/>
      <c r="GS32" s="180"/>
      <c r="GT32" s="181"/>
      <c r="GU32" s="179"/>
      <c r="GV32" s="180"/>
      <c r="GW32" s="180"/>
      <c r="GX32" s="180"/>
      <c r="GY32" s="180"/>
      <c r="GZ32" s="180"/>
      <c r="HA32" s="180"/>
      <c r="HB32" s="180"/>
      <c r="HC32" s="180"/>
      <c r="HD32" s="180"/>
      <c r="HE32" s="180"/>
      <c r="HF32" s="180"/>
      <c r="HG32" s="180"/>
      <c r="HH32" s="180"/>
      <c r="HI32" s="180"/>
      <c r="HJ32" s="180"/>
      <c r="HK32" s="180"/>
      <c r="HL32" s="180"/>
      <c r="HM32" s="180"/>
      <c r="HN32" s="181"/>
      <c r="HO32" s="179"/>
      <c r="HP32" s="180"/>
      <c r="HQ32" s="180"/>
      <c r="HR32" s="180"/>
      <c r="HS32" s="180"/>
      <c r="HT32" s="180"/>
      <c r="HU32" s="180"/>
      <c r="HV32" s="180"/>
      <c r="HW32" s="180"/>
      <c r="HX32" s="180"/>
      <c r="HY32" s="180"/>
      <c r="HZ32" s="180"/>
      <c r="IA32" s="180"/>
      <c r="IB32" s="180"/>
      <c r="IC32" s="180"/>
      <c r="ID32" s="180"/>
      <c r="IE32" s="180"/>
      <c r="IF32" s="180"/>
      <c r="IG32" s="180"/>
      <c r="IH32" s="181"/>
    </row>
    <row r="33" spans="2:242" ht="15" thickBot="1">
      <c r="B33" s="182">
        <v>31</v>
      </c>
      <c r="C33" s="214"/>
      <c r="D33" s="215"/>
      <c r="E33" s="215"/>
      <c r="F33" s="215"/>
      <c r="G33" s="215"/>
      <c r="H33" s="215"/>
      <c r="I33" s="215"/>
      <c r="J33" s="215"/>
      <c r="K33" s="215"/>
      <c r="L33" s="215"/>
      <c r="M33" s="215"/>
      <c r="N33" s="215"/>
      <c r="O33" s="215"/>
      <c r="P33" s="215"/>
      <c r="Q33" s="215"/>
      <c r="R33" s="215"/>
      <c r="S33" s="215"/>
      <c r="T33" s="215"/>
      <c r="U33" s="215"/>
      <c r="V33" s="216"/>
      <c r="W33" s="183"/>
      <c r="X33" s="184"/>
      <c r="Y33" s="184"/>
      <c r="Z33" s="184"/>
      <c r="AA33" s="184"/>
      <c r="AB33" s="184"/>
      <c r="AC33" s="184"/>
      <c r="AD33" s="184"/>
      <c r="AE33" s="184"/>
      <c r="AF33" s="184"/>
      <c r="AG33" s="184"/>
      <c r="AH33" s="184"/>
      <c r="AI33" s="184"/>
      <c r="AJ33" s="184"/>
      <c r="AK33" s="184"/>
      <c r="AL33" s="184"/>
      <c r="AM33" s="184"/>
      <c r="AN33" s="184"/>
      <c r="AO33" s="184"/>
      <c r="AP33" s="185"/>
      <c r="AQ33" s="183">
        <v>92</v>
      </c>
      <c r="AR33" s="184">
        <v>6977</v>
      </c>
      <c r="AS33" s="184">
        <v>349</v>
      </c>
      <c r="AT33" s="184">
        <v>26528</v>
      </c>
      <c r="AU33" s="184">
        <v>498</v>
      </c>
      <c r="AV33" s="184">
        <v>66441</v>
      </c>
      <c r="AW33" s="184">
        <v>1409</v>
      </c>
      <c r="AX33" s="184">
        <v>184795</v>
      </c>
      <c r="AY33" s="184">
        <v>855</v>
      </c>
      <c r="AZ33" s="184">
        <v>110794</v>
      </c>
      <c r="BA33" s="184">
        <v>2341</v>
      </c>
      <c r="BB33" s="184">
        <v>294974</v>
      </c>
      <c r="BC33" s="184">
        <v>694</v>
      </c>
      <c r="BD33" s="184">
        <v>104459</v>
      </c>
      <c r="BE33" s="184">
        <v>1904</v>
      </c>
      <c r="BF33" s="184">
        <v>303092</v>
      </c>
      <c r="BG33" s="184">
        <v>2139</v>
      </c>
      <c r="BH33" s="184">
        <v>288668</v>
      </c>
      <c r="BI33" s="184">
        <v>6003</v>
      </c>
      <c r="BJ33" s="185">
        <v>809390</v>
      </c>
      <c r="BK33" s="183"/>
      <c r="BL33" s="184"/>
      <c r="BM33" s="184"/>
      <c r="BN33" s="184"/>
      <c r="BO33" s="184"/>
      <c r="BP33" s="184"/>
      <c r="BQ33" s="184"/>
      <c r="BR33" s="184"/>
      <c r="BS33" s="184"/>
      <c r="BT33" s="184"/>
      <c r="BU33" s="184"/>
      <c r="BV33" s="184"/>
      <c r="BW33" s="184"/>
      <c r="BX33" s="184"/>
      <c r="BY33" s="184"/>
      <c r="BZ33" s="184"/>
      <c r="CA33" s="184"/>
      <c r="CB33" s="184"/>
      <c r="CC33" s="184"/>
      <c r="CD33" s="185"/>
      <c r="CE33" s="183"/>
      <c r="CF33" s="184"/>
      <c r="CG33" s="184"/>
      <c r="CH33" s="184"/>
      <c r="CI33" s="184"/>
      <c r="CJ33" s="184"/>
      <c r="CK33" s="184"/>
      <c r="CL33" s="184"/>
      <c r="CM33" s="184"/>
      <c r="CN33" s="184"/>
      <c r="CO33" s="184"/>
      <c r="CP33" s="184"/>
      <c r="CQ33" s="184"/>
      <c r="CR33" s="184"/>
      <c r="CS33" s="184"/>
      <c r="CT33" s="184"/>
      <c r="CU33" s="184"/>
      <c r="CV33" s="184"/>
      <c r="CW33" s="184"/>
      <c r="CX33" s="185"/>
      <c r="CY33" s="183"/>
      <c r="CZ33" s="184"/>
      <c r="DA33" s="184"/>
      <c r="DB33" s="184"/>
      <c r="DC33" s="184"/>
      <c r="DD33" s="184"/>
      <c r="DE33" s="184"/>
      <c r="DF33" s="184"/>
      <c r="DG33" s="184"/>
      <c r="DH33" s="184"/>
      <c r="DI33" s="184"/>
      <c r="DJ33" s="184"/>
      <c r="DK33" s="184"/>
      <c r="DL33" s="184"/>
      <c r="DM33" s="184"/>
      <c r="DN33" s="184"/>
      <c r="DO33" s="184"/>
      <c r="DP33" s="184"/>
      <c r="DQ33" s="184"/>
      <c r="DR33" s="185"/>
      <c r="DS33" s="214">
        <v>226</v>
      </c>
      <c r="DT33" s="215">
        <v>19028</v>
      </c>
      <c r="DU33" s="215">
        <v>1015</v>
      </c>
      <c r="DV33" s="215">
        <v>80281</v>
      </c>
      <c r="DW33" s="215">
        <v>515</v>
      </c>
      <c r="DX33" s="215">
        <v>68450</v>
      </c>
      <c r="DY33" s="215">
        <v>3466</v>
      </c>
      <c r="DZ33" s="215">
        <v>450488</v>
      </c>
      <c r="EA33" s="215">
        <v>430</v>
      </c>
      <c r="EB33" s="215">
        <v>48687</v>
      </c>
      <c r="EC33" s="215">
        <v>4414</v>
      </c>
      <c r="ED33" s="215">
        <v>555098</v>
      </c>
      <c r="EE33" s="215">
        <v>689</v>
      </c>
      <c r="EF33" s="215">
        <v>111224</v>
      </c>
      <c r="EG33" s="215">
        <v>4636</v>
      </c>
      <c r="EH33" s="215">
        <v>728890</v>
      </c>
      <c r="EI33" s="215">
        <v>1862</v>
      </c>
      <c r="EJ33" s="215">
        <v>247389</v>
      </c>
      <c r="EK33" s="215">
        <v>13530</v>
      </c>
      <c r="EL33" s="216">
        <v>1814756</v>
      </c>
      <c r="EM33" s="183"/>
      <c r="EN33" s="184"/>
      <c r="EO33" s="184"/>
      <c r="EP33" s="184"/>
      <c r="EQ33" s="184"/>
      <c r="ER33" s="184"/>
      <c r="ES33" s="184"/>
      <c r="ET33" s="184"/>
      <c r="EU33" s="184"/>
      <c r="EV33" s="184"/>
      <c r="EW33" s="184"/>
      <c r="EX33" s="184"/>
      <c r="EY33" s="184"/>
      <c r="EZ33" s="184"/>
      <c r="FA33" s="184"/>
      <c r="FB33" s="184"/>
      <c r="FC33" s="184"/>
      <c r="FD33" s="184"/>
      <c r="FE33" s="184"/>
      <c r="FF33" s="185"/>
      <c r="FG33" s="183"/>
      <c r="FH33" s="184"/>
      <c r="FI33" s="184"/>
      <c r="FJ33" s="184"/>
      <c r="FK33" s="184"/>
      <c r="FL33" s="184"/>
      <c r="FM33" s="184"/>
      <c r="FN33" s="184"/>
      <c r="FO33" s="184"/>
      <c r="FP33" s="184"/>
      <c r="FQ33" s="184"/>
      <c r="FR33" s="184"/>
      <c r="FS33" s="184"/>
      <c r="FT33" s="184"/>
      <c r="FU33" s="184"/>
      <c r="FV33" s="184"/>
      <c r="FW33" s="184"/>
      <c r="FX33" s="184"/>
      <c r="FY33" s="184"/>
      <c r="FZ33" s="185"/>
      <c r="GA33" s="183"/>
      <c r="GB33" s="184"/>
      <c r="GC33" s="184"/>
      <c r="GD33" s="184"/>
      <c r="GE33" s="184"/>
      <c r="GF33" s="184"/>
      <c r="GG33" s="184"/>
      <c r="GH33" s="184"/>
      <c r="GI33" s="184"/>
      <c r="GJ33" s="184"/>
      <c r="GK33" s="184"/>
      <c r="GL33" s="184"/>
      <c r="GM33" s="184"/>
      <c r="GN33" s="184"/>
      <c r="GO33" s="184"/>
      <c r="GP33" s="184"/>
      <c r="GQ33" s="184"/>
      <c r="GR33" s="184"/>
      <c r="GS33" s="184"/>
      <c r="GT33" s="185"/>
      <c r="GU33" s="183"/>
      <c r="GV33" s="184"/>
      <c r="GW33" s="184"/>
      <c r="GX33" s="184"/>
      <c r="GY33" s="184"/>
      <c r="GZ33" s="184"/>
      <c r="HA33" s="184"/>
      <c r="HB33" s="184"/>
      <c r="HC33" s="184"/>
      <c r="HD33" s="184"/>
      <c r="HE33" s="184"/>
      <c r="HF33" s="184"/>
      <c r="HG33" s="184"/>
      <c r="HH33" s="184"/>
      <c r="HI33" s="184"/>
      <c r="HJ33" s="184"/>
      <c r="HK33" s="184"/>
      <c r="HL33" s="184"/>
      <c r="HM33" s="184"/>
      <c r="HN33" s="185"/>
      <c r="HO33" s="183"/>
      <c r="HP33" s="184"/>
      <c r="HQ33" s="184"/>
      <c r="HR33" s="184"/>
      <c r="HS33" s="184"/>
      <c r="HT33" s="184"/>
      <c r="HU33" s="184"/>
      <c r="HV33" s="184"/>
      <c r="HW33" s="184"/>
      <c r="HX33" s="184"/>
      <c r="HY33" s="184"/>
      <c r="HZ33" s="184"/>
      <c r="IA33" s="184"/>
      <c r="IB33" s="184"/>
      <c r="IC33" s="184"/>
      <c r="ID33" s="184"/>
      <c r="IE33" s="184"/>
      <c r="IF33" s="184"/>
      <c r="IG33" s="184"/>
      <c r="IH33" s="185"/>
    </row>
    <row r="34" spans="2:242">
      <c r="C34" s="168">
        <f t="shared" ref="C34:BN34" si="0">MAX(C3:C33)</f>
        <v>101</v>
      </c>
      <c r="D34" s="168">
        <f t="shared" si="0"/>
        <v>6699</v>
      </c>
      <c r="E34" s="168">
        <f t="shared" si="0"/>
        <v>101</v>
      </c>
      <c r="F34" s="168">
        <f t="shared" si="0"/>
        <v>6699</v>
      </c>
      <c r="G34" s="168">
        <f t="shared" si="0"/>
        <v>450</v>
      </c>
      <c r="H34" s="168">
        <f t="shared" si="0"/>
        <v>55573</v>
      </c>
      <c r="I34" s="168">
        <f t="shared" si="0"/>
        <v>450</v>
      </c>
      <c r="J34" s="168">
        <f t="shared" si="0"/>
        <v>55573</v>
      </c>
      <c r="K34" s="168">
        <f t="shared" si="0"/>
        <v>771</v>
      </c>
      <c r="L34" s="168">
        <f t="shared" si="0"/>
        <v>95711</v>
      </c>
      <c r="M34" s="168">
        <f t="shared" si="0"/>
        <v>771</v>
      </c>
      <c r="N34" s="168">
        <f t="shared" si="0"/>
        <v>95711</v>
      </c>
      <c r="O34" s="168">
        <f t="shared" si="0"/>
        <v>624</v>
      </c>
      <c r="P34" s="168">
        <f t="shared" si="0"/>
        <v>104019</v>
      </c>
      <c r="Q34" s="168">
        <f t="shared" si="0"/>
        <v>624</v>
      </c>
      <c r="R34" s="168">
        <f t="shared" si="0"/>
        <v>104019</v>
      </c>
      <c r="S34" s="168">
        <f t="shared" si="0"/>
        <v>1946</v>
      </c>
      <c r="T34" s="168">
        <f t="shared" si="0"/>
        <v>262003</v>
      </c>
      <c r="U34" s="168">
        <f t="shared" si="0"/>
        <v>1946</v>
      </c>
      <c r="V34" s="168">
        <f t="shared" si="0"/>
        <v>262003</v>
      </c>
      <c r="W34" s="168">
        <f t="shared" si="0"/>
        <v>156</v>
      </c>
      <c r="X34" s="168">
        <f t="shared" si="0"/>
        <v>12853</v>
      </c>
      <c r="Y34" s="168">
        <f t="shared" si="0"/>
        <v>257</v>
      </c>
      <c r="Z34" s="168">
        <f t="shared" si="0"/>
        <v>19552</v>
      </c>
      <c r="AA34" s="168">
        <f t="shared" si="0"/>
        <v>460</v>
      </c>
      <c r="AB34" s="168">
        <f t="shared" si="0"/>
        <v>62782</v>
      </c>
      <c r="AC34" s="168">
        <f t="shared" si="0"/>
        <v>910</v>
      </c>
      <c r="AD34" s="168">
        <f t="shared" si="0"/>
        <v>118355</v>
      </c>
      <c r="AE34" s="168">
        <f t="shared" si="0"/>
        <v>715</v>
      </c>
      <c r="AF34" s="168">
        <f t="shared" si="0"/>
        <v>88469</v>
      </c>
      <c r="AG34" s="168">
        <f t="shared" si="0"/>
        <v>1486</v>
      </c>
      <c r="AH34" s="168">
        <f t="shared" si="0"/>
        <v>184180</v>
      </c>
      <c r="AI34" s="168">
        <f t="shared" si="0"/>
        <v>586</v>
      </c>
      <c r="AJ34" s="168">
        <f t="shared" si="0"/>
        <v>94615</v>
      </c>
      <c r="AK34" s="168">
        <f t="shared" si="0"/>
        <v>1211</v>
      </c>
      <c r="AL34" s="168">
        <f t="shared" si="0"/>
        <v>198634</v>
      </c>
      <c r="AM34" s="168">
        <f t="shared" si="0"/>
        <v>1917</v>
      </c>
      <c r="AN34" s="168">
        <f t="shared" si="0"/>
        <v>258719</v>
      </c>
      <c r="AO34" s="168">
        <f t="shared" si="0"/>
        <v>3863</v>
      </c>
      <c r="AP34" s="168">
        <f t="shared" si="0"/>
        <v>520721</v>
      </c>
      <c r="AQ34" s="168">
        <f t="shared" si="0"/>
        <v>92</v>
      </c>
      <c r="AR34" s="168">
        <f t="shared" si="0"/>
        <v>6977</v>
      </c>
      <c r="AS34" s="168">
        <f t="shared" si="0"/>
        <v>349</v>
      </c>
      <c r="AT34" s="168">
        <f t="shared" si="0"/>
        <v>26528</v>
      </c>
      <c r="AU34" s="168">
        <f t="shared" si="0"/>
        <v>498</v>
      </c>
      <c r="AV34" s="168">
        <f t="shared" si="0"/>
        <v>66441</v>
      </c>
      <c r="AW34" s="168">
        <f t="shared" si="0"/>
        <v>1409</v>
      </c>
      <c r="AX34" s="168">
        <f t="shared" si="0"/>
        <v>184795</v>
      </c>
      <c r="AY34" s="168">
        <f t="shared" si="0"/>
        <v>855</v>
      </c>
      <c r="AZ34" s="168">
        <f t="shared" si="0"/>
        <v>110794</v>
      </c>
      <c r="BA34" s="168">
        <f t="shared" si="0"/>
        <v>2341</v>
      </c>
      <c r="BB34" s="168">
        <f t="shared" si="0"/>
        <v>294974</v>
      </c>
      <c r="BC34" s="168">
        <f t="shared" si="0"/>
        <v>694</v>
      </c>
      <c r="BD34" s="168">
        <f t="shared" si="0"/>
        <v>104459</v>
      </c>
      <c r="BE34" s="168">
        <f t="shared" si="0"/>
        <v>1904</v>
      </c>
      <c r="BF34" s="168">
        <f t="shared" si="0"/>
        <v>303092</v>
      </c>
      <c r="BG34" s="168">
        <f t="shared" si="0"/>
        <v>2139</v>
      </c>
      <c r="BH34" s="168">
        <f t="shared" si="0"/>
        <v>288668</v>
      </c>
      <c r="BI34" s="168">
        <f t="shared" si="0"/>
        <v>6003</v>
      </c>
      <c r="BJ34" s="168">
        <f t="shared" si="0"/>
        <v>809390</v>
      </c>
      <c r="BK34" s="168">
        <f t="shared" si="0"/>
        <v>152</v>
      </c>
      <c r="BL34" s="168">
        <f t="shared" si="0"/>
        <v>11397</v>
      </c>
      <c r="BM34" s="168">
        <f t="shared" si="0"/>
        <v>501</v>
      </c>
      <c r="BN34" s="168">
        <f t="shared" si="0"/>
        <v>37925</v>
      </c>
      <c r="BO34" s="168">
        <f t="shared" ref="BO34:DZ34" si="1">MAX(BO3:BO33)</f>
        <v>525</v>
      </c>
      <c r="BP34" s="168">
        <f t="shared" si="1"/>
        <v>67845</v>
      </c>
      <c r="BQ34" s="168">
        <f t="shared" si="1"/>
        <v>1934</v>
      </c>
      <c r="BR34" s="168">
        <f t="shared" si="1"/>
        <v>252640</v>
      </c>
      <c r="BS34" s="168">
        <f t="shared" si="1"/>
        <v>644</v>
      </c>
      <c r="BT34" s="168">
        <f t="shared" si="1"/>
        <v>79002</v>
      </c>
      <c r="BU34" s="168">
        <f t="shared" si="1"/>
        <v>2985</v>
      </c>
      <c r="BV34" s="168">
        <f t="shared" si="1"/>
        <v>373977</v>
      </c>
      <c r="BW34" s="168">
        <f t="shared" si="1"/>
        <v>698</v>
      </c>
      <c r="BX34" s="168">
        <f t="shared" si="1"/>
        <v>107659</v>
      </c>
      <c r="BY34" s="168">
        <f t="shared" si="1"/>
        <v>2602</v>
      </c>
      <c r="BZ34" s="168">
        <f t="shared" si="1"/>
        <v>410752</v>
      </c>
      <c r="CA34" s="168">
        <f t="shared" si="1"/>
        <v>2019</v>
      </c>
      <c r="CB34" s="168">
        <f t="shared" si="1"/>
        <v>265903</v>
      </c>
      <c r="CC34" s="168">
        <f t="shared" si="1"/>
        <v>8022</v>
      </c>
      <c r="CD34" s="168">
        <f t="shared" si="1"/>
        <v>1075293</v>
      </c>
      <c r="CE34" s="168">
        <f t="shared" si="1"/>
        <v>99</v>
      </c>
      <c r="CF34" s="168">
        <f t="shared" si="1"/>
        <v>7823</v>
      </c>
      <c r="CG34" s="168">
        <f t="shared" si="1"/>
        <v>600</v>
      </c>
      <c r="CH34" s="168">
        <f t="shared" si="1"/>
        <v>45747</v>
      </c>
      <c r="CI34" s="168">
        <f t="shared" si="1"/>
        <v>421</v>
      </c>
      <c r="CJ34" s="168">
        <f t="shared" si="1"/>
        <v>52352</v>
      </c>
      <c r="CK34" s="168">
        <f t="shared" si="1"/>
        <v>2356</v>
      </c>
      <c r="CL34" s="168">
        <f t="shared" si="1"/>
        <v>304992</v>
      </c>
      <c r="CM34" s="168">
        <f t="shared" si="1"/>
        <v>514</v>
      </c>
      <c r="CN34" s="168">
        <f t="shared" si="1"/>
        <v>65455</v>
      </c>
      <c r="CO34" s="168">
        <f t="shared" si="1"/>
        <v>3499</v>
      </c>
      <c r="CP34" s="168">
        <f t="shared" si="1"/>
        <v>439432</v>
      </c>
      <c r="CQ34" s="168">
        <f t="shared" si="1"/>
        <v>591</v>
      </c>
      <c r="CR34" s="168">
        <f t="shared" si="1"/>
        <v>90988</v>
      </c>
      <c r="CS34" s="168">
        <f t="shared" si="1"/>
        <v>3193</v>
      </c>
      <c r="CT34" s="168">
        <f t="shared" si="1"/>
        <v>501739</v>
      </c>
      <c r="CU34" s="168">
        <f t="shared" si="1"/>
        <v>1625</v>
      </c>
      <c r="CV34" s="168">
        <f t="shared" si="1"/>
        <v>216618</v>
      </c>
      <c r="CW34" s="168">
        <f t="shared" si="1"/>
        <v>9647</v>
      </c>
      <c r="CX34" s="168">
        <f t="shared" si="1"/>
        <v>1291911</v>
      </c>
      <c r="CY34" s="168">
        <f t="shared" si="1"/>
        <v>189</v>
      </c>
      <c r="CZ34" s="168">
        <f t="shared" si="1"/>
        <v>15506</v>
      </c>
      <c r="DA34" s="168">
        <f t="shared" si="1"/>
        <v>789</v>
      </c>
      <c r="DB34" s="168">
        <f t="shared" si="1"/>
        <v>61253</v>
      </c>
      <c r="DC34" s="168">
        <f t="shared" si="1"/>
        <v>595</v>
      </c>
      <c r="DD34" s="168">
        <f t="shared" si="1"/>
        <v>77045</v>
      </c>
      <c r="DE34" s="168">
        <f t="shared" si="1"/>
        <v>2950</v>
      </c>
      <c r="DF34" s="168">
        <f t="shared" si="1"/>
        <v>382037</v>
      </c>
      <c r="DG34" s="168">
        <f t="shared" si="1"/>
        <v>485</v>
      </c>
      <c r="DH34" s="168">
        <f t="shared" si="1"/>
        <v>66978</v>
      </c>
      <c r="DI34" s="168">
        <f t="shared" si="1"/>
        <v>3984</v>
      </c>
      <c r="DJ34" s="168">
        <f t="shared" si="1"/>
        <v>506411</v>
      </c>
      <c r="DK34" s="168">
        <f t="shared" si="1"/>
        <v>753</v>
      </c>
      <c r="DL34" s="168">
        <f t="shared" si="1"/>
        <v>115926</v>
      </c>
      <c r="DM34" s="168">
        <f t="shared" si="1"/>
        <v>3947</v>
      </c>
      <c r="DN34" s="168">
        <f t="shared" si="1"/>
        <v>617667</v>
      </c>
      <c r="DO34" s="168">
        <f t="shared" si="1"/>
        <v>2022</v>
      </c>
      <c r="DP34" s="168">
        <f t="shared" si="1"/>
        <v>275455</v>
      </c>
      <c r="DQ34" s="168">
        <f t="shared" si="1"/>
        <v>11670</v>
      </c>
      <c r="DR34" s="168">
        <f t="shared" si="1"/>
        <v>1567367</v>
      </c>
      <c r="DS34" s="168">
        <f t="shared" si="1"/>
        <v>226</v>
      </c>
      <c r="DT34" s="168">
        <f t="shared" si="1"/>
        <v>19028</v>
      </c>
      <c r="DU34" s="168">
        <f t="shared" si="1"/>
        <v>1015</v>
      </c>
      <c r="DV34" s="168">
        <f t="shared" si="1"/>
        <v>80281</v>
      </c>
      <c r="DW34" s="168">
        <f t="shared" si="1"/>
        <v>515</v>
      </c>
      <c r="DX34" s="168">
        <f t="shared" si="1"/>
        <v>68450</v>
      </c>
      <c r="DY34" s="168">
        <f t="shared" si="1"/>
        <v>3466</v>
      </c>
      <c r="DZ34" s="168">
        <f t="shared" si="1"/>
        <v>450488</v>
      </c>
      <c r="EA34" s="168">
        <f t="shared" ref="EA34:GL34" si="2">MAX(EA3:EA33)</f>
        <v>430</v>
      </c>
      <c r="EB34" s="168">
        <f t="shared" si="2"/>
        <v>48687</v>
      </c>
      <c r="EC34" s="168">
        <f t="shared" si="2"/>
        <v>4414</v>
      </c>
      <c r="ED34" s="168">
        <f t="shared" si="2"/>
        <v>555098</v>
      </c>
      <c r="EE34" s="168">
        <f t="shared" si="2"/>
        <v>689</v>
      </c>
      <c r="EF34" s="168">
        <f t="shared" si="2"/>
        <v>111224</v>
      </c>
      <c r="EG34" s="168">
        <f t="shared" si="2"/>
        <v>4636</v>
      </c>
      <c r="EH34" s="168">
        <f t="shared" si="2"/>
        <v>728890</v>
      </c>
      <c r="EI34" s="168">
        <f t="shared" si="2"/>
        <v>1862</v>
      </c>
      <c r="EJ34" s="168">
        <f t="shared" si="2"/>
        <v>247389</v>
      </c>
      <c r="EK34" s="168">
        <f t="shared" si="2"/>
        <v>13530</v>
      </c>
      <c r="EL34" s="168">
        <f t="shared" si="2"/>
        <v>1814756</v>
      </c>
      <c r="EM34" s="168">
        <f t="shared" si="2"/>
        <v>0</v>
      </c>
      <c r="EN34" s="168">
        <f t="shared" si="2"/>
        <v>2</v>
      </c>
      <c r="EO34" s="168">
        <f t="shared" si="2"/>
        <v>1015</v>
      </c>
      <c r="EP34" s="168">
        <f t="shared" si="2"/>
        <v>80283</v>
      </c>
      <c r="EQ34" s="168">
        <f t="shared" si="2"/>
        <v>125</v>
      </c>
      <c r="ER34" s="168">
        <f t="shared" si="2"/>
        <v>14631</v>
      </c>
      <c r="ES34" s="168">
        <f t="shared" si="2"/>
        <v>3591</v>
      </c>
      <c r="ET34" s="168">
        <f t="shared" si="2"/>
        <v>465117</v>
      </c>
      <c r="EU34" s="168">
        <f t="shared" si="2"/>
        <v>132</v>
      </c>
      <c r="EV34" s="168">
        <f t="shared" si="2"/>
        <v>19934</v>
      </c>
      <c r="EW34" s="168">
        <f t="shared" si="2"/>
        <v>4547</v>
      </c>
      <c r="EX34" s="168">
        <f t="shared" si="2"/>
        <v>575032</v>
      </c>
      <c r="EY34" s="168">
        <f t="shared" si="2"/>
        <v>228</v>
      </c>
      <c r="EZ34" s="168">
        <f t="shared" si="2"/>
        <v>36180</v>
      </c>
      <c r="FA34" s="168">
        <f t="shared" si="2"/>
        <v>4865</v>
      </c>
      <c r="FB34" s="168">
        <f t="shared" si="2"/>
        <v>765070</v>
      </c>
      <c r="FC34" s="168">
        <f t="shared" si="2"/>
        <v>486</v>
      </c>
      <c r="FD34" s="168">
        <f t="shared" si="2"/>
        <v>70747</v>
      </c>
      <c r="FE34" s="168">
        <f t="shared" si="2"/>
        <v>14016</v>
      </c>
      <c r="FF34" s="168">
        <f t="shared" si="2"/>
        <v>1885503</v>
      </c>
      <c r="FG34" s="168">
        <f t="shared" si="2"/>
        <v>0</v>
      </c>
      <c r="FH34" s="168">
        <f t="shared" si="2"/>
        <v>0</v>
      </c>
      <c r="FI34" s="168">
        <f t="shared" si="2"/>
        <v>0</v>
      </c>
      <c r="FJ34" s="168">
        <f t="shared" si="2"/>
        <v>0</v>
      </c>
      <c r="FK34" s="168">
        <f t="shared" si="2"/>
        <v>0</v>
      </c>
      <c r="FL34" s="168">
        <f t="shared" si="2"/>
        <v>0</v>
      </c>
      <c r="FM34" s="168">
        <f t="shared" si="2"/>
        <v>0</v>
      </c>
      <c r="FN34" s="168">
        <f t="shared" si="2"/>
        <v>0</v>
      </c>
      <c r="FO34" s="168">
        <f t="shared" si="2"/>
        <v>0</v>
      </c>
      <c r="FP34" s="168">
        <f t="shared" si="2"/>
        <v>0</v>
      </c>
      <c r="FQ34" s="168">
        <f t="shared" si="2"/>
        <v>0</v>
      </c>
      <c r="FR34" s="168">
        <f t="shared" si="2"/>
        <v>0</v>
      </c>
      <c r="FS34" s="168">
        <f t="shared" si="2"/>
        <v>0</v>
      </c>
      <c r="FT34" s="168">
        <f t="shared" si="2"/>
        <v>0</v>
      </c>
      <c r="FU34" s="168">
        <f t="shared" si="2"/>
        <v>0</v>
      </c>
      <c r="FV34" s="168">
        <f t="shared" si="2"/>
        <v>0</v>
      </c>
      <c r="FW34" s="168">
        <f t="shared" si="2"/>
        <v>0</v>
      </c>
      <c r="FX34" s="168">
        <f t="shared" si="2"/>
        <v>0</v>
      </c>
      <c r="FY34" s="168">
        <f t="shared" si="2"/>
        <v>0</v>
      </c>
      <c r="FZ34" s="168">
        <f t="shared" si="2"/>
        <v>0</v>
      </c>
      <c r="GA34" s="168">
        <f t="shared" si="2"/>
        <v>0</v>
      </c>
      <c r="GB34" s="168">
        <f t="shared" si="2"/>
        <v>0</v>
      </c>
      <c r="GC34" s="168">
        <f t="shared" si="2"/>
        <v>0</v>
      </c>
      <c r="GD34" s="168">
        <f t="shared" si="2"/>
        <v>0</v>
      </c>
      <c r="GE34" s="168">
        <f t="shared" si="2"/>
        <v>0</v>
      </c>
      <c r="GF34" s="168">
        <f t="shared" si="2"/>
        <v>0</v>
      </c>
      <c r="GG34" s="168">
        <f t="shared" si="2"/>
        <v>0</v>
      </c>
      <c r="GH34" s="168">
        <f t="shared" si="2"/>
        <v>0</v>
      </c>
      <c r="GI34" s="168">
        <f t="shared" si="2"/>
        <v>0</v>
      </c>
      <c r="GJ34" s="168">
        <f t="shared" si="2"/>
        <v>0</v>
      </c>
      <c r="GK34" s="168">
        <f t="shared" si="2"/>
        <v>0</v>
      </c>
      <c r="GL34" s="168">
        <f t="shared" si="2"/>
        <v>0</v>
      </c>
      <c r="GM34" s="168">
        <f t="shared" ref="GM34:IH34" si="3">MAX(GM3:GM33)</f>
        <v>0</v>
      </c>
      <c r="GN34" s="168">
        <f t="shared" si="3"/>
        <v>0</v>
      </c>
      <c r="GO34" s="168">
        <f t="shared" si="3"/>
        <v>0</v>
      </c>
      <c r="GP34" s="168">
        <f t="shared" si="3"/>
        <v>0</v>
      </c>
      <c r="GQ34" s="168">
        <f t="shared" si="3"/>
        <v>0</v>
      </c>
      <c r="GR34" s="168">
        <f t="shared" si="3"/>
        <v>0</v>
      </c>
      <c r="GS34" s="168">
        <f t="shared" si="3"/>
        <v>0</v>
      </c>
      <c r="GT34" s="168">
        <f t="shared" si="3"/>
        <v>0</v>
      </c>
      <c r="GU34" s="168">
        <f t="shared" si="3"/>
        <v>0</v>
      </c>
      <c r="GV34" s="168">
        <f t="shared" si="3"/>
        <v>0</v>
      </c>
      <c r="GW34" s="168">
        <f t="shared" si="3"/>
        <v>0</v>
      </c>
      <c r="GX34" s="168">
        <f t="shared" si="3"/>
        <v>0</v>
      </c>
      <c r="GY34" s="168">
        <f t="shared" si="3"/>
        <v>0</v>
      </c>
      <c r="GZ34" s="168">
        <f t="shared" si="3"/>
        <v>0</v>
      </c>
      <c r="HA34" s="168">
        <f t="shared" si="3"/>
        <v>0</v>
      </c>
      <c r="HB34" s="168">
        <f t="shared" si="3"/>
        <v>0</v>
      </c>
      <c r="HC34" s="168">
        <f t="shared" si="3"/>
        <v>0</v>
      </c>
      <c r="HD34" s="168">
        <f t="shared" si="3"/>
        <v>0</v>
      </c>
      <c r="HE34" s="168">
        <f t="shared" si="3"/>
        <v>0</v>
      </c>
      <c r="HF34" s="168">
        <f t="shared" si="3"/>
        <v>0</v>
      </c>
      <c r="HG34" s="168">
        <f t="shared" si="3"/>
        <v>0</v>
      </c>
      <c r="HH34" s="168">
        <f t="shared" si="3"/>
        <v>0</v>
      </c>
      <c r="HI34" s="168">
        <f t="shared" si="3"/>
        <v>0</v>
      </c>
      <c r="HJ34" s="168">
        <f t="shared" si="3"/>
        <v>0</v>
      </c>
      <c r="HK34" s="168">
        <f t="shared" si="3"/>
        <v>0</v>
      </c>
      <c r="HL34" s="168">
        <f t="shared" si="3"/>
        <v>0</v>
      </c>
      <c r="HM34" s="168">
        <f t="shared" si="3"/>
        <v>0</v>
      </c>
      <c r="HN34" s="168">
        <f t="shared" si="3"/>
        <v>0</v>
      </c>
      <c r="HO34" s="168">
        <f t="shared" si="3"/>
        <v>0</v>
      </c>
      <c r="HP34" s="168">
        <f t="shared" si="3"/>
        <v>0</v>
      </c>
      <c r="HQ34" s="168">
        <f t="shared" si="3"/>
        <v>0</v>
      </c>
      <c r="HR34" s="168">
        <f t="shared" si="3"/>
        <v>0</v>
      </c>
      <c r="HS34" s="168">
        <f t="shared" si="3"/>
        <v>0</v>
      </c>
      <c r="HT34" s="168">
        <f t="shared" si="3"/>
        <v>0</v>
      </c>
      <c r="HU34" s="168">
        <f t="shared" si="3"/>
        <v>0</v>
      </c>
      <c r="HV34" s="168">
        <f t="shared" si="3"/>
        <v>0</v>
      </c>
      <c r="HW34" s="168">
        <f t="shared" si="3"/>
        <v>0</v>
      </c>
      <c r="HX34" s="168">
        <f t="shared" si="3"/>
        <v>0</v>
      </c>
      <c r="HY34" s="168">
        <f t="shared" si="3"/>
        <v>0</v>
      </c>
      <c r="HZ34" s="168">
        <f t="shared" si="3"/>
        <v>0</v>
      </c>
      <c r="IA34" s="168">
        <f t="shared" si="3"/>
        <v>0</v>
      </c>
      <c r="IB34" s="168">
        <f t="shared" si="3"/>
        <v>0</v>
      </c>
      <c r="IC34" s="168">
        <f t="shared" si="3"/>
        <v>0</v>
      </c>
      <c r="ID34" s="168">
        <f t="shared" si="3"/>
        <v>0</v>
      </c>
      <c r="IE34" s="168">
        <f t="shared" si="3"/>
        <v>0</v>
      </c>
      <c r="IF34" s="168">
        <f t="shared" si="3"/>
        <v>0</v>
      </c>
      <c r="IG34" s="168">
        <f t="shared" si="3"/>
        <v>0</v>
      </c>
      <c r="IH34" s="168">
        <f t="shared" si="3"/>
        <v>0</v>
      </c>
    </row>
  </sheetData>
  <mergeCells count="12">
    <mergeCell ref="HO1:IH1"/>
    <mergeCell ref="C1:V1"/>
    <mergeCell ref="W1:AP1"/>
    <mergeCell ref="AQ1:BJ1"/>
    <mergeCell ref="BK1:CD1"/>
    <mergeCell ref="CE1:CX1"/>
    <mergeCell ref="CY1:DR1"/>
    <mergeCell ref="DS1:EL1"/>
    <mergeCell ref="EM1:FF1"/>
    <mergeCell ref="FG1:FZ1"/>
    <mergeCell ref="GA1:GT1"/>
    <mergeCell ref="GU1:HN1"/>
  </mergeCells>
  <pageMargins left="0.78740157499999996" right="0.78740157499999996" top="0.984251969" bottom="0.984251969" header="0.4921259845" footer="0.4921259845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IH34"/>
  <sheetViews>
    <sheetView showGridLines="0" zoomScale="80" zoomScaleNormal="80" zoomScalePageLayoutView="80" workbookViewId="0">
      <pane xSplit="2" ySplit="1" topLeftCell="HQ2" activePane="bottomRight" state="frozen"/>
      <selection activeCell="A17" sqref="A17"/>
      <selection pane="topRight" activeCell="A17" sqref="A17"/>
      <selection pane="bottomLeft" activeCell="A17" sqref="A17"/>
      <selection pane="bottomRight" activeCell="A3" sqref="A3"/>
    </sheetView>
  </sheetViews>
  <sheetFormatPr baseColWidth="10" defaultColWidth="10.83203125" defaultRowHeight="12" x14ac:dyDescent="0"/>
  <cols>
    <col min="1" max="16384" width="10.83203125" style="168"/>
  </cols>
  <sheetData>
    <row r="1" spans="1:242" ht="13" thickBot="1">
      <c r="A1" s="167"/>
      <c r="C1" s="332" t="s">
        <v>26</v>
      </c>
      <c r="D1" s="333"/>
      <c r="E1" s="333"/>
      <c r="F1" s="333"/>
      <c r="G1" s="333"/>
      <c r="H1" s="333"/>
      <c r="I1" s="333"/>
      <c r="J1" s="333"/>
      <c r="K1" s="333"/>
      <c r="L1" s="333"/>
      <c r="M1" s="333"/>
      <c r="N1" s="333"/>
      <c r="O1" s="333"/>
      <c r="P1" s="333"/>
      <c r="Q1" s="333"/>
      <c r="R1" s="333"/>
      <c r="S1" s="333"/>
      <c r="T1" s="333"/>
      <c r="U1" s="333"/>
      <c r="V1" s="334"/>
      <c r="W1" s="332" t="s">
        <v>27</v>
      </c>
      <c r="X1" s="333"/>
      <c r="Y1" s="333"/>
      <c r="Z1" s="333"/>
      <c r="AA1" s="333"/>
      <c r="AB1" s="333"/>
      <c r="AC1" s="333"/>
      <c r="AD1" s="333"/>
      <c r="AE1" s="333"/>
      <c r="AF1" s="333"/>
      <c r="AG1" s="333"/>
      <c r="AH1" s="333"/>
      <c r="AI1" s="333"/>
      <c r="AJ1" s="333"/>
      <c r="AK1" s="333"/>
      <c r="AL1" s="333"/>
      <c r="AM1" s="333"/>
      <c r="AN1" s="333"/>
      <c r="AO1" s="333"/>
      <c r="AP1" s="334"/>
      <c r="AQ1" s="332" t="s">
        <v>28</v>
      </c>
      <c r="AR1" s="333"/>
      <c r="AS1" s="333"/>
      <c r="AT1" s="333"/>
      <c r="AU1" s="333"/>
      <c r="AV1" s="333"/>
      <c r="AW1" s="333"/>
      <c r="AX1" s="333"/>
      <c r="AY1" s="333"/>
      <c r="AZ1" s="333"/>
      <c r="BA1" s="333"/>
      <c r="BB1" s="333"/>
      <c r="BC1" s="333"/>
      <c r="BD1" s="333"/>
      <c r="BE1" s="333"/>
      <c r="BF1" s="333"/>
      <c r="BG1" s="333"/>
      <c r="BH1" s="333"/>
      <c r="BI1" s="333"/>
      <c r="BJ1" s="334"/>
      <c r="BK1" s="332" t="s">
        <v>29</v>
      </c>
      <c r="BL1" s="333"/>
      <c r="BM1" s="333"/>
      <c r="BN1" s="333"/>
      <c r="BO1" s="333"/>
      <c r="BP1" s="333"/>
      <c r="BQ1" s="333"/>
      <c r="BR1" s="333"/>
      <c r="BS1" s="333"/>
      <c r="BT1" s="333"/>
      <c r="BU1" s="333"/>
      <c r="BV1" s="333"/>
      <c r="BW1" s="333"/>
      <c r="BX1" s="333"/>
      <c r="BY1" s="333"/>
      <c r="BZ1" s="333"/>
      <c r="CA1" s="333"/>
      <c r="CB1" s="333"/>
      <c r="CC1" s="333"/>
      <c r="CD1" s="334"/>
      <c r="CE1" s="332" t="s">
        <v>30</v>
      </c>
      <c r="CF1" s="333"/>
      <c r="CG1" s="333"/>
      <c r="CH1" s="333"/>
      <c r="CI1" s="333"/>
      <c r="CJ1" s="333"/>
      <c r="CK1" s="333"/>
      <c r="CL1" s="333"/>
      <c r="CM1" s="333"/>
      <c r="CN1" s="333"/>
      <c r="CO1" s="333"/>
      <c r="CP1" s="333"/>
      <c r="CQ1" s="333"/>
      <c r="CR1" s="333"/>
      <c r="CS1" s="333"/>
      <c r="CT1" s="333"/>
      <c r="CU1" s="333"/>
      <c r="CV1" s="333"/>
      <c r="CW1" s="333"/>
      <c r="CX1" s="334"/>
      <c r="CY1" s="332" t="s">
        <v>31</v>
      </c>
      <c r="CZ1" s="333"/>
      <c r="DA1" s="333"/>
      <c r="DB1" s="333"/>
      <c r="DC1" s="333"/>
      <c r="DD1" s="333"/>
      <c r="DE1" s="333"/>
      <c r="DF1" s="333"/>
      <c r="DG1" s="333"/>
      <c r="DH1" s="333"/>
      <c r="DI1" s="333"/>
      <c r="DJ1" s="333"/>
      <c r="DK1" s="333"/>
      <c r="DL1" s="333"/>
      <c r="DM1" s="333"/>
      <c r="DN1" s="333"/>
      <c r="DO1" s="333"/>
      <c r="DP1" s="333"/>
      <c r="DQ1" s="333"/>
      <c r="DR1" s="334"/>
      <c r="DS1" s="332" t="s">
        <v>32</v>
      </c>
      <c r="DT1" s="333"/>
      <c r="DU1" s="333"/>
      <c r="DV1" s="333"/>
      <c r="DW1" s="333"/>
      <c r="DX1" s="333"/>
      <c r="DY1" s="333"/>
      <c r="DZ1" s="333"/>
      <c r="EA1" s="333"/>
      <c r="EB1" s="333"/>
      <c r="EC1" s="333"/>
      <c r="ED1" s="333"/>
      <c r="EE1" s="333"/>
      <c r="EF1" s="333"/>
      <c r="EG1" s="333"/>
      <c r="EH1" s="333"/>
      <c r="EI1" s="333"/>
      <c r="EJ1" s="333"/>
      <c r="EK1" s="333"/>
      <c r="EL1" s="334"/>
      <c r="EM1" s="332" t="s">
        <v>161</v>
      </c>
      <c r="EN1" s="333"/>
      <c r="EO1" s="333"/>
      <c r="EP1" s="333"/>
      <c r="EQ1" s="333"/>
      <c r="ER1" s="333"/>
      <c r="ES1" s="333"/>
      <c r="ET1" s="333"/>
      <c r="EU1" s="333"/>
      <c r="EV1" s="333"/>
      <c r="EW1" s="333"/>
      <c r="EX1" s="333"/>
      <c r="EY1" s="333"/>
      <c r="EZ1" s="333"/>
      <c r="FA1" s="333"/>
      <c r="FB1" s="333"/>
      <c r="FC1" s="333"/>
      <c r="FD1" s="333"/>
      <c r="FE1" s="333"/>
      <c r="FF1" s="334"/>
      <c r="FG1" s="332" t="s">
        <v>34</v>
      </c>
      <c r="FH1" s="333"/>
      <c r="FI1" s="333"/>
      <c r="FJ1" s="333"/>
      <c r="FK1" s="333"/>
      <c r="FL1" s="333"/>
      <c r="FM1" s="333"/>
      <c r="FN1" s="333"/>
      <c r="FO1" s="333"/>
      <c r="FP1" s="333"/>
      <c r="FQ1" s="333"/>
      <c r="FR1" s="333"/>
      <c r="FS1" s="333"/>
      <c r="FT1" s="333"/>
      <c r="FU1" s="333"/>
      <c r="FV1" s="333"/>
      <c r="FW1" s="333"/>
      <c r="FX1" s="333"/>
      <c r="FY1" s="333"/>
      <c r="FZ1" s="334"/>
      <c r="GA1" s="332" t="s">
        <v>35</v>
      </c>
      <c r="GB1" s="333"/>
      <c r="GC1" s="333"/>
      <c r="GD1" s="333"/>
      <c r="GE1" s="333"/>
      <c r="GF1" s="333"/>
      <c r="GG1" s="333"/>
      <c r="GH1" s="333"/>
      <c r="GI1" s="333"/>
      <c r="GJ1" s="333"/>
      <c r="GK1" s="333"/>
      <c r="GL1" s="333"/>
      <c r="GM1" s="333"/>
      <c r="GN1" s="333"/>
      <c r="GO1" s="333"/>
      <c r="GP1" s="333"/>
      <c r="GQ1" s="333"/>
      <c r="GR1" s="333"/>
      <c r="GS1" s="333"/>
      <c r="GT1" s="334"/>
      <c r="GU1" s="332" t="s">
        <v>36</v>
      </c>
      <c r="GV1" s="333"/>
      <c r="GW1" s="333"/>
      <c r="GX1" s="333"/>
      <c r="GY1" s="333"/>
      <c r="GZ1" s="333"/>
      <c r="HA1" s="333"/>
      <c r="HB1" s="333"/>
      <c r="HC1" s="333"/>
      <c r="HD1" s="333"/>
      <c r="HE1" s="333"/>
      <c r="HF1" s="333"/>
      <c r="HG1" s="333"/>
      <c r="HH1" s="333"/>
      <c r="HI1" s="333"/>
      <c r="HJ1" s="333"/>
      <c r="HK1" s="333"/>
      <c r="HL1" s="333"/>
      <c r="HM1" s="333"/>
      <c r="HN1" s="334"/>
      <c r="HO1" s="332" t="s">
        <v>37</v>
      </c>
      <c r="HP1" s="333"/>
      <c r="HQ1" s="333"/>
      <c r="HR1" s="333"/>
      <c r="HS1" s="333"/>
      <c r="HT1" s="333"/>
      <c r="HU1" s="333"/>
      <c r="HV1" s="333"/>
      <c r="HW1" s="333"/>
      <c r="HX1" s="333"/>
      <c r="HY1" s="333"/>
      <c r="HZ1" s="333"/>
      <c r="IA1" s="333"/>
      <c r="IB1" s="333"/>
      <c r="IC1" s="333"/>
      <c r="ID1" s="333"/>
      <c r="IE1" s="333"/>
      <c r="IF1" s="333"/>
      <c r="IG1" s="333"/>
      <c r="IH1" s="334"/>
    </row>
    <row r="2" spans="1:242" ht="13" thickBot="1">
      <c r="A2" s="169"/>
      <c r="B2" s="170" t="s">
        <v>162</v>
      </c>
      <c r="C2" s="171">
        <v>51</v>
      </c>
      <c r="D2" s="172">
        <v>52</v>
      </c>
      <c r="E2" s="172">
        <v>112</v>
      </c>
      <c r="F2" s="172">
        <v>113</v>
      </c>
      <c r="G2" s="172">
        <v>173</v>
      </c>
      <c r="H2" s="172">
        <v>174</v>
      </c>
      <c r="I2" s="172">
        <v>234</v>
      </c>
      <c r="J2" s="172">
        <v>235</v>
      </c>
      <c r="K2" s="172">
        <v>295</v>
      </c>
      <c r="L2" s="172">
        <v>296</v>
      </c>
      <c r="M2" s="172">
        <v>356</v>
      </c>
      <c r="N2" s="172">
        <v>357</v>
      </c>
      <c r="O2" s="172">
        <v>539</v>
      </c>
      <c r="P2" s="172">
        <v>540</v>
      </c>
      <c r="Q2" s="172">
        <v>600</v>
      </c>
      <c r="R2" s="172">
        <v>601</v>
      </c>
      <c r="S2" s="172">
        <v>661</v>
      </c>
      <c r="T2" s="172">
        <v>662</v>
      </c>
      <c r="U2" s="172">
        <v>722</v>
      </c>
      <c r="V2" s="173">
        <v>723</v>
      </c>
      <c r="W2" s="171">
        <v>51</v>
      </c>
      <c r="X2" s="172">
        <v>52</v>
      </c>
      <c r="Y2" s="172">
        <v>112</v>
      </c>
      <c r="Z2" s="172">
        <v>113</v>
      </c>
      <c r="AA2" s="172">
        <v>173</v>
      </c>
      <c r="AB2" s="172">
        <v>174</v>
      </c>
      <c r="AC2" s="172">
        <v>234</v>
      </c>
      <c r="AD2" s="172">
        <v>235</v>
      </c>
      <c r="AE2" s="172">
        <v>295</v>
      </c>
      <c r="AF2" s="172">
        <v>296</v>
      </c>
      <c r="AG2" s="172">
        <v>356</v>
      </c>
      <c r="AH2" s="172">
        <v>357</v>
      </c>
      <c r="AI2" s="172">
        <v>539</v>
      </c>
      <c r="AJ2" s="172">
        <v>540</v>
      </c>
      <c r="AK2" s="172">
        <v>600</v>
      </c>
      <c r="AL2" s="172">
        <v>601</v>
      </c>
      <c r="AM2" s="172">
        <v>661</v>
      </c>
      <c r="AN2" s="172">
        <v>662</v>
      </c>
      <c r="AO2" s="172">
        <v>722</v>
      </c>
      <c r="AP2" s="173">
        <v>723</v>
      </c>
      <c r="AQ2" s="171">
        <v>51</v>
      </c>
      <c r="AR2" s="172">
        <v>52</v>
      </c>
      <c r="AS2" s="172">
        <v>112</v>
      </c>
      <c r="AT2" s="172">
        <v>113</v>
      </c>
      <c r="AU2" s="172">
        <v>173</v>
      </c>
      <c r="AV2" s="172">
        <v>174</v>
      </c>
      <c r="AW2" s="172">
        <v>234</v>
      </c>
      <c r="AX2" s="172">
        <v>235</v>
      </c>
      <c r="AY2" s="172">
        <v>295</v>
      </c>
      <c r="AZ2" s="172">
        <v>296</v>
      </c>
      <c r="BA2" s="172">
        <v>356</v>
      </c>
      <c r="BB2" s="172">
        <v>357</v>
      </c>
      <c r="BC2" s="172">
        <v>539</v>
      </c>
      <c r="BD2" s="172">
        <v>540</v>
      </c>
      <c r="BE2" s="172">
        <v>600</v>
      </c>
      <c r="BF2" s="172">
        <v>601</v>
      </c>
      <c r="BG2" s="172">
        <v>661</v>
      </c>
      <c r="BH2" s="172">
        <v>662</v>
      </c>
      <c r="BI2" s="172">
        <v>722</v>
      </c>
      <c r="BJ2" s="173">
        <v>723</v>
      </c>
      <c r="BK2" s="171">
        <v>51</v>
      </c>
      <c r="BL2" s="172">
        <v>52</v>
      </c>
      <c r="BM2" s="172">
        <v>112</v>
      </c>
      <c r="BN2" s="172">
        <v>113</v>
      </c>
      <c r="BO2" s="172">
        <v>173</v>
      </c>
      <c r="BP2" s="172">
        <v>174</v>
      </c>
      <c r="BQ2" s="172">
        <v>234</v>
      </c>
      <c r="BR2" s="172">
        <v>235</v>
      </c>
      <c r="BS2" s="172">
        <v>295</v>
      </c>
      <c r="BT2" s="172">
        <v>296</v>
      </c>
      <c r="BU2" s="172">
        <v>356</v>
      </c>
      <c r="BV2" s="172">
        <v>357</v>
      </c>
      <c r="BW2" s="172">
        <v>539</v>
      </c>
      <c r="BX2" s="172">
        <v>540</v>
      </c>
      <c r="BY2" s="172">
        <v>600</v>
      </c>
      <c r="BZ2" s="172">
        <v>601</v>
      </c>
      <c r="CA2" s="172">
        <v>661</v>
      </c>
      <c r="CB2" s="172">
        <v>662</v>
      </c>
      <c r="CC2" s="172">
        <v>722</v>
      </c>
      <c r="CD2" s="173">
        <v>723</v>
      </c>
      <c r="CE2" s="171">
        <v>51</v>
      </c>
      <c r="CF2" s="172">
        <v>52</v>
      </c>
      <c r="CG2" s="172">
        <v>112</v>
      </c>
      <c r="CH2" s="172">
        <v>113</v>
      </c>
      <c r="CI2" s="172">
        <v>173</v>
      </c>
      <c r="CJ2" s="172">
        <v>174</v>
      </c>
      <c r="CK2" s="172">
        <v>234</v>
      </c>
      <c r="CL2" s="172">
        <v>235</v>
      </c>
      <c r="CM2" s="172">
        <v>295</v>
      </c>
      <c r="CN2" s="172">
        <v>296</v>
      </c>
      <c r="CO2" s="172">
        <v>356</v>
      </c>
      <c r="CP2" s="172">
        <v>357</v>
      </c>
      <c r="CQ2" s="172">
        <v>539</v>
      </c>
      <c r="CR2" s="172">
        <v>540</v>
      </c>
      <c r="CS2" s="172">
        <v>600</v>
      </c>
      <c r="CT2" s="172">
        <v>601</v>
      </c>
      <c r="CU2" s="172">
        <v>661</v>
      </c>
      <c r="CV2" s="172">
        <v>662</v>
      </c>
      <c r="CW2" s="172">
        <v>722</v>
      </c>
      <c r="CX2" s="173">
        <v>723</v>
      </c>
      <c r="CY2" s="171">
        <v>51</v>
      </c>
      <c r="CZ2" s="172">
        <v>52</v>
      </c>
      <c r="DA2" s="172">
        <v>112</v>
      </c>
      <c r="DB2" s="172">
        <v>113</v>
      </c>
      <c r="DC2" s="172">
        <v>173</v>
      </c>
      <c r="DD2" s="172">
        <v>174</v>
      </c>
      <c r="DE2" s="172">
        <v>234</v>
      </c>
      <c r="DF2" s="172">
        <v>235</v>
      </c>
      <c r="DG2" s="172">
        <v>295</v>
      </c>
      <c r="DH2" s="172">
        <v>296</v>
      </c>
      <c r="DI2" s="172">
        <v>356</v>
      </c>
      <c r="DJ2" s="172">
        <v>357</v>
      </c>
      <c r="DK2" s="172">
        <v>539</v>
      </c>
      <c r="DL2" s="172">
        <v>540</v>
      </c>
      <c r="DM2" s="172">
        <v>600</v>
      </c>
      <c r="DN2" s="172">
        <v>601</v>
      </c>
      <c r="DO2" s="172">
        <v>661</v>
      </c>
      <c r="DP2" s="172">
        <v>662</v>
      </c>
      <c r="DQ2" s="172">
        <v>722</v>
      </c>
      <c r="DR2" s="173">
        <v>723</v>
      </c>
      <c r="DS2" s="171">
        <v>51</v>
      </c>
      <c r="DT2" s="172">
        <v>52</v>
      </c>
      <c r="DU2" s="172">
        <v>112</v>
      </c>
      <c r="DV2" s="172">
        <v>113</v>
      </c>
      <c r="DW2" s="172">
        <v>173</v>
      </c>
      <c r="DX2" s="172">
        <v>174</v>
      </c>
      <c r="DY2" s="172">
        <v>234</v>
      </c>
      <c r="DZ2" s="172">
        <v>235</v>
      </c>
      <c r="EA2" s="172">
        <v>295</v>
      </c>
      <c r="EB2" s="172">
        <v>296</v>
      </c>
      <c r="EC2" s="172">
        <v>356</v>
      </c>
      <c r="ED2" s="172">
        <v>357</v>
      </c>
      <c r="EE2" s="172">
        <v>539</v>
      </c>
      <c r="EF2" s="172">
        <v>540</v>
      </c>
      <c r="EG2" s="172">
        <v>600</v>
      </c>
      <c r="EH2" s="172">
        <v>601</v>
      </c>
      <c r="EI2" s="172">
        <v>661</v>
      </c>
      <c r="EJ2" s="172">
        <v>662</v>
      </c>
      <c r="EK2" s="172">
        <v>722</v>
      </c>
      <c r="EL2" s="173">
        <v>723</v>
      </c>
      <c r="EM2" s="171">
        <v>51</v>
      </c>
      <c r="EN2" s="172">
        <v>52</v>
      </c>
      <c r="EO2" s="172">
        <v>112</v>
      </c>
      <c r="EP2" s="172">
        <v>113</v>
      </c>
      <c r="EQ2" s="172">
        <v>173</v>
      </c>
      <c r="ER2" s="172">
        <v>174</v>
      </c>
      <c r="ES2" s="172">
        <v>234</v>
      </c>
      <c r="ET2" s="172">
        <v>235</v>
      </c>
      <c r="EU2" s="172">
        <v>295</v>
      </c>
      <c r="EV2" s="172">
        <v>296</v>
      </c>
      <c r="EW2" s="172">
        <v>356</v>
      </c>
      <c r="EX2" s="172">
        <v>357</v>
      </c>
      <c r="EY2" s="172">
        <v>539</v>
      </c>
      <c r="EZ2" s="172">
        <v>540</v>
      </c>
      <c r="FA2" s="172">
        <v>600</v>
      </c>
      <c r="FB2" s="172">
        <v>601</v>
      </c>
      <c r="FC2" s="172">
        <v>661</v>
      </c>
      <c r="FD2" s="172">
        <v>662</v>
      </c>
      <c r="FE2" s="172">
        <v>722</v>
      </c>
      <c r="FF2" s="173">
        <v>723</v>
      </c>
      <c r="FG2" s="171">
        <v>51</v>
      </c>
      <c r="FH2" s="172">
        <v>52</v>
      </c>
      <c r="FI2" s="172">
        <v>112</v>
      </c>
      <c r="FJ2" s="172">
        <v>113</v>
      </c>
      <c r="FK2" s="172">
        <v>173</v>
      </c>
      <c r="FL2" s="172">
        <v>174</v>
      </c>
      <c r="FM2" s="172">
        <v>234</v>
      </c>
      <c r="FN2" s="172">
        <v>235</v>
      </c>
      <c r="FO2" s="172">
        <v>295</v>
      </c>
      <c r="FP2" s="172">
        <v>296</v>
      </c>
      <c r="FQ2" s="172">
        <v>356</v>
      </c>
      <c r="FR2" s="172">
        <v>357</v>
      </c>
      <c r="FS2" s="172">
        <v>539</v>
      </c>
      <c r="FT2" s="172">
        <v>540</v>
      </c>
      <c r="FU2" s="172">
        <v>600</v>
      </c>
      <c r="FV2" s="172">
        <v>601</v>
      </c>
      <c r="FW2" s="172">
        <v>661</v>
      </c>
      <c r="FX2" s="172">
        <v>662</v>
      </c>
      <c r="FY2" s="172">
        <v>722</v>
      </c>
      <c r="FZ2" s="173">
        <v>723</v>
      </c>
      <c r="GA2" s="171">
        <v>51</v>
      </c>
      <c r="GB2" s="172">
        <v>52</v>
      </c>
      <c r="GC2" s="172">
        <v>112</v>
      </c>
      <c r="GD2" s="172">
        <v>113</v>
      </c>
      <c r="GE2" s="172">
        <v>173</v>
      </c>
      <c r="GF2" s="172">
        <v>174</v>
      </c>
      <c r="GG2" s="172">
        <v>234</v>
      </c>
      <c r="GH2" s="172">
        <v>235</v>
      </c>
      <c r="GI2" s="172">
        <v>295</v>
      </c>
      <c r="GJ2" s="172">
        <v>296</v>
      </c>
      <c r="GK2" s="172">
        <v>356</v>
      </c>
      <c r="GL2" s="172">
        <v>357</v>
      </c>
      <c r="GM2" s="172">
        <v>539</v>
      </c>
      <c r="GN2" s="172">
        <v>540</v>
      </c>
      <c r="GO2" s="172">
        <v>600</v>
      </c>
      <c r="GP2" s="172">
        <v>601</v>
      </c>
      <c r="GQ2" s="172">
        <v>661</v>
      </c>
      <c r="GR2" s="172">
        <v>662</v>
      </c>
      <c r="GS2" s="172">
        <v>722</v>
      </c>
      <c r="GT2" s="173">
        <v>723</v>
      </c>
      <c r="GU2" s="171">
        <v>51</v>
      </c>
      <c r="GV2" s="172">
        <v>52</v>
      </c>
      <c r="GW2" s="172">
        <v>112</v>
      </c>
      <c r="GX2" s="172">
        <v>113</v>
      </c>
      <c r="GY2" s="172">
        <v>173</v>
      </c>
      <c r="GZ2" s="172">
        <v>174</v>
      </c>
      <c r="HA2" s="172">
        <v>234</v>
      </c>
      <c r="HB2" s="172">
        <v>235</v>
      </c>
      <c r="HC2" s="172">
        <v>295</v>
      </c>
      <c r="HD2" s="172">
        <v>296</v>
      </c>
      <c r="HE2" s="172">
        <v>356</v>
      </c>
      <c r="HF2" s="172">
        <v>357</v>
      </c>
      <c r="HG2" s="172">
        <v>539</v>
      </c>
      <c r="HH2" s="172">
        <v>540</v>
      </c>
      <c r="HI2" s="172">
        <v>600</v>
      </c>
      <c r="HJ2" s="172">
        <v>601</v>
      </c>
      <c r="HK2" s="172">
        <v>661</v>
      </c>
      <c r="HL2" s="172">
        <v>662</v>
      </c>
      <c r="HM2" s="172">
        <v>722</v>
      </c>
      <c r="HN2" s="173">
        <v>723</v>
      </c>
      <c r="HO2" s="171">
        <v>51</v>
      </c>
      <c r="HP2" s="172">
        <v>52</v>
      </c>
      <c r="HQ2" s="172">
        <v>112</v>
      </c>
      <c r="HR2" s="172">
        <v>113</v>
      </c>
      <c r="HS2" s="172">
        <v>173</v>
      </c>
      <c r="HT2" s="172">
        <v>174</v>
      </c>
      <c r="HU2" s="172">
        <v>234</v>
      </c>
      <c r="HV2" s="172">
        <v>235</v>
      </c>
      <c r="HW2" s="172">
        <v>295</v>
      </c>
      <c r="HX2" s="172">
        <v>296</v>
      </c>
      <c r="HY2" s="172">
        <v>356</v>
      </c>
      <c r="HZ2" s="172">
        <v>357</v>
      </c>
      <c r="IA2" s="172">
        <v>539</v>
      </c>
      <c r="IB2" s="172">
        <v>540</v>
      </c>
      <c r="IC2" s="172">
        <v>600</v>
      </c>
      <c r="ID2" s="172">
        <v>601</v>
      </c>
      <c r="IE2" s="172">
        <v>661</v>
      </c>
      <c r="IF2" s="172">
        <v>662</v>
      </c>
      <c r="IG2" s="172">
        <v>722</v>
      </c>
      <c r="IH2" s="173">
        <v>723</v>
      </c>
    </row>
    <row r="3" spans="1:242">
      <c r="A3" s="174"/>
      <c r="B3" s="175">
        <v>1</v>
      </c>
      <c r="C3" s="176"/>
      <c r="D3" s="177"/>
      <c r="E3" s="177"/>
      <c r="F3" s="177"/>
      <c r="G3" s="177"/>
      <c r="H3" s="177"/>
      <c r="I3" s="177"/>
      <c r="J3" s="177"/>
      <c r="K3" s="177"/>
      <c r="L3" s="177"/>
      <c r="M3" s="177"/>
      <c r="N3" s="177"/>
      <c r="O3" s="177"/>
      <c r="P3" s="177"/>
      <c r="Q3" s="177"/>
      <c r="R3" s="177"/>
      <c r="S3" s="177"/>
      <c r="T3" s="177"/>
      <c r="U3" s="177"/>
      <c r="V3" s="178"/>
      <c r="W3" s="176"/>
      <c r="X3" s="177"/>
      <c r="Y3" s="177"/>
      <c r="Z3" s="177"/>
      <c r="AA3" s="177"/>
      <c r="AB3" s="177"/>
      <c r="AC3" s="177"/>
      <c r="AD3" s="177"/>
      <c r="AE3" s="177"/>
      <c r="AF3" s="177"/>
      <c r="AG3" s="177"/>
      <c r="AH3" s="177"/>
      <c r="AI3" s="177"/>
      <c r="AJ3" s="177"/>
      <c r="AK3" s="177"/>
      <c r="AL3" s="177"/>
      <c r="AM3" s="177"/>
      <c r="AN3" s="177"/>
      <c r="AO3" s="177"/>
      <c r="AP3" s="178"/>
      <c r="AQ3" s="176"/>
      <c r="AR3" s="177"/>
      <c r="AS3" s="177"/>
      <c r="AT3" s="177"/>
      <c r="AU3" s="177"/>
      <c r="AV3" s="177"/>
      <c r="AW3" s="177"/>
      <c r="AX3" s="177"/>
      <c r="AY3" s="177"/>
      <c r="AZ3" s="177"/>
      <c r="BA3" s="177"/>
      <c r="BB3" s="177"/>
      <c r="BC3" s="177"/>
      <c r="BD3" s="177"/>
      <c r="BE3" s="177"/>
      <c r="BF3" s="177"/>
      <c r="BG3" s="177"/>
      <c r="BH3" s="177"/>
      <c r="BI3" s="177"/>
      <c r="BJ3" s="178"/>
      <c r="BK3" s="176">
        <v>0</v>
      </c>
      <c r="BL3" s="177">
        <v>0</v>
      </c>
      <c r="BM3" s="177">
        <v>305</v>
      </c>
      <c r="BN3" s="177">
        <v>23939</v>
      </c>
      <c r="BO3" s="177">
        <v>24</v>
      </c>
      <c r="BP3" s="177">
        <v>2672</v>
      </c>
      <c r="BQ3" s="177">
        <v>1315</v>
      </c>
      <c r="BR3" s="177">
        <v>171442</v>
      </c>
      <c r="BS3" s="177">
        <v>1</v>
      </c>
      <c r="BT3" s="177">
        <v>590</v>
      </c>
      <c r="BU3" s="177">
        <v>2407</v>
      </c>
      <c r="BV3" s="177">
        <v>287562</v>
      </c>
      <c r="BW3" s="177">
        <v>36</v>
      </c>
      <c r="BX3" s="177">
        <v>5639</v>
      </c>
      <c r="BY3" s="177">
        <v>2039</v>
      </c>
      <c r="BZ3" s="177">
        <v>314555</v>
      </c>
      <c r="CA3" s="177">
        <v>61</v>
      </c>
      <c r="CB3" s="177">
        <v>8901</v>
      </c>
      <c r="CC3" s="177">
        <v>6066</v>
      </c>
      <c r="CD3" s="178">
        <v>797498</v>
      </c>
      <c r="CE3" s="176"/>
      <c r="CF3" s="177"/>
      <c r="CG3" s="177"/>
      <c r="CH3" s="177"/>
      <c r="CI3" s="177"/>
      <c r="CJ3" s="177"/>
      <c r="CK3" s="177"/>
      <c r="CL3" s="177"/>
      <c r="CM3" s="177"/>
      <c r="CN3" s="177"/>
      <c r="CO3" s="177"/>
      <c r="CP3" s="177"/>
      <c r="CQ3" s="177"/>
      <c r="CR3" s="177"/>
      <c r="CS3" s="177"/>
      <c r="CT3" s="177"/>
      <c r="CU3" s="177"/>
      <c r="CV3" s="177"/>
      <c r="CW3" s="177"/>
      <c r="CX3" s="178"/>
      <c r="CY3" s="176"/>
      <c r="CZ3" s="177"/>
      <c r="DA3" s="177"/>
      <c r="DB3" s="177"/>
      <c r="DC3" s="177"/>
      <c r="DD3" s="177"/>
      <c r="DE3" s="177"/>
      <c r="DF3" s="177"/>
      <c r="DG3" s="177"/>
      <c r="DH3" s="177"/>
      <c r="DI3" s="177"/>
      <c r="DJ3" s="177"/>
      <c r="DK3" s="177"/>
      <c r="DL3" s="177"/>
      <c r="DM3" s="177"/>
      <c r="DN3" s="177"/>
      <c r="DO3" s="177"/>
      <c r="DP3" s="177"/>
      <c r="DQ3" s="177"/>
      <c r="DR3" s="178"/>
      <c r="DS3" s="176">
        <v>1</v>
      </c>
      <c r="DT3" s="177">
        <v>66</v>
      </c>
      <c r="DU3" s="177">
        <v>646</v>
      </c>
      <c r="DV3" s="177">
        <v>51722</v>
      </c>
      <c r="DW3" s="177">
        <v>16</v>
      </c>
      <c r="DX3" s="177">
        <v>2526</v>
      </c>
      <c r="DY3" s="177">
        <v>2702</v>
      </c>
      <c r="DZ3" s="177">
        <v>346495</v>
      </c>
      <c r="EA3" s="177">
        <v>4</v>
      </c>
      <c r="EB3" s="177">
        <v>357</v>
      </c>
      <c r="EC3" s="177">
        <v>4293</v>
      </c>
      <c r="ED3" s="177">
        <v>513869</v>
      </c>
      <c r="EE3" s="177">
        <v>46</v>
      </c>
      <c r="EF3" s="177">
        <v>7097</v>
      </c>
      <c r="EG3" s="177">
        <v>4280</v>
      </c>
      <c r="EH3" s="177">
        <v>651014</v>
      </c>
      <c r="EI3" s="177">
        <v>67</v>
      </c>
      <c r="EJ3" s="177">
        <v>10044</v>
      </c>
      <c r="EK3" s="177">
        <v>11919</v>
      </c>
      <c r="EL3" s="178">
        <v>1563101</v>
      </c>
      <c r="EM3" s="176">
        <v>2</v>
      </c>
      <c r="EN3" s="177">
        <v>163</v>
      </c>
      <c r="EO3" s="177">
        <v>808</v>
      </c>
      <c r="EP3" s="177">
        <v>65494</v>
      </c>
      <c r="EQ3" s="177">
        <v>20</v>
      </c>
      <c r="ER3" s="177">
        <v>2270</v>
      </c>
      <c r="ES3" s="177">
        <v>3221</v>
      </c>
      <c r="ET3" s="177">
        <v>412496</v>
      </c>
      <c r="EU3" s="177">
        <v>5</v>
      </c>
      <c r="EV3" s="177">
        <v>403</v>
      </c>
      <c r="EW3" s="177">
        <v>4950</v>
      </c>
      <c r="EX3" s="177">
        <v>588811</v>
      </c>
      <c r="EY3" s="177">
        <v>35</v>
      </c>
      <c r="EZ3" s="177">
        <v>5813</v>
      </c>
      <c r="FA3" s="177">
        <v>5007</v>
      </c>
      <c r="FB3" s="177">
        <v>762637</v>
      </c>
      <c r="FC3" s="177">
        <v>61</v>
      </c>
      <c r="FD3" s="177">
        <v>8650</v>
      </c>
      <c r="FE3" s="177">
        <v>13988</v>
      </c>
      <c r="FF3" s="178">
        <v>1829438</v>
      </c>
      <c r="FG3" s="176">
        <v>9</v>
      </c>
      <c r="FH3" s="177">
        <v>465</v>
      </c>
      <c r="FI3" s="177">
        <v>937</v>
      </c>
      <c r="FJ3" s="177">
        <v>76747</v>
      </c>
      <c r="FK3" s="177">
        <v>18</v>
      </c>
      <c r="FL3" s="177">
        <v>2040</v>
      </c>
      <c r="FM3" s="177">
        <v>3606</v>
      </c>
      <c r="FN3" s="177">
        <v>461506</v>
      </c>
      <c r="FO3" s="177">
        <v>13</v>
      </c>
      <c r="FP3" s="177">
        <v>1655</v>
      </c>
      <c r="FQ3" s="177">
        <v>5507</v>
      </c>
      <c r="FR3" s="177">
        <v>661142</v>
      </c>
      <c r="FS3" s="177">
        <v>43</v>
      </c>
      <c r="FT3" s="177">
        <v>5705</v>
      </c>
      <c r="FU3" s="177">
        <v>5661</v>
      </c>
      <c r="FV3" s="177">
        <v>863823</v>
      </c>
      <c r="FW3" s="177">
        <v>83</v>
      </c>
      <c r="FX3" s="177">
        <v>9866</v>
      </c>
      <c r="FY3" s="177">
        <v>15711</v>
      </c>
      <c r="FZ3" s="178">
        <v>2063215</v>
      </c>
      <c r="GA3" s="176">
        <v>14</v>
      </c>
      <c r="GB3" s="177">
        <v>921</v>
      </c>
      <c r="GC3" s="177">
        <v>1079</v>
      </c>
      <c r="GD3" s="177">
        <v>87621</v>
      </c>
      <c r="GE3" s="177">
        <v>23</v>
      </c>
      <c r="GF3" s="177">
        <v>3160</v>
      </c>
      <c r="GG3" s="177">
        <v>4132</v>
      </c>
      <c r="GH3" s="177">
        <v>533255</v>
      </c>
      <c r="GI3" s="177">
        <v>13</v>
      </c>
      <c r="GJ3" s="177">
        <v>1611</v>
      </c>
      <c r="GK3" s="177">
        <v>6241</v>
      </c>
      <c r="GL3" s="177">
        <v>749571</v>
      </c>
      <c r="GM3" s="177">
        <v>16</v>
      </c>
      <c r="GN3" s="177">
        <v>2154</v>
      </c>
      <c r="GO3" s="177">
        <v>6339</v>
      </c>
      <c r="GP3" s="177">
        <v>970331</v>
      </c>
      <c r="GQ3" s="177">
        <v>65</v>
      </c>
      <c r="GR3" s="177">
        <v>7846</v>
      </c>
      <c r="GS3" s="177">
        <v>17790</v>
      </c>
      <c r="GT3" s="178">
        <v>2340780</v>
      </c>
      <c r="GU3" s="176"/>
      <c r="GV3" s="177"/>
      <c r="GW3" s="177"/>
      <c r="GX3" s="177"/>
      <c r="GY3" s="177"/>
      <c r="GZ3" s="177"/>
      <c r="HA3" s="177"/>
      <c r="HB3" s="177"/>
      <c r="HC3" s="177"/>
      <c r="HD3" s="177"/>
      <c r="HE3" s="177"/>
      <c r="HF3" s="177"/>
      <c r="HG3" s="177"/>
      <c r="HH3" s="177"/>
      <c r="HI3" s="177"/>
      <c r="HJ3" s="177"/>
      <c r="HK3" s="177"/>
      <c r="HL3" s="177"/>
      <c r="HM3" s="177"/>
      <c r="HN3" s="178"/>
      <c r="HO3" s="176">
        <v>5</v>
      </c>
      <c r="HP3" s="177">
        <v>473</v>
      </c>
      <c r="HQ3" s="177">
        <v>1339</v>
      </c>
      <c r="HR3" s="177">
        <v>105786</v>
      </c>
      <c r="HS3" s="177">
        <v>13</v>
      </c>
      <c r="HT3" s="177">
        <v>2104</v>
      </c>
      <c r="HU3" s="177">
        <v>5022</v>
      </c>
      <c r="HV3" s="177">
        <v>647637</v>
      </c>
      <c r="HW3" s="177">
        <v>7</v>
      </c>
      <c r="HX3" s="177">
        <v>1506</v>
      </c>
      <c r="HY3" s="177">
        <v>7738</v>
      </c>
      <c r="HZ3" s="177">
        <v>930292</v>
      </c>
      <c r="IA3" s="177">
        <v>42</v>
      </c>
      <c r="IB3" s="177">
        <v>7785</v>
      </c>
      <c r="IC3" s="177">
        <v>7716</v>
      </c>
      <c r="ID3" s="177">
        <v>1197089</v>
      </c>
      <c r="IE3" s="177">
        <v>67</v>
      </c>
      <c r="IF3" s="177">
        <v>11866</v>
      </c>
      <c r="IG3" s="177">
        <v>21815</v>
      </c>
      <c r="IH3" s="178">
        <v>2880804</v>
      </c>
    </row>
    <row r="4" spans="1:242">
      <c r="B4" s="175">
        <v>2</v>
      </c>
      <c r="C4" s="179">
        <v>10</v>
      </c>
      <c r="D4" s="180">
        <v>738</v>
      </c>
      <c r="E4" s="180">
        <v>10</v>
      </c>
      <c r="F4" s="180">
        <v>738</v>
      </c>
      <c r="G4" s="180">
        <v>11</v>
      </c>
      <c r="H4" s="180">
        <v>1895</v>
      </c>
      <c r="I4" s="180">
        <v>11</v>
      </c>
      <c r="J4" s="180">
        <v>1895</v>
      </c>
      <c r="K4" s="180">
        <v>0</v>
      </c>
      <c r="L4" s="180">
        <v>0</v>
      </c>
      <c r="M4" s="180">
        <v>0</v>
      </c>
      <c r="N4" s="180">
        <v>0</v>
      </c>
      <c r="O4" s="180">
        <v>49</v>
      </c>
      <c r="P4" s="180">
        <v>7156</v>
      </c>
      <c r="Q4" s="180">
        <v>49</v>
      </c>
      <c r="R4" s="180">
        <v>7156</v>
      </c>
      <c r="S4" s="180">
        <v>0</v>
      </c>
      <c r="T4" s="180">
        <v>0</v>
      </c>
      <c r="U4" s="180">
        <v>0</v>
      </c>
      <c r="V4" s="181">
        <v>0</v>
      </c>
      <c r="W4" s="179"/>
      <c r="X4" s="180"/>
      <c r="Y4" s="180"/>
      <c r="Z4" s="180"/>
      <c r="AA4" s="180"/>
      <c r="AB4" s="180"/>
      <c r="AC4" s="180"/>
      <c r="AD4" s="180"/>
      <c r="AE4" s="180"/>
      <c r="AF4" s="180"/>
      <c r="AG4" s="180"/>
      <c r="AH4" s="180"/>
      <c r="AI4" s="180"/>
      <c r="AJ4" s="180"/>
      <c r="AK4" s="180"/>
      <c r="AL4" s="180"/>
      <c r="AM4" s="180"/>
      <c r="AN4" s="180"/>
      <c r="AO4" s="180"/>
      <c r="AP4" s="181"/>
      <c r="AQ4" s="179"/>
      <c r="AR4" s="180"/>
      <c r="AS4" s="180"/>
      <c r="AT4" s="180"/>
      <c r="AU4" s="180"/>
      <c r="AV4" s="180"/>
      <c r="AW4" s="180"/>
      <c r="AX4" s="180"/>
      <c r="AY4" s="180"/>
      <c r="AZ4" s="180"/>
      <c r="BA4" s="180"/>
      <c r="BB4" s="180"/>
      <c r="BC4" s="180"/>
      <c r="BD4" s="180"/>
      <c r="BE4" s="180"/>
      <c r="BF4" s="180"/>
      <c r="BG4" s="180"/>
      <c r="BH4" s="180"/>
      <c r="BI4" s="180"/>
      <c r="BJ4" s="181"/>
      <c r="BK4" s="179">
        <v>0</v>
      </c>
      <c r="BL4" s="180">
        <v>0</v>
      </c>
      <c r="BM4" s="180">
        <v>305</v>
      </c>
      <c r="BN4" s="180">
        <v>23939</v>
      </c>
      <c r="BO4" s="180">
        <v>60</v>
      </c>
      <c r="BP4" s="180">
        <v>5768</v>
      </c>
      <c r="BQ4" s="180">
        <v>1350</v>
      </c>
      <c r="BR4" s="180">
        <v>174537</v>
      </c>
      <c r="BS4" s="180">
        <v>10</v>
      </c>
      <c r="BT4" s="180">
        <v>1516</v>
      </c>
      <c r="BU4" s="180">
        <v>2416</v>
      </c>
      <c r="BV4" s="180">
        <v>288487</v>
      </c>
      <c r="BW4" s="180">
        <v>100</v>
      </c>
      <c r="BX4" s="180">
        <v>15801</v>
      </c>
      <c r="BY4" s="180">
        <v>2103</v>
      </c>
      <c r="BZ4" s="180">
        <v>324718</v>
      </c>
      <c r="CA4" s="180">
        <v>170</v>
      </c>
      <c r="CB4" s="180">
        <v>23085</v>
      </c>
      <c r="CC4" s="180">
        <v>6175</v>
      </c>
      <c r="CD4" s="181">
        <v>811679</v>
      </c>
      <c r="CE4" s="179">
        <v>5</v>
      </c>
      <c r="CF4" s="180">
        <v>321</v>
      </c>
      <c r="CG4" s="180">
        <v>406</v>
      </c>
      <c r="CH4" s="180">
        <v>31947</v>
      </c>
      <c r="CI4" s="180">
        <v>16</v>
      </c>
      <c r="CJ4" s="180">
        <v>1547</v>
      </c>
      <c r="CK4" s="180">
        <v>1744</v>
      </c>
      <c r="CL4" s="180">
        <v>222690</v>
      </c>
      <c r="CM4" s="180">
        <v>9</v>
      </c>
      <c r="CN4" s="180">
        <v>927</v>
      </c>
      <c r="CO4" s="180">
        <v>3138</v>
      </c>
      <c r="CP4" s="180">
        <v>370530</v>
      </c>
      <c r="CQ4" s="180">
        <v>40</v>
      </c>
      <c r="CR4" s="180">
        <v>5922</v>
      </c>
      <c r="CS4" s="180">
        <v>2837</v>
      </c>
      <c r="CT4" s="180">
        <v>434863</v>
      </c>
      <c r="CU4" s="180">
        <v>70</v>
      </c>
      <c r="CV4" s="180">
        <v>8717</v>
      </c>
      <c r="CW4" s="180">
        <v>8126</v>
      </c>
      <c r="CX4" s="181">
        <v>1060029</v>
      </c>
      <c r="CY4" s="179">
        <v>3</v>
      </c>
      <c r="CZ4" s="180">
        <v>174</v>
      </c>
      <c r="DA4" s="180">
        <v>544</v>
      </c>
      <c r="DB4" s="180">
        <v>43101</v>
      </c>
      <c r="DC4" s="180">
        <v>24</v>
      </c>
      <c r="DD4" s="180">
        <v>3943</v>
      </c>
      <c r="DE4" s="180">
        <v>2194</v>
      </c>
      <c r="DF4" s="180">
        <v>278340</v>
      </c>
      <c r="DG4" s="180">
        <v>1</v>
      </c>
      <c r="DH4" s="180">
        <v>124</v>
      </c>
      <c r="DI4" s="180">
        <v>3606</v>
      </c>
      <c r="DJ4" s="180">
        <v>427170</v>
      </c>
      <c r="DK4" s="180">
        <v>40</v>
      </c>
      <c r="DL4" s="180">
        <v>6110</v>
      </c>
      <c r="DM4" s="180">
        <v>3509</v>
      </c>
      <c r="DN4" s="180">
        <v>535815</v>
      </c>
      <c r="DO4" s="180">
        <v>67</v>
      </c>
      <c r="DP4" s="180">
        <v>10351</v>
      </c>
      <c r="DQ4" s="180">
        <v>9852</v>
      </c>
      <c r="DR4" s="181">
        <v>1284424</v>
      </c>
      <c r="DS4" s="179">
        <v>1</v>
      </c>
      <c r="DT4" s="180">
        <v>66</v>
      </c>
      <c r="DU4" s="180">
        <v>646</v>
      </c>
      <c r="DV4" s="180">
        <v>51722</v>
      </c>
      <c r="DW4" s="180">
        <v>39</v>
      </c>
      <c r="DX4" s="180">
        <v>6406</v>
      </c>
      <c r="DY4" s="180">
        <v>2725</v>
      </c>
      <c r="DZ4" s="180">
        <v>350375</v>
      </c>
      <c r="EA4" s="180">
        <v>42</v>
      </c>
      <c r="EB4" s="180">
        <v>3510</v>
      </c>
      <c r="EC4" s="180">
        <v>4330</v>
      </c>
      <c r="ED4" s="180">
        <v>517022</v>
      </c>
      <c r="EE4" s="180">
        <v>94</v>
      </c>
      <c r="EF4" s="180">
        <v>13521</v>
      </c>
      <c r="EG4" s="180">
        <v>4328</v>
      </c>
      <c r="EH4" s="180">
        <v>657439</v>
      </c>
      <c r="EI4" s="180">
        <v>176</v>
      </c>
      <c r="EJ4" s="180">
        <v>23504</v>
      </c>
      <c r="EK4" s="180">
        <v>12028</v>
      </c>
      <c r="EL4" s="181">
        <v>1576560</v>
      </c>
      <c r="EM4" s="179"/>
      <c r="EN4" s="180"/>
      <c r="EO4" s="180"/>
      <c r="EP4" s="180"/>
      <c r="EQ4" s="180"/>
      <c r="ER4" s="180"/>
      <c r="ES4" s="180"/>
      <c r="ET4" s="180"/>
      <c r="EU4" s="180"/>
      <c r="EV4" s="180"/>
      <c r="EW4" s="180"/>
      <c r="EX4" s="180"/>
      <c r="EY4" s="180"/>
      <c r="EZ4" s="180"/>
      <c r="FA4" s="180"/>
      <c r="FB4" s="180"/>
      <c r="FC4" s="180"/>
      <c r="FD4" s="180"/>
      <c r="FE4" s="180"/>
      <c r="FF4" s="181"/>
      <c r="FG4" s="179">
        <v>10</v>
      </c>
      <c r="FH4" s="180">
        <v>518</v>
      </c>
      <c r="FI4" s="180">
        <v>938</v>
      </c>
      <c r="FJ4" s="180">
        <v>76799</v>
      </c>
      <c r="FK4" s="180">
        <v>32</v>
      </c>
      <c r="FL4" s="180">
        <v>3595</v>
      </c>
      <c r="FM4" s="180">
        <v>3620</v>
      </c>
      <c r="FN4" s="180">
        <v>463060</v>
      </c>
      <c r="FO4" s="180">
        <v>34</v>
      </c>
      <c r="FP4" s="180">
        <v>5194</v>
      </c>
      <c r="FQ4" s="180">
        <v>5528</v>
      </c>
      <c r="FR4" s="180">
        <v>664680</v>
      </c>
      <c r="FS4" s="180">
        <v>71</v>
      </c>
      <c r="FT4" s="180">
        <v>9627</v>
      </c>
      <c r="FU4" s="180">
        <v>5689</v>
      </c>
      <c r="FV4" s="180">
        <v>867743</v>
      </c>
      <c r="FW4" s="180">
        <v>146</v>
      </c>
      <c r="FX4" s="180">
        <v>18933</v>
      </c>
      <c r="FY4" s="180">
        <v>15774</v>
      </c>
      <c r="FZ4" s="181">
        <v>2072282</v>
      </c>
      <c r="GA4" s="179">
        <v>22</v>
      </c>
      <c r="GB4" s="180">
        <v>1631</v>
      </c>
      <c r="GC4" s="180">
        <v>1088</v>
      </c>
      <c r="GD4" s="180">
        <v>88331</v>
      </c>
      <c r="GE4" s="180">
        <v>27</v>
      </c>
      <c r="GF4" s="180">
        <v>3558</v>
      </c>
      <c r="GG4" s="180">
        <v>4136</v>
      </c>
      <c r="GH4" s="180">
        <v>533653</v>
      </c>
      <c r="GI4" s="180">
        <v>58</v>
      </c>
      <c r="GJ4" s="180">
        <v>9002</v>
      </c>
      <c r="GK4" s="180">
        <v>6287</v>
      </c>
      <c r="GL4" s="180">
        <v>756962</v>
      </c>
      <c r="GM4" s="180">
        <v>53</v>
      </c>
      <c r="GN4" s="180">
        <v>7360</v>
      </c>
      <c r="GO4" s="180">
        <v>6376</v>
      </c>
      <c r="GP4" s="180">
        <v>975538</v>
      </c>
      <c r="GQ4" s="180">
        <v>160</v>
      </c>
      <c r="GR4" s="180">
        <v>21553</v>
      </c>
      <c r="GS4" s="180">
        <v>17885</v>
      </c>
      <c r="GT4" s="181">
        <v>2354486</v>
      </c>
      <c r="GU4" s="179"/>
      <c r="GV4" s="180"/>
      <c r="GW4" s="180"/>
      <c r="GX4" s="180"/>
      <c r="GY4" s="180"/>
      <c r="GZ4" s="180"/>
      <c r="HA4" s="180"/>
      <c r="HB4" s="180"/>
      <c r="HC4" s="180"/>
      <c r="HD4" s="180"/>
      <c r="HE4" s="180"/>
      <c r="HF4" s="180"/>
      <c r="HG4" s="180"/>
      <c r="HH4" s="180"/>
      <c r="HI4" s="180"/>
      <c r="HJ4" s="180"/>
      <c r="HK4" s="180"/>
      <c r="HL4" s="180"/>
      <c r="HM4" s="180"/>
      <c r="HN4" s="181"/>
      <c r="HO4" s="179">
        <v>26</v>
      </c>
      <c r="HP4" s="180">
        <v>1930</v>
      </c>
      <c r="HQ4" s="180">
        <v>1360</v>
      </c>
      <c r="HR4" s="180">
        <v>107242</v>
      </c>
      <c r="HS4" s="180">
        <v>32</v>
      </c>
      <c r="HT4" s="180">
        <v>5462</v>
      </c>
      <c r="HU4" s="180">
        <v>5041</v>
      </c>
      <c r="HV4" s="180">
        <v>650998</v>
      </c>
      <c r="HW4" s="180">
        <v>16</v>
      </c>
      <c r="HX4" s="180">
        <v>2675</v>
      </c>
      <c r="HY4" s="180">
        <v>7747</v>
      </c>
      <c r="HZ4" s="180">
        <v>931461</v>
      </c>
      <c r="IA4" s="180">
        <v>60</v>
      </c>
      <c r="IB4" s="180">
        <v>10898</v>
      </c>
      <c r="IC4" s="180">
        <v>7734</v>
      </c>
      <c r="ID4" s="180">
        <v>1200203</v>
      </c>
      <c r="IE4" s="180">
        <v>133</v>
      </c>
      <c r="IF4" s="180">
        <v>20966</v>
      </c>
      <c r="IG4" s="180">
        <v>21882</v>
      </c>
      <c r="IH4" s="181">
        <v>2889904</v>
      </c>
    </row>
    <row r="5" spans="1:242">
      <c r="A5" s="167"/>
      <c r="B5" s="175">
        <v>3</v>
      </c>
      <c r="C5" s="179">
        <v>12</v>
      </c>
      <c r="D5" s="180">
        <v>895</v>
      </c>
      <c r="E5" s="180">
        <v>12</v>
      </c>
      <c r="F5" s="180">
        <v>895</v>
      </c>
      <c r="G5" s="180">
        <v>31</v>
      </c>
      <c r="H5" s="180">
        <v>3550</v>
      </c>
      <c r="I5" s="180">
        <v>31</v>
      </c>
      <c r="J5" s="180">
        <v>3550</v>
      </c>
      <c r="K5" s="180">
        <v>10</v>
      </c>
      <c r="L5" s="180">
        <v>899</v>
      </c>
      <c r="M5" s="180">
        <v>10</v>
      </c>
      <c r="N5" s="180">
        <v>899</v>
      </c>
      <c r="O5" s="180">
        <v>56</v>
      </c>
      <c r="P5" s="180">
        <v>8351</v>
      </c>
      <c r="Q5" s="180">
        <v>56</v>
      </c>
      <c r="R5" s="180">
        <v>8351</v>
      </c>
      <c r="S5" s="180">
        <v>110</v>
      </c>
      <c r="T5" s="180">
        <v>13695</v>
      </c>
      <c r="U5" s="180">
        <v>110</v>
      </c>
      <c r="V5" s="181">
        <v>13695</v>
      </c>
      <c r="W5" s="179">
        <v>1</v>
      </c>
      <c r="X5" s="180">
        <v>94</v>
      </c>
      <c r="Y5" s="180">
        <v>113</v>
      </c>
      <c r="Z5" s="180">
        <v>8290</v>
      </c>
      <c r="AA5" s="180">
        <v>16</v>
      </c>
      <c r="AB5" s="180">
        <v>2067</v>
      </c>
      <c r="AC5" s="180">
        <v>532</v>
      </c>
      <c r="AD5" s="180">
        <v>68336</v>
      </c>
      <c r="AE5" s="180">
        <v>9</v>
      </c>
      <c r="AF5" s="180">
        <v>974</v>
      </c>
      <c r="AG5" s="180">
        <v>779</v>
      </c>
      <c r="AH5" s="180">
        <v>94466</v>
      </c>
      <c r="AI5" s="180">
        <v>36</v>
      </c>
      <c r="AJ5" s="180">
        <v>4696</v>
      </c>
      <c r="AK5" s="180">
        <v>711</v>
      </c>
      <c r="AL5" s="180">
        <v>108925</v>
      </c>
      <c r="AM5" s="180">
        <v>63</v>
      </c>
      <c r="AN5" s="180">
        <v>7831</v>
      </c>
      <c r="AO5" s="180">
        <v>2136</v>
      </c>
      <c r="AP5" s="181">
        <v>280019</v>
      </c>
      <c r="AQ5" s="179">
        <v>18</v>
      </c>
      <c r="AR5" s="180">
        <v>1642</v>
      </c>
      <c r="AS5" s="180">
        <v>211</v>
      </c>
      <c r="AT5" s="180">
        <v>15460</v>
      </c>
      <c r="AU5" s="180">
        <v>27</v>
      </c>
      <c r="AV5" s="180">
        <v>3177</v>
      </c>
      <c r="AW5" s="180">
        <v>907</v>
      </c>
      <c r="AX5" s="180">
        <v>114607</v>
      </c>
      <c r="AY5" s="180">
        <v>10</v>
      </c>
      <c r="AZ5" s="180">
        <v>1157</v>
      </c>
      <c r="BA5" s="180">
        <v>1625</v>
      </c>
      <c r="BB5" s="180">
        <v>194139</v>
      </c>
      <c r="BC5" s="180">
        <v>38</v>
      </c>
      <c r="BD5" s="180">
        <v>5676</v>
      </c>
      <c r="BE5" s="180">
        <v>1371</v>
      </c>
      <c r="BF5" s="180">
        <v>210134</v>
      </c>
      <c r="BG5" s="180">
        <v>91</v>
      </c>
      <c r="BH5" s="180">
        <v>11651</v>
      </c>
      <c r="BI5" s="180">
        <v>4115</v>
      </c>
      <c r="BJ5" s="181">
        <v>534339</v>
      </c>
      <c r="BK5" s="179">
        <v>0</v>
      </c>
      <c r="BL5" s="180">
        <v>0</v>
      </c>
      <c r="BM5" s="180">
        <v>305</v>
      </c>
      <c r="BN5" s="180">
        <v>23939</v>
      </c>
      <c r="BO5" s="180">
        <v>72</v>
      </c>
      <c r="BP5" s="180">
        <v>7199</v>
      </c>
      <c r="BQ5" s="180">
        <v>1362</v>
      </c>
      <c r="BR5" s="180">
        <v>175968</v>
      </c>
      <c r="BS5" s="180">
        <v>64</v>
      </c>
      <c r="BT5" s="180">
        <v>9482</v>
      </c>
      <c r="BU5" s="180">
        <v>2471</v>
      </c>
      <c r="BV5" s="180">
        <v>296453</v>
      </c>
      <c r="BW5" s="180">
        <v>177</v>
      </c>
      <c r="BX5" s="180">
        <v>26301</v>
      </c>
      <c r="BY5" s="180">
        <v>2180</v>
      </c>
      <c r="BZ5" s="180">
        <v>335217</v>
      </c>
      <c r="CA5" s="180">
        <v>313</v>
      </c>
      <c r="CB5" s="180">
        <v>42980</v>
      </c>
      <c r="CC5" s="180">
        <v>6318</v>
      </c>
      <c r="CD5" s="181">
        <v>831577</v>
      </c>
      <c r="CE5" s="179"/>
      <c r="CF5" s="180"/>
      <c r="CG5" s="180"/>
      <c r="CH5" s="180"/>
      <c r="CI5" s="180"/>
      <c r="CJ5" s="180"/>
      <c r="CK5" s="180"/>
      <c r="CL5" s="180"/>
      <c r="CM5" s="180"/>
      <c r="CN5" s="180"/>
      <c r="CO5" s="180"/>
      <c r="CP5" s="180"/>
      <c r="CQ5" s="180"/>
      <c r="CR5" s="180"/>
      <c r="CS5" s="180"/>
      <c r="CT5" s="180"/>
      <c r="CU5" s="180"/>
      <c r="CV5" s="180"/>
      <c r="CW5" s="180"/>
      <c r="CX5" s="181"/>
      <c r="CY5" s="179">
        <v>3</v>
      </c>
      <c r="CZ5" s="180">
        <v>174</v>
      </c>
      <c r="DA5" s="180">
        <v>544</v>
      </c>
      <c r="DB5" s="180">
        <v>43101</v>
      </c>
      <c r="DC5" s="180">
        <v>40</v>
      </c>
      <c r="DD5" s="180">
        <v>6055</v>
      </c>
      <c r="DE5" s="180">
        <v>2210</v>
      </c>
      <c r="DF5" s="180">
        <v>280450</v>
      </c>
      <c r="DG5" s="180">
        <v>46</v>
      </c>
      <c r="DH5" s="180">
        <v>4620</v>
      </c>
      <c r="DI5" s="180">
        <v>3652</v>
      </c>
      <c r="DJ5" s="180">
        <v>431666</v>
      </c>
      <c r="DK5" s="180">
        <v>81</v>
      </c>
      <c r="DL5" s="180">
        <v>13208</v>
      </c>
      <c r="DM5" s="180">
        <v>3550</v>
      </c>
      <c r="DN5" s="180">
        <v>542913</v>
      </c>
      <c r="DO5" s="180">
        <v>170</v>
      </c>
      <c r="DP5" s="180">
        <v>24057</v>
      </c>
      <c r="DQ5" s="180">
        <v>9956</v>
      </c>
      <c r="DR5" s="181">
        <v>1298129</v>
      </c>
      <c r="DS5" s="179">
        <v>9</v>
      </c>
      <c r="DT5" s="180">
        <v>582</v>
      </c>
      <c r="DU5" s="180">
        <v>653</v>
      </c>
      <c r="DV5" s="180">
        <v>52238</v>
      </c>
      <c r="DW5" s="180">
        <v>52</v>
      </c>
      <c r="DX5" s="180">
        <v>7804</v>
      </c>
      <c r="DY5" s="180">
        <v>2738</v>
      </c>
      <c r="DZ5" s="180">
        <v>351773</v>
      </c>
      <c r="EA5" s="180">
        <v>62</v>
      </c>
      <c r="EB5" s="180">
        <v>5845</v>
      </c>
      <c r="EC5" s="180">
        <v>4350</v>
      </c>
      <c r="ED5" s="180">
        <v>519356</v>
      </c>
      <c r="EE5" s="180">
        <v>148</v>
      </c>
      <c r="EF5" s="180">
        <v>21711</v>
      </c>
      <c r="EG5" s="180">
        <v>4383</v>
      </c>
      <c r="EH5" s="180">
        <v>665629</v>
      </c>
      <c r="EI5" s="180">
        <v>271</v>
      </c>
      <c r="EJ5" s="180">
        <v>35940</v>
      </c>
      <c r="EK5" s="180">
        <v>12123</v>
      </c>
      <c r="EL5" s="181">
        <v>1588997</v>
      </c>
      <c r="EM5" s="179"/>
      <c r="EN5" s="180"/>
      <c r="EO5" s="180"/>
      <c r="EP5" s="180"/>
      <c r="EQ5" s="180"/>
      <c r="ER5" s="180"/>
      <c r="ES5" s="180"/>
      <c r="ET5" s="180"/>
      <c r="EU5" s="180"/>
      <c r="EV5" s="180"/>
      <c r="EW5" s="180"/>
      <c r="EX5" s="180"/>
      <c r="EY5" s="180"/>
      <c r="EZ5" s="180"/>
      <c r="FA5" s="180"/>
      <c r="FB5" s="180"/>
      <c r="FC5" s="180"/>
      <c r="FD5" s="180"/>
      <c r="FE5" s="180"/>
      <c r="FF5" s="181"/>
      <c r="FG5" s="179">
        <v>12</v>
      </c>
      <c r="FH5" s="180">
        <v>623</v>
      </c>
      <c r="FI5" s="180">
        <v>941</v>
      </c>
      <c r="FJ5" s="180">
        <v>76904</v>
      </c>
      <c r="FK5" s="180">
        <v>56</v>
      </c>
      <c r="FL5" s="180">
        <v>7155</v>
      </c>
      <c r="FM5" s="180">
        <v>3644</v>
      </c>
      <c r="FN5" s="180">
        <v>466622</v>
      </c>
      <c r="FO5" s="180">
        <v>69</v>
      </c>
      <c r="FP5" s="180">
        <v>9741</v>
      </c>
      <c r="FQ5" s="180">
        <v>5563</v>
      </c>
      <c r="FR5" s="180">
        <v>669228</v>
      </c>
      <c r="FS5" s="180">
        <v>121</v>
      </c>
      <c r="FT5" s="180">
        <v>16116</v>
      </c>
      <c r="FU5" s="180">
        <v>5739</v>
      </c>
      <c r="FV5" s="180">
        <v>874234</v>
      </c>
      <c r="FW5" s="180">
        <v>258</v>
      </c>
      <c r="FX5" s="180">
        <v>33637</v>
      </c>
      <c r="FY5" s="180">
        <v>15886</v>
      </c>
      <c r="FZ5" s="181">
        <v>2086988</v>
      </c>
      <c r="GA5" s="179">
        <v>27</v>
      </c>
      <c r="GB5" s="180">
        <v>1901</v>
      </c>
      <c r="GC5" s="180">
        <v>1092</v>
      </c>
      <c r="GD5" s="180">
        <v>88601</v>
      </c>
      <c r="GE5" s="180">
        <v>66</v>
      </c>
      <c r="GF5" s="180">
        <v>10091</v>
      </c>
      <c r="GG5" s="180">
        <v>4175</v>
      </c>
      <c r="GH5" s="180">
        <v>540188</v>
      </c>
      <c r="GI5" s="180">
        <v>107</v>
      </c>
      <c r="GJ5" s="180">
        <v>12827</v>
      </c>
      <c r="GK5" s="180">
        <v>6335</v>
      </c>
      <c r="GL5" s="180">
        <v>760788</v>
      </c>
      <c r="GM5" s="180">
        <v>88</v>
      </c>
      <c r="GN5" s="180">
        <v>12813</v>
      </c>
      <c r="GO5" s="180">
        <v>6411</v>
      </c>
      <c r="GP5" s="180">
        <v>980991</v>
      </c>
      <c r="GQ5" s="180">
        <v>287</v>
      </c>
      <c r="GR5" s="180">
        <v>37634</v>
      </c>
      <c r="GS5" s="180">
        <v>18013</v>
      </c>
      <c r="GT5" s="181">
        <v>2370566</v>
      </c>
      <c r="GU5" s="179">
        <v>6</v>
      </c>
      <c r="GV5" s="180">
        <v>477</v>
      </c>
      <c r="GW5" s="180">
        <v>1222</v>
      </c>
      <c r="GX5" s="180">
        <v>97734</v>
      </c>
      <c r="GY5" s="180">
        <v>8</v>
      </c>
      <c r="GZ5" s="180">
        <v>721</v>
      </c>
      <c r="HA5" s="180">
        <v>4631</v>
      </c>
      <c r="HB5" s="180">
        <v>600140</v>
      </c>
      <c r="HC5" s="180">
        <v>1</v>
      </c>
      <c r="HD5" s="180">
        <v>130</v>
      </c>
      <c r="HE5" s="180">
        <v>7059</v>
      </c>
      <c r="HF5" s="180">
        <v>844813</v>
      </c>
      <c r="HG5" s="180">
        <v>34</v>
      </c>
      <c r="HH5" s="180">
        <v>4602</v>
      </c>
      <c r="HI5" s="180">
        <v>7052</v>
      </c>
      <c r="HJ5" s="180">
        <v>1083061</v>
      </c>
      <c r="HK5" s="180">
        <v>49</v>
      </c>
      <c r="HL5" s="180">
        <v>5930</v>
      </c>
      <c r="HM5" s="180">
        <v>19964</v>
      </c>
      <c r="HN5" s="181">
        <v>2625748</v>
      </c>
      <c r="HO5" s="179">
        <v>31</v>
      </c>
      <c r="HP5" s="180">
        <v>2254</v>
      </c>
      <c r="HQ5" s="180">
        <v>1366</v>
      </c>
      <c r="HR5" s="180">
        <v>107566</v>
      </c>
      <c r="HS5" s="180">
        <v>61</v>
      </c>
      <c r="HT5" s="180">
        <v>8465</v>
      </c>
      <c r="HU5" s="180">
        <v>5069</v>
      </c>
      <c r="HV5" s="180">
        <v>654001</v>
      </c>
      <c r="HW5" s="180">
        <v>46</v>
      </c>
      <c r="HX5" s="180">
        <v>5039</v>
      </c>
      <c r="HY5" s="180">
        <v>7777</v>
      </c>
      <c r="HZ5" s="180">
        <v>933826</v>
      </c>
      <c r="IA5" s="180">
        <v>95</v>
      </c>
      <c r="IB5" s="180">
        <v>15458</v>
      </c>
      <c r="IC5" s="180">
        <v>7769</v>
      </c>
      <c r="ID5" s="180">
        <v>1204762</v>
      </c>
      <c r="IE5" s="180">
        <v>232</v>
      </c>
      <c r="IF5" s="180">
        <v>31216</v>
      </c>
      <c r="IG5" s="180">
        <v>21981</v>
      </c>
      <c r="IH5" s="181">
        <v>2900154</v>
      </c>
    </row>
    <row r="6" spans="1:242">
      <c r="A6" s="169"/>
      <c r="B6" s="175">
        <v>4</v>
      </c>
      <c r="C6" s="179"/>
      <c r="D6" s="180"/>
      <c r="E6" s="180"/>
      <c r="F6" s="180"/>
      <c r="G6" s="180"/>
      <c r="H6" s="180"/>
      <c r="I6" s="180"/>
      <c r="J6" s="180"/>
      <c r="K6" s="180"/>
      <c r="L6" s="180"/>
      <c r="M6" s="180"/>
      <c r="N6" s="180"/>
      <c r="O6" s="180"/>
      <c r="P6" s="180"/>
      <c r="Q6" s="180"/>
      <c r="R6" s="180"/>
      <c r="S6" s="180"/>
      <c r="T6" s="180"/>
      <c r="U6" s="180"/>
      <c r="V6" s="181"/>
      <c r="W6" s="179">
        <v>8</v>
      </c>
      <c r="X6" s="180">
        <v>661</v>
      </c>
      <c r="Y6" s="180">
        <v>121</v>
      </c>
      <c r="Z6" s="180">
        <v>8857</v>
      </c>
      <c r="AA6" s="180">
        <v>51</v>
      </c>
      <c r="AB6" s="180">
        <v>6839</v>
      </c>
      <c r="AC6" s="180">
        <v>566</v>
      </c>
      <c r="AD6" s="180">
        <v>73107</v>
      </c>
      <c r="AE6" s="180">
        <v>42</v>
      </c>
      <c r="AF6" s="180">
        <v>3022</v>
      </c>
      <c r="AG6" s="180">
        <v>813</v>
      </c>
      <c r="AH6" s="180">
        <v>96514</v>
      </c>
      <c r="AI6" s="180">
        <v>73</v>
      </c>
      <c r="AJ6" s="180">
        <v>10203</v>
      </c>
      <c r="AK6" s="180">
        <v>748</v>
      </c>
      <c r="AL6" s="180">
        <v>114434</v>
      </c>
      <c r="AM6" s="180">
        <v>174</v>
      </c>
      <c r="AN6" s="180">
        <v>20725</v>
      </c>
      <c r="AO6" s="180">
        <v>2248</v>
      </c>
      <c r="AP6" s="181">
        <v>292911</v>
      </c>
      <c r="AQ6" s="179">
        <v>43</v>
      </c>
      <c r="AR6" s="180">
        <v>4213</v>
      </c>
      <c r="AS6" s="180">
        <v>237</v>
      </c>
      <c r="AT6" s="180">
        <v>18031</v>
      </c>
      <c r="AU6" s="180">
        <v>64</v>
      </c>
      <c r="AV6" s="180">
        <v>7958</v>
      </c>
      <c r="AW6" s="180">
        <v>945</v>
      </c>
      <c r="AX6" s="180">
        <v>119388</v>
      </c>
      <c r="AY6" s="180">
        <v>16</v>
      </c>
      <c r="AZ6" s="180">
        <v>1705</v>
      </c>
      <c r="BA6" s="180">
        <v>1631</v>
      </c>
      <c r="BB6" s="180">
        <v>194687</v>
      </c>
      <c r="BC6" s="180">
        <v>77</v>
      </c>
      <c r="BD6" s="180">
        <v>12159</v>
      </c>
      <c r="BE6" s="180">
        <v>1410</v>
      </c>
      <c r="BF6" s="180">
        <v>216619</v>
      </c>
      <c r="BG6" s="180">
        <v>201</v>
      </c>
      <c r="BH6" s="180">
        <v>26036</v>
      </c>
      <c r="BI6" s="180">
        <v>4223</v>
      </c>
      <c r="BJ6" s="181">
        <v>548725</v>
      </c>
      <c r="BK6" s="179">
        <v>7</v>
      </c>
      <c r="BL6" s="180">
        <v>403</v>
      </c>
      <c r="BM6" s="180">
        <v>312</v>
      </c>
      <c r="BN6" s="180">
        <v>24342</v>
      </c>
      <c r="BO6" s="180">
        <v>96</v>
      </c>
      <c r="BP6" s="180">
        <v>9639</v>
      </c>
      <c r="BQ6" s="180">
        <v>1386</v>
      </c>
      <c r="BR6" s="180">
        <v>178408</v>
      </c>
      <c r="BS6" s="180">
        <v>81</v>
      </c>
      <c r="BT6" s="180">
        <v>11210</v>
      </c>
      <c r="BU6" s="180">
        <v>2488</v>
      </c>
      <c r="BV6" s="180">
        <v>298183</v>
      </c>
      <c r="BW6" s="180">
        <v>225</v>
      </c>
      <c r="BX6" s="180">
        <v>33522</v>
      </c>
      <c r="BY6" s="180">
        <v>2228</v>
      </c>
      <c r="BZ6" s="180">
        <v>342437</v>
      </c>
      <c r="CA6" s="180">
        <v>409</v>
      </c>
      <c r="CB6" s="180">
        <v>54774</v>
      </c>
      <c r="CC6" s="180">
        <v>6413</v>
      </c>
      <c r="CD6" s="181">
        <v>843370</v>
      </c>
      <c r="CE6" s="179"/>
      <c r="CF6" s="180"/>
      <c r="CG6" s="180"/>
      <c r="CH6" s="180"/>
      <c r="CI6" s="180"/>
      <c r="CJ6" s="180"/>
      <c r="CK6" s="180"/>
      <c r="CL6" s="180"/>
      <c r="CM6" s="180"/>
      <c r="CN6" s="180"/>
      <c r="CO6" s="180"/>
      <c r="CP6" s="180"/>
      <c r="CQ6" s="180"/>
      <c r="CR6" s="180"/>
      <c r="CS6" s="180"/>
      <c r="CT6" s="180"/>
      <c r="CU6" s="180"/>
      <c r="CV6" s="180"/>
      <c r="CW6" s="180"/>
      <c r="CX6" s="181"/>
      <c r="CY6" s="179">
        <v>3</v>
      </c>
      <c r="CZ6" s="180">
        <v>174</v>
      </c>
      <c r="DA6" s="180">
        <v>544</v>
      </c>
      <c r="DB6" s="180">
        <v>43101</v>
      </c>
      <c r="DC6" s="180">
        <v>62</v>
      </c>
      <c r="DD6" s="180">
        <v>8538</v>
      </c>
      <c r="DE6" s="180">
        <v>2233</v>
      </c>
      <c r="DF6" s="180">
        <v>282933</v>
      </c>
      <c r="DG6" s="180">
        <v>58</v>
      </c>
      <c r="DH6" s="180">
        <v>6544</v>
      </c>
      <c r="DI6" s="180">
        <v>3664</v>
      </c>
      <c r="DJ6" s="180">
        <v>433589</v>
      </c>
      <c r="DK6" s="180">
        <v>120</v>
      </c>
      <c r="DL6" s="180">
        <v>18933</v>
      </c>
      <c r="DM6" s="180">
        <v>3590</v>
      </c>
      <c r="DN6" s="180">
        <v>548639</v>
      </c>
      <c r="DO6" s="180">
        <v>243</v>
      </c>
      <c r="DP6" s="180">
        <v>34188</v>
      </c>
      <c r="DQ6" s="180">
        <v>10029</v>
      </c>
      <c r="DR6" s="181">
        <v>1308261</v>
      </c>
      <c r="DS6" s="179">
        <v>10</v>
      </c>
      <c r="DT6" s="180">
        <v>657</v>
      </c>
      <c r="DU6" s="180">
        <v>654</v>
      </c>
      <c r="DV6" s="180">
        <v>52313</v>
      </c>
      <c r="DW6" s="180">
        <v>68</v>
      </c>
      <c r="DX6" s="180">
        <v>10516</v>
      </c>
      <c r="DY6" s="180">
        <v>2754</v>
      </c>
      <c r="DZ6" s="180">
        <v>354485</v>
      </c>
      <c r="EA6" s="180">
        <v>109</v>
      </c>
      <c r="EB6" s="180">
        <v>12348</v>
      </c>
      <c r="EC6" s="180">
        <v>4398</v>
      </c>
      <c r="ED6" s="180">
        <v>525860</v>
      </c>
      <c r="EE6" s="180">
        <v>215</v>
      </c>
      <c r="EF6" s="180">
        <v>30947</v>
      </c>
      <c r="EG6" s="180">
        <v>4449</v>
      </c>
      <c r="EH6" s="180">
        <v>674865</v>
      </c>
      <c r="EI6" s="180">
        <v>402</v>
      </c>
      <c r="EJ6" s="180">
        <v>54468</v>
      </c>
      <c r="EK6" s="180">
        <v>12254</v>
      </c>
      <c r="EL6" s="181">
        <v>1607525</v>
      </c>
      <c r="EM6" s="179">
        <v>7</v>
      </c>
      <c r="EN6" s="180">
        <v>681</v>
      </c>
      <c r="EO6" s="180">
        <v>814</v>
      </c>
      <c r="EP6" s="180">
        <v>66011</v>
      </c>
      <c r="EQ6" s="180">
        <v>34</v>
      </c>
      <c r="ER6" s="180">
        <v>3927</v>
      </c>
      <c r="ES6" s="180">
        <v>3237</v>
      </c>
      <c r="ET6" s="180">
        <v>414154</v>
      </c>
      <c r="EU6" s="180">
        <v>57</v>
      </c>
      <c r="EV6" s="180">
        <v>5481</v>
      </c>
      <c r="EW6" s="180">
        <v>5002</v>
      </c>
      <c r="EX6" s="180">
        <v>593889</v>
      </c>
      <c r="EY6" s="180">
        <v>81</v>
      </c>
      <c r="EZ6" s="180">
        <v>13830</v>
      </c>
      <c r="FA6" s="180">
        <v>5054</v>
      </c>
      <c r="FB6" s="180">
        <v>770655</v>
      </c>
      <c r="FC6" s="180">
        <v>179</v>
      </c>
      <c r="FD6" s="180">
        <v>23920</v>
      </c>
      <c r="FE6" s="180">
        <v>14107</v>
      </c>
      <c r="FF6" s="181">
        <v>1844707</v>
      </c>
      <c r="FG6" s="179">
        <v>16</v>
      </c>
      <c r="FH6" s="180">
        <v>798</v>
      </c>
      <c r="FI6" s="180">
        <v>945</v>
      </c>
      <c r="FJ6" s="180">
        <v>77079</v>
      </c>
      <c r="FK6" s="180">
        <v>81</v>
      </c>
      <c r="FL6" s="180">
        <v>10146</v>
      </c>
      <c r="FM6" s="180">
        <v>3670</v>
      </c>
      <c r="FN6" s="180">
        <v>469613</v>
      </c>
      <c r="FO6" s="180">
        <v>105</v>
      </c>
      <c r="FP6" s="180">
        <v>13877</v>
      </c>
      <c r="FQ6" s="180">
        <v>5599</v>
      </c>
      <c r="FR6" s="180">
        <v>673363</v>
      </c>
      <c r="FS6" s="180">
        <v>143</v>
      </c>
      <c r="FT6" s="180">
        <v>20161</v>
      </c>
      <c r="FU6" s="180">
        <v>5760</v>
      </c>
      <c r="FV6" s="180">
        <v>878279</v>
      </c>
      <c r="FW6" s="180">
        <v>346</v>
      </c>
      <c r="FX6" s="180">
        <v>44985</v>
      </c>
      <c r="FY6" s="180">
        <v>15973</v>
      </c>
      <c r="FZ6" s="181">
        <v>2098333</v>
      </c>
      <c r="GA6" s="179"/>
      <c r="GB6" s="180"/>
      <c r="GC6" s="180"/>
      <c r="GD6" s="180"/>
      <c r="GE6" s="180"/>
      <c r="GF6" s="180"/>
      <c r="GG6" s="180"/>
      <c r="GH6" s="180"/>
      <c r="GI6" s="180"/>
      <c r="GJ6" s="180"/>
      <c r="GK6" s="180"/>
      <c r="GL6" s="180"/>
      <c r="GM6" s="180"/>
      <c r="GN6" s="180"/>
      <c r="GO6" s="180"/>
      <c r="GP6" s="180"/>
      <c r="GQ6" s="180"/>
      <c r="GR6" s="180"/>
      <c r="GS6" s="180"/>
      <c r="GT6" s="181"/>
      <c r="GU6" s="179">
        <v>13</v>
      </c>
      <c r="GV6" s="180">
        <v>895</v>
      </c>
      <c r="GW6" s="180">
        <v>1228</v>
      </c>
      <c r="GX6" s="180">
        <v>98152</v>
      </c>
      <c r="GY6" s="180">
        <v>15</v>
      </c>
      <c r="GZ6" s="180">
        <v>1556</v>
      </c>
      <c r="HA6" s="180">
        <v>4638</v>
      </c>
      <c r="HB6" s="180">
        <v>600974</v>
      </c>
      <c r="HC6" s="180">
        <v>30</v>
      </c>
      <c r="HD6" s="180">
        <v>3910</v>
      </c>
      <c r="HE6" s="180">
        <v>7089</v>
      </c>
      <c r="HF6" s="180">
        <v>848594</v>
      </c>
      <c r="HG6" s="180">
        <v>66</v>
      </c>
      <c r="HH6" s="180">
        <v>10119</v>
      </c>
      <c r="HI6" s="180">
        <v>7084</v>
      </c>
      <c r="HJ6" s="180">
        <v>1088578</v>
      </c>
      <c r="HK6" s="180">
        <v>124</v>
      </c>
      <c r="HL6" s="180">
        <v>16480</v>
      </c>
      <c r="HM6" s="180">
        <v>20039</v>
      </c>
      <c r="HN6" s="181">
        <v>2636298</v>
      </c>
      <c r="HO6" s="179">
        <v>33</v>
      </c>
      <c r="HP6" s="180">
        <v>2356</v>
      </c>
      <c r="HQ6" s="180">
        <v>1367</v>
      </c>
      <c r="HR6" s="180">
        <v>107669</v>
      </c>
      <c r="HS6" s="180">
        <v>84</v>
      </c>
      <c r="HT6" s="180">
        <v>11580</v>
      </c>
      <c r="HU6" s="180">
        <v>5093</v>
      </c>
      <c r="HV6" s="180">
        <v>657116</v>
      </c>
      <c r="HW6" s="180">
        <v>85</v>
      </c>
      <c r="HX6" s="180">
        <v>9561</v>
      </c>
      <c r="HY6" s="180">
        <v>7816</v>
      </c>
      <c r="HZ6" s="180">
        <v>938349</v>
      </c>
      <c r="IA6" s="180">
        <v>131</v>
      </c>
      <c r="IB6" s="180">
        <v>21056</v>
      </c>
      <c r="IC6" s="180">
        <v>7805</v>
      </c>
      <c r="ID6" s="180">
        <v>1210360</v>
      </c>
      <c r="IE6" s="180">
        <v>333</v>
      </c>
      <c r="IF6" s="180">
        <v>44555</v>
      </c>
      <c r="IG6" s="180">
        <v>22082</v>
      </c>
      <c r="IH6" s="181">
        <v>2913493</v>
      </c>
    </row>
    <row r="7" spans="1:242">
      <c r="A7" s="174"/>
      <c r="B7" s="175">
        <v>5</v>
      </c>
      <c r="C7" s="179"/>
      <c r="D7" s="180"/>
      <c r="E7" s="180"/>
      <c r="F7" s="180"/>
      <c r="G7" s="180"/>
      <c r="H7" s="180"/>
      <c r="I7" s="180"/>
      <c r="J7" s="180"/>
      <c r="K7" s="180"/>
      <c r="L7" s="180"/>
      <c r="M7" s="180"/>
      <c r="N7" s="180"/>
      <c r="O7" s="180"/>
      <c r="P7" s="180"/>
      <c r="Q7" s="180"/>
      <c r="R7" s="180"/>
      <c r="S7" s="180"/>
      <c r="T7" s="180"/>
      <c r="U7" s="180"/>
      <c r="V7" s="181"/>
      <c r="W7" s="179">
        <v>8</v>
      </c>
      <c r="X7" s="180">
        <v>661</v>
      </c>
      <c r="Y7" s="180">
        <v>121</v>
      </c>
      <c r="Z7" s="180">
        <v>8857</v>
      </c>
      <c r="AA7" s="180">
        <v>65</v>
      </c>
      <c r="AB7" s="180">
        <v>8415</v>
      </c>
      <c r="AC7" s="180">
        <v>580</v>
      </c>
      <c r="AD7" s="180">
        <v>74684</v>
      </c>
      <c r="AE7" s="180">
        <v>48</v>
      </c>
      <c r="AF7" s="180">
        <v>3986</v>
      </c>
      <c r="AG7" s="180">
        <v>819</v>
      </c>
      <c r="AH7" s="180">
        <v>97479</v>
      </c>
      <c r="AI7" s="180">
        <v>121</v>
      </c>
      <c r="AJ7" s="180">
        <v>16977</v>
      </c>
      <c r="AK7" s="180">
        <v>795</v>
      </c>
      <c r="AL7" s="180">
        <v>121207</v>
      </c>
      <c r="AM7" s="180">
        <v>242</v>
      </c>
      <c r="AN7" s="180">
        <v>30040</v>
      </c>
      <c r="AO7" s="180">
        <v>2315</v>
      </c>
      <c r="AP7" s="181">
        <v>302228</v>
      </c>
      <c r="AQ7" s="179">
        <v>43</v>
      </c>
      <c r="AR7" s="180">
        <v>4213</v>
      </c>
      <c r="AS7" s="180">
        <v>237</v>
      </c>
      <c r="AT7" s="180">
        <v>18031</v>
      </c>
      <c r="AU7" s="180">
        <v>81</v>
      </c>
      <c r="AV7" s="180">
        <v>9724</v>
      </c>
      <c r="AW7" s="180">
        <v>961</v>
      </c>
      <c r="AX7" s="180">
        <v>121155</v>
      </c>
      <c r="AY7" s="180">
        <v>61</v>
      </c>
      <c r="AZ7" s="180">
        <v>5148</v>
      </c>
      <c r="BA7" s="180">
        <v>1677</v>
      </c>
      <c r="BB7" s="180">
        <v>198130</v>
      </c>
      <c r="BC7" s="180">
        <v>113</v>
      </c>
      <c r="BD7" s="180">
        <v>18025</v>
      </c>
      <c r="BE7" s="180">
        <v>1446</v>
      </c>
      <c r="BF7" s="180">
        <v>222483</v>
      </c>
      <c r="BG7" s="180">
        <v>298</v>
      </c>
      <c r="BH7" s="180">
        <v>37107</v>
      </c>
      <c r="BI7" s="180">
        <v>4321</v>
      </c>
      <c r="BJ7" s="181">
        <v>559798</v>
      </c>
      <c r="BK7" s="179"/>
      <c r="BL7" s="180"/>
      <c r="BM7" s="180"/>
      <c r="BN7" s="180"/>
      <c r="BO7" s="180"/>
      <c r="BP7" s="180"/>
      <c r="BQ7" s="180"/>
      <c r="BR7" s="180"/>
      <c r="BS7" s="180"/>
      <c r="BT7" s="180"/>
      <c r="BU7" s="180"/>
      <c r="BV7" s="180"/>
      <c r="BW7" s="180"/>
      <c r="BX7" s="180"/>
      <c r="BY7" s="180"/>
      <c r="BZ7" s="180"/>
      <c r="CA7" s="180"/>
      <c r="CB7" s="180"/>
      <c r="CC7" s="180"/>
      <c r="CD7" s="181"/>
      <c r="CE7" s="179">
        <v>5</v>
      </c>
      <c r="CF7" s="180">
        <v>321</v>
      </c>
      <c r="CG7" s="180">
        <v>406</v>
      </c>
      <c r="CH7" s="180">
        <v>31947</v>
      </c>
      <c r="CI7" s="180">
        <v>25</v>
      </c>
      <c r="CJ7" s="180">
        <v>2438</v>
      </c>
      <c r="CK7" s="180">
        <v>1753</v>
      </c>
      <c r="CL7" s="180">
        <v>223581</v>
      </c>
      <c r="CM7" s="180">
        <v>16</v>
      </c>
      <c r="CN7" s="180">
        <v>2447</v>
      </c>
      <c r="CO7" s="180">
        <v>3145</v>
      </c>
      <c r="CP7" s="180">
        <v>372050</v>
      </c>
      <c r="CQ7" s="180">
        <v>56</v>
      </c>
      <c r="CR7" s="180">
        <v>8308</v>
      </c>
      <c r="CS7" s="180">
        <v>2853</v>
      </c>
      <c r="CT7" s="180">
        <v>437249</v>
      </c>
      <c r="CU7" s="180">
        <v>102</v>
      </c>
      <c r="CV7" s="180">
        <v>13514</v>
      </c>
      <c r="CW7" s="180">
        <v>8158</v>
      </c>
      <c r="CX7" s="181">
        <v>1064827</v>
      </c>
      <c r="CY7" s="179">
        <v>6</v>
      </c>
      <c r="CZ7" s="180">
        <v>487</v>
      </c>
      <c r="DA7" s="180">
        <v>547</v>
      </c>
      <c r="DB7" s="180">
        <v>43415</v>
      </c>
      <c r="DC7" s="180">
        <v>90</v>
      </c>
      <c r="DD7" s="180">
        <v>11401</v>
      </c>
      <c r="DE7" s="180">
        <v>2260</v>
      </c>
      <c r="DF7" s="180">
        <v>285796</v>
      </c>
      <c r="DG7" s="180">
        <v>87</v>
      </c>
      <c r="DH7" s="180">
        <v>9196</v>
      </c>
      <c r="DI7" s="180">
        <v>3692</v>
      </c>
      <c r="DJ7" s="180">
        <v>436242</v>
      </c>
      <c r="DK7" s="180">
        <v>160</v>
      </c>
      <c r="DL7" s="180">
        <v>24011</v>
      </c>
      <c r="DM7" s="180">
        <v>3630</v>
      </c>
      <c r="DN7" s="180">
        <v>553717</v>
      </c>
      <c r="DO7" s="180">
        <v>343</v>
      </c>
      <c r="DP7" s="180">
        <v>45096</v>
      </c>
      <c r="DQ7" s="180">
        <v>10129</v>
      </c>
      <c r="DR7" s="181">
        <v>1319169</v>
      </c>
      <c r="DS7" s="179"/>
      <c r="DT7" s="180"/>
      <c r="DU7" s="180"/>
      <c r="DV7" s="180"/>
      <c r="DW7" s="180"/>
      <c r="DX7" s="180"/>
      <c r="DY7" s="180"/>
      <c r="DZ7" s="180"/>
      <c r="EA7" s="180"/>
      <c r="EB7" s="180"/>
      <c r="EC7" s="180"/>
      <c r="ED7" s="180"/>
      <c r="EE7" s="180"/>
      <c r="EF7" s="180"/>
      <c r="EG7" s="180"/>
      <c r="EH7" s="180"/>
      <c r="EI7" s="180"/>
      <c r="EJ7" s="180"/>
      <c r="EK7" s="180"/>
      <c r="EL7" s="181"/>
      <c r="EM7" s="179">
        <v>8</v>
      </c>
      <c r="EN7" s="180">
        <v>746</v>
      </c>
      <c r="EO7" s="180">
        <v>815</v>
      </c>
      <c r="EP7" s="180">
        <v>66077</v>
      </c>
      <c r="EQ7" s="180">
        <v>53</v>
      </c>
      <c r="ER7" s="180">
        <v>5942</v>
      </c>
      <c r="ES7" s="180">
        <v>3256</v>
      </c>
      <c r="ET7" s="180">
        <v>416168</v>
      </c>
      <c r="EU7" s="180">
        <v>65</v>
      </c>
      <c r="EV7" s="180">
        <v>6029</v>
      </c>
      <c r="EW7" s="180">
        <v>5010</v>
      </c>
      <c r="EX7" s="180">
        <v>594438</v>
      </c>
      <c r="EY7" s="180">
        <v>139</v>
      </c>
      <c r="EZ7" s="180">
        <v>23819</v>
      </c>
      <c r="FA7" s="180">
        <v>5111</v>
      </c>
      <c r="FB7" s="180">
        <v>780643</v>
      </c>
      <c r="FC7" s="180">
        <v>266</v>
      </c>
      <c r="FD7" s="180">
        <v>36538</v>
      </c>
      <c r="FE7" s="180">
        <v>14193</v>
      </c>
      <c r="FF7" s="181">
        <v>1857325</v>
      </c>
      <c r="FG7" s="179">
        <v>19</v>
      </c>
      <c r="FH7" s="180">
        <v>1022</v>
      </c>
      <c r="FI7" s="180">
        <v>947</v>
      </c>
      <c r="FJ7" s="180">
        <v>77304</v>
      </c>
      <c r="FK7" s="180">
        <v>113</v>
      </c>
      <c r="FL7" s="180">
        <v>13958</v>
      </c>
      <c r="FM7" s="180">
        <v>3701</v>
      </c>
      <c r="FN7" s="180">
        <v>473423</v>
      </c>
      <c r="FO7" s="180">
        <v>164</v>
      </c>
      <c r="FP7" s="180">
        <v>19965</v>
      </c>
      <c r="FQ7" s="180">
        <v>5658</v>
      </c>
      <c r="FR7" s="180">
        <v>679451</v>
      </c>
      <c r="FS7" s="180">
        <v>172</v>
      </c>
      <c r="FT7" s="180">
        <v>24580</v>
      </c>
      <c r="FU7" s="180">
        <v>5789</v>
      </c>
      <c r="FV7" s="180">
        <v>882697</v>
      </c>
      <c r="FW7" s="180">
        <v>468</v>
      </c>
      <c r="FX7" s="180">
        <v>59525</v>
      </c>
      <c r="FY7" s="180">
        <v>16096</v>
      </c>
      <c r="FZ7" s="181">
        <v>2112875</v>
      </c>
      <c r="GA7" s="179"/>
      <c r="GB7" s="180"/>
      <c r="GC7" s="180"/>
      <c r="GD7" s="180"/>
      <c r="GE7" s="180"/>
      <c r="GF7" s="180"/>
      <c r="GG7" s="180"/>
      <c r="GH7" s="180"/>
      <c r="GI7" s="180"/>
      <c r="GJ7" s="180"/>
      <c r="GK7" s="180"/>
      <c r="GL7" s="180"/>
      <c r="GM7" s="180"/>
      <c r="GN7" s="180"/>
      <c r="GO7" s="180"/>
      <c r="GP7" s="180"/>
      <c r="GQ7" s="180"/>
      <c r="GR7" s="180"/>
      <c r="GS7" s="180"/>
      <c r="GT7" s="181"/>
      <c r="GU7" s="179">
        <v>15</v>
      </c>
      <c r="GV7" s="180">
        <v>1062</v>
      </c>
      <c r="GW7" s="180">
        <v>1230</v>
      </c>
      <c r="GX7" s="180">
        <v>98319</v>
      </c>
      <c r="GY7" s="180">
        <v>51</v>
      </c>
      <c r="GZ7" s="180">
        <v>4809</v>
      </c>
      <c r="HA7" s="180">
        <v>4674</v>
      </c>
      <c r="HB7" s="180">
        <v>604227</v>
      </c>
      <c r="HC7" s="180">
        <v>63</v>
      </c>
      <c r="HD7" s="180">
        <v>7995</v>
      </c>
      <c r="HE7" s="180">
        <v>7121</v>
      </c>
      <c r="HF7" s="180">
        <v>852679</v>
      </c>
      <c r="HG7" s="180">
        <v>97</v>
      </c>
      <c r="HH7" s="180">
        <v>14935</v>
      </c>
      <c r="HI7" s="180">
        <v>7116</v>
      </c>
      <c r="HJ7" s="180">
        <v>1093394</v>
      </c>
      <c r="HK7" s="180">
        <v>227</v>
      </c>
      <c r="HL7" s="180">
        <v>28800</v>
      </c>
      <c r="HM7" s="180">
        <v>20142</v>
      </c>
      <c r="HN7" s="181">
        <v>2648618</v>
      </c>
      <c r="HO7" s="179">
        <v>38</v>
      </c>
      <c r="HP7" s="180">
        <v>2713</v>
      </c>
      <c r="HQ7" s="180">
        <v>1372</v>
      </c>
      <c r="HR7" s="180">
        <v>108026</v>
      </c>
      <c r="HS7" s="180">
        <v>104</v>
      </c>
      <c r="HT7" s="180">
        <v>14244</v>
      </c>
      <c r="HU7" s="180">
        <v>5113</v>
      </c>
      <c r="HV7" s="180">
        <v>659781</v>
      </c>
      <c r="HW7" s="180">
        <v>147</v>
      </c>
      <c r="HX7" s="180">
        <v>19197</v>
      </c>
      <c r="HY7" s="180">
        <v>7879</v>
      </c>
      <c r="HZ7" s="180">
        <v>947983</v>
      </c>
      <c r="IA7" s="180">
        <v>168</v>
      </c>
      <c r="IB7" s="180">
        <v>27488</v>
      </c>
      <c r="IC7" s="180">
        <v>7842</v>
      </c>
      <c r="ID7" s="180">
        <v>1216794</v>
      </c>
      <c r="IE7" s="180">
        <v>456</v>
      </c>
      <c r="IF7" s="180">
        <v>63643</v>
      </c>
      <c r="IG7" s="180">
        <v>22206</v>
      </c>
      <c r="IH7" s="181">
        <v>2932582</v>
      </c>
    </row>
    <row r="8" spans="1:242">
      <c r="B8" s="175">
        <v>6</v>
      </c>
      <c r="C8" s="179">
        <v>24</v>
      </c>
      <c r="D8" s="180">
        <v>1764</v>
      </c>
      <c r="E8" s="180">
        <v>24</v>
      </c>
      <c r="F8" s="180">
        <v>1764</v>
      </c>
      <c r="G8" s="180">
        <v>56</v>
      </c>
      <c r="H8" s="180">
        <v>5870</v>
      </c>
      <c r="I8" s="180">
        <v>56</v>
      </c>
      <c r="J8" s="180">
        <v>5870</v>
      </c>
      <c r="K8" s="180">
        <v>25</v>
      </c>
      <c r="L8" s="180">
        <v>1924</v>
      </c>
      <c r="M8" s="180">
        <v>25</v>
      </c>
      <c r="N8" s="180">
        <v>1924</v>
      </c>
      <c r="O8" s="180">
        <v>87</v>
      </c>
      <c r="P8" s="180">
        <v>12683</v>
      </c>
      <c r="Q8" s="180">
        <v>87</v>
      </c>
      <c r="R8" s="180">
        <v>12683</v>
      </c>
      <c r="S8" s="180">
        <v>191</v>
      </c>
      <c r="T8" s="180">
        <v>22242</v>
      </c>
      <c r="U8" s="180">
        <v>191</v>
      </c>
      <c r="V8" s="181">
        <v>22242</v>
      </c>
      <c r="W8" s="179">
        <v>13</v>
      </c>
      <c r="X8" s="180">
        <v>867</v>
      </c>
      <c r="Y8" s="180">
        <v>126</v>
      </c>
      <c r="Z8" s="180">
        <v>9063</v>
      </c>
      <c r="AA8" s="180">
        <v>96</v>
      </c>
      <c r="AB8" s="180">
        <v>13135</v>
      </c>
      <c r="AC8" s="180">
        <v>611</v>
      </c>
      <c r="AD8" s="180">
        <v>79403</v>
      </c>
      <c r="AE8" s="180">
        <v>60</v>
      </c>
      <c r="AF8" s="180">
        <v>5252</v>
      </c>
      <c r="AG8" s="180">
        <v>831</v>
      </c>
      <c r="AH8" s="180">
        <v>98744</v>
      </c>
      <c r="AI8" s="180">
        <v>150</v>
      </c>
      <c r="AJ8" s="180">
        <v>21696</v>
      </c>
      <c r="AK8" s="180">
        <v>825</v>
      </c>
      <c r="AL8" s="180">
        <v>125927</v>
      </c>
      <c r="AM8" s="180">
        <v>318</v>
      </c>
      <c r="AN8" s="180">
        <v>40950</v>
      </c>
      <c r="AO8" s="180">
        <v>2392</v>
      </c>
      <c r="AP8" s="181">
        <v>313137</v>
      </c>
      <c r="AQ8" s="179">
        <v>48</v>
      </c>
      <c r="AR8" s="180">
        <v>4738</v>
      </c>
      <c r="AS8" s="180">
        <v>241</v>
      </c>
      <c r="AT8" s="180">
        <v>18556</v>
      </c>
      <c r="AU8" s="180">
        <v>88</v>
      </c>
      <c r="AV8" s="180">
        <v>10999</v>
      </c>
      <c r="AW8" s="180">
        <v>969</v>
      </c>
      <c r="AX8" s="180">
        <v>122429</v>
      </c>
      <c r="AY8" s="180">
        <v>83</v>
      </c>
      <c r="AZ8" s="180">
        <v>7987</v>
      </c>
      <c r="BA8" s="180">
        <v>1699</v>
      </c>
      <c r="BB8" s="180">
        <v>200969</v>
      </c>
      <c r="BC8" s="180">
        <v>150</v>
      </c>
      <c r="BD8" s="180">
        <v>24539</v>
      </c>
      <c r="BE8" s="180">
        <v>1484</v>
      </c>
      <c r="BF8" s="180">
        <v>228997</v>
      </c>
      <c r="BG8" s="180">
        <v>369</v>
      </c>
      <c r="BH8" s="180">
        <v>48262</v>
      </c>
      <c r="BI8" s="180">
        <v>4392</v>
      </c>
      <c r="BJ8" s="181">
        <v>570952</v>
      </c>
      <c r="BK8" s="179"/>
      <c r="BL8" s="180"/>
      <c r="BM8" s="180"/>
      <c r="BN8" s="180"/>
      <c r="BO8" s="180"/>
      <c r="BP8" s="180"/>
      <c r="BQ8" s="180"/>
      <c r="BR8" s="180"/>
      <c r="BS8" s="180"/>
      <c r="BT8" s="180"/>
      <c r="BU8" s="180"/>
      <c r="BV8" s="180"/>
      <c r="BW8" s="180"/>
      <c r="BX8" s="180"/>
      <c r="BY8" s="180"/>
      <c r="BZ8" s="180"/>
      <c r="CA8" s="180"/>
      <c r="CB8" s="180"/>
      <c r="CC8" s="180"/>
      <c r="CD8" s="181"/>
      <c r="CE8" s="179">
        <v>12</v>
      </c>
      <c r="CF8" s="180">
        <v>1016</v>
      </c>
      <c r="CG8" s="180">
        <v>413</v>
      </c>
      <c r="CH8" s="180">
        <v>32641</v>
      </c>
      <c r="CI8" s="180">
        <v>33</v>
      </c>
      <c r="CJ8" s="180">
        <v>4024</v>
      </c>
      <c r="CK8" s="180">
        <v>1760</v>
      </c>
      <c r="CL8" s="180">
        <v>225167</v>
      </c>
      <c r="CM8" s="180">
        <v>27</v>
      </c>
      <c r="CN8" s="180">
        <v>3634</v>
      </c>
      <c r="CO8" s="180">
        <v>3156</v>
      </c>
      <c r="CP8" s="180">
        <v>373237</v>
      </c>
      <c r="CQ8" s="180">
        <v>98</v>
      </c>
      <c r="CR8" s="180">
        <v>13321</v>
      </c>
      <c r="CS8" s="180">
        <v>2895</v>
      </c>
      <c r="CT8" s="180">
        <v>442261</v>
      </c>
      <c r="CU8" s="180">
        <v>169</v>
      </c>
      <c r="CV8" s="180">
        <v>21995</v>
      </c>
      <c r="CW8" s="180">
        <v>8225</v>
      </c>
      <c r="CX8" s="181">
        <v>1073306</v>
      </c>
      <c r="CY8" s="179">
        <v>9</v>
      </c>
      <c r="CZ8" s="180">
        <v>621</v>
      </c>
      <c r="DA8" s="180">
        <v>550</v>
      </c>
      <c r="DB8" s="180">
        <v>43548</v>
      </c>
      <c r="DC8" s="180">
        <v>101</v>
      </c>
      <c r="DD8" s="180">
        <v>12489</v>
      </c>
      <c r="DE8" s="180">
        <v>2271</v>
      </c>
      <c r="DF8" s="180">
        <v>286884</v>
      </c>
      <c r="DG8" s="180">
        <v>144</v>
      </c>
      <c r="DH8" s="180">
        <v>15681</v>
      </c>
      <c r="DI8" s="180">
        <v>3750</v>
      </c>
      <c r="DJ8" s="180">
        <v>442727</v>
      </c>
      <c r="DK8" s="180">
        <v>199</v>
      </c>
      <c r="DL8" s="180">
        <v>29574</v>
      </c>
      <c r="DM8" s="180">
        <v>3668</v>
      </c>
      <c r="DN8" s="180">
        <v>559279</v>
      </c>
      <c r="DO8" s="180">
        <v>453</v>
      </c>
      <c r="DP8" s="180">
        <v>58365</v>
      </c>
      <c r="DQ8" s="180">
        <v>10240</v>
      </c>
      <c r="DR8" s="181">
        <v>1332437</v>
      </c>
      <c r="DS8" s="179"/>
      <c r="DT8" s="180"/>
      <c r="DU8" s="180"/>
      <c r="DV8" s="180"/>
      <c r="DW8" s="180"/>
      <c r="DX8" s="180"/>
      <c r="DY8" s="180"/>
      <c r="DZ8" s="180"/>
      <c r="EA8" s="180"/>
      <c r="EB8" s="180"/>
      <c r="EC8" s="180"/>
      <c r="ED8" s="180"/>
      <c r="EE8" s="180"/>
      <c r="EF8" s="180"/>
      <c r="EG8" s="180"/>
      <c r="EH8" s="180"/>
      <c r="EI8" s="180"/>
      <c r="EJ8" s="180"/>
      <c r="EK8" s="180"/>
      <c r="EL8" s="181"/>
      <c r="EM8" s="179">
        <v>21</v>
      </c>
      <c r="EN8" s="180">
        <v>1410</v>
      </c>
      <c r="EO8" s="180">
        <v>827</v>
      </c>
      <c r="EP8" s="180">
        <v>66740</v>
      </c>
      <c r="EQ8" s="180">
        <v>68</v>
      </c>
      <c r="ER8" s="180">
        <v>7495</v>
      </c>
      <c r="ES8" s="180">
        <v>3270</v>
      </c>
      <c r="ET8" s="180">
        <v>417721</v>
      </c>
      <c r="EU8" s="180">
        <v>104</v>
      </c>
      <c r="EV8" s="180">
        <v>10561</v>
      </c>
      <c r="EW8" s="180">
        <v>5049</v>
      </c>
      <c r="EX8" s="180">
        <v>598969</v>
      </c>
      <c r="EY8" s="180">
        <v>177</v>
      </c>
      <c r="EZ8" s="180">
        <v>29260</v>
      </c>
      <c r="FA8" s="180">
        <v>5149</v>
      </c>
      <c r="FB8" s="180">
        <v>786084</v>
      </c>
      <c r="FC8" s="180">
        <v>369</v>
      </c>
      <c r="FD8" s="180">
        <v>48727</v>
      </c>
      <c r="FE8" s="180">
        <v>14295</v>
      </c>
      <c r="FF8" s="181">
        <v>1869513</v>
      </c>
      <c r="FG8" s="179"/>
      <c r="FH8" s="180"/>
      <c r="FI8" s="180"/>
      <c r="FJ8" s="180"/>
      <c r="FK8" s="180"/>
      <c r="FL8" s="180"/>
      <c r="FM8" s="180"/>
      <c r="FN8" s="180"/>
      <c r="FO8" s="180"/>
      <c r="FP8" s="180"/>
      <c r="FQ8" s="180"/>
      <c r="FR8" s="180"/>
      <c r="FS8" s="180"/>
      <c r="FT8" s="180"/>
      <c r="FU8" s="180"/>
      <c r="FV8" s="180"/>
      <c r="FW8" s="180"/>
      <c r="FX8" s="180"/>
      <c r="FY8" s="180"/>
      <c r="FZ8" s="181"/>
      <c r="GA8" s="179">
        <v>42</v>
      </c>
      <c r="GB8" s="180">
        <v>2776</v>
      </c>
      <c r="GC8" s="180">
        <v>1107</v>
      </c>
      <c r="GD8" s="180">
        <v>89475</v>
      </c>
      <c r="GE8" s="180">
        <v>93</v>
      </c>
      <c r="GF8" s="180">
        <v>13548</v>
      </c>
      <c r="GG8" s="180">
        <v>4202</v>
      </c>
      <c r="GH8" s="180">
        <v>543643</v>
      </c>
      <c r="GI8" s="180">
        <v>121</v>
      </c>
      <c r="GJ8" s="180">
        <v>14266</v>
      </c>
      <c r="GK8" s="180">
        <v>6349</v>
      </c>
      <c r="GL8" s="180">
        <v>762227</v>
      </c>
      <c r="GM8" s="180">
        <v>118</v>
      </c>
      <c r="GN8" s="180">
        <v>17564</v>
      </c>
      <c r="GO8" s="180">
        <v>6441</v>
      </c>
      <c r="GP8" s="180">
        <v>985743</v>
      </c>
      <c r="GQ8" s="180">
        <v>375</v>
      </c>
      <c r="GR8" s="180">
        <v>48153</v>
      </c>
      <c r="GS8" s="180">
        <v>18099</v>
      </c>
      <c r="GT8" s="181">
        <v>2381087</v>
      </c>
      <c r="GU8" s="179">
        <v>19</v>
      </c>
      <c r="GV8" s="180">
        <v>1296</v>
      </c>
      <c r="GW8" s="180">
        <v>1234</v>
      </c>
      <c r="GX8" s="180">
        <v>98553</v>
      </c>
      <c r="GY8" s="180">
        <v>72</v>
      </c>
      <c r="GZ8" s="180">
        <v>7457</v>
      </c>
      <c r="HA8" s="180">
        <v>4694</v>
      </c>
      <c r="HB8" s="180">
        <v>606876</v>
      </c>
      <c r="HC8" s="180">
        <v>93</v>
      </c>
      <c r="HD8" s="180">
        <v>10768</v>
      </c>
      <c r="HE8" s="180">
        <v>7151</v>
      </c>
      <c r="HF8" s="180">
        <v>855451</v>
      </c>
      <c r="HG8" s="180">
        <v>134</v>
      </c>
      <c r="HH8" s="180">
        <v>21498</v>
      </c>
      <c r="HI8" s="180">
        <v>7153</v>
      </c>
      <c r="HJ8" s="180">
        <v>1099958</v>
      </c>
      <c r="HK8" s="180">
        <v>318</v>
      </c>
      <c r="HL8" s="180">
        <v>41019</v>
      </c>
      <c r="HM8" s="180">
        <v>20233</v>
      </c>
      <c r="HN8" s="181">
        <v>2660837</v>
      </c>
      <c r="HO8" s="179"/>
      <c r="HP8" s="180"/>
      <c r="HQ8" s="180"/>
      <c r="HR8" s="180"/>
      <c r="HS8" s="180"/>
      <c r="HT8" s="180"/>
      <c r="HU8" s="180"/>
      <c r="HV8" s="180"/>
      <c r="HW8" s="180"/>
      <c r="HX8" s="180"/>
      <c r="HY8" s="180"/>
      <c r="HZ8" s="180"/>
      <c r="IA8" s="180"/>
      <c r="IB8" s="180"/>
      <c r="IC8" s="180"/>
      <c r="ID8" s="180"/>
      <c r="IE8" s="180"/>
      <c r="IF8" s="180"/>
      <c r="IG8" s="180"/>
      <c r="IH8" s="181"/>
    </row>
    <row r="9" spans="1:242">
      <c r="B9" s="175">
        <v>7</v>
      </c>
      <c r="C9" s="179">
        <v>24</v>
      </c>
      <c r="D9" s="180">
        <v>1764</v>
      </c>
      <c r="E9" s="180">
        <v>24</v>
      </c>
      <c r="F9" s="180">
        <v>1764</v>
      </c>
      <c r="G9" s="180">
        <v>77</v>
      </c>
      <c r="H9" s="180">
        <v>8235</v>
      </c>
      <c r="I9" s="180">
        <v>77</v>
      </c>
      <c r="J9" s="180">
        <v>8235</v>
      </c>
      <c r="K9" s="180">
        <v>44</v>
      </c>
      <c r="L9" s="180">
        <v>7681</v>
      </c>
      <c r="M9" s="180">
        <v>44</v>
      </c>
      <c r="N9" s="180">
        <v>7681</v>
      </c>
      <c r="O9" s="180">
        <v>120</v>
      </c>
      <c r="P9" s="180">
        <v>18308</v>
      </c>
      <c r="Q9" s="180">
        <v>120</v>
      </c>
      <c r="R9" s="180">
        <v>18308</v>
      </c>
      <c r="S9" s="180">
        <v>264</v>
      </c>
      <c r="T9" s="180">
        <v>35988</v>
      </c>
      <c r="U9" s="180">
        <v>264</v>
      </c>
      <c r="V9" s="181">
        <v>35988</v>
      </c>
      <c r="W9" s="179">
        <v>15</v>
      </c>
      <c r="X9" s="180">
        <v>968</v>
      </c>
      <c r="Y9" s="180">
        <v>127</v>
      </c>
      <c r="Z9" s="180">
        <v>9164</v>
      </c>
      <c r="AA9" s="180">
        <v>121</v>
      </c>
      <c r="AB9" s="180">
        <v>16165</v>
      </c>
      <c r="AC9" s="180">
        <v>636</v>
      </c>
      <c r="AD9" s="180">
        <v>82433</v>
      </c>
      <c r="AE9" s="180">
        <v>133</v>
      </c>
      <c r="AF9" s="180">
        <v>11548</v>
      </c>
      <c r="AG9" s="180">
        <v>904</v>
      </c>
      <c r="AH9" s="180">
        <v>105041</v>
      </c>
      <c r="AI9" s="180">
        <v>194</v>
      </c>
      <c r="AJ9" s="180">
        <v>28211</v>
      </c>
      <c r="AK9" s="180">
        <v>869</v>
      </c>
      <c r="AL9" s="180">
        <v>132443</v>
      </c>
      <c r="AM9" s="180">
        <v>463</v>
      </c>
      <c r="AN9" s="180">
        <v>56894</v>
      </c>
      <c r="AO9" s="180">
        <v>2536</v>
      </c>
      <c r="AP9" s="181">
        <v>329081</v>
      </c>
      <c r="AQ9" s="179">
        <v>59</v>
      </c>
      <c r="AR9" s="180">
        <v>5575</v>
      </c>
      <c r="AS9" s="180">
        <v>252</v>
      </c>
      <c r="AT9" s="180">
        <v>19394</v>
      </c>
      <c r="AU9" s="180">
        <v>135</v>
      </c>
      <c r="AV9" s="180">
        <v>16705</v>
      </c>
      <c r="AW9" s="180">
        <v>1016</v>
      </c>
      <c r="AX9" s="180">
        <v>128136</v>
      </c>
      <c r="AY9" s="180">
        <v>95</v>
      </c>
      <c r="AZ9" s="180">
        <v>9108</v>
      </c>
      <c r="BA9" s="180">
        <v>1710</v>
      </c>
      <c r="BB9" s="180">
        <v>202089</v>
      </c>
      <c r="BC9" s="180">
        <v>179</v>
      </c>
      <c r="BD9" s="180">
        <v>29288</v>
      </c>
      <c r="BE9" s="180">
        <v>1513</v>
      </c>
      <c r="BF9" s="180">
        <v>233748</v>
      </c>
      <c r="BG9" s="180">
        <v>468</v>
      </c>
      <c r="BH9" s="180">
        <v>60677</v>
      </c>
      <c r="BI9" s="180">
        <v>4490</v>
      </c>
      <c r="BJ9" s="181">
        <v>583366</v>
      </c>
      <c r="BK9" s="179">
        <v>12</v>
      </c>
      <c r="BL9" s="180">
        <v>829</v>
      </c>
      <c r="BM9" s="180">
        <v>317</v>
      </c>
      <c r="BN9" s="180">
        <v>24768</v>
      </c>
      <c r="BO9" s="180">
        <v>124</v>
      </c>
      <c r="BP9" s="180">
        <v>12318</v>
      </c>
      <c r="BQ9" s="180">
        <v>1414</v>
      </c>
      <c r="BR9" s="180">
        <v>181088</v>
      </c>
      <c r="BS9" s="180">
        <v>81</v>
      </c>
      <c r="BT9" s="180">
        <v>11210</v>
      </c>
      <c r="BU9" s="180">
        <v>2488</v>
      </c>
      <c r="BV9" s="180">
        <v>298183</v>
      </c>
      <c r="BW9" s="180">
        <v>259</v>
      </c>
      <c r="BX9" s="180">
        <v>39072</v>
      </c>
      <c r="BY9" s="180">
        <v>2261</v>
      </c>
      <c r="BZ9" s="180">
        <v>347990</v>
      </c>
      <c r="CA9" s="180">
        <v>476</v>
      </c>
      <c r="CB9" s="180">
        <v>63431</v>
      </c>
      <c r="CC9" s="180">
        <v>6480</v>
      </c>
      <c r="CD9" s="181">
        <v>852027</v>
      </c>
      <c r="CE9" s="179">
        <v>22</v>
      </c>
      <c r="CF9" s="180">
        <v>1812</v>
      </c>
      <c r="CG9" s="180">
        <v>423</v>
      </c>
      <c r="CH9" s="180">
        <v>33437</v>
      </c>
      <c r="CI9" s="180">
        <v>62</v>
      </c>
      <c r="CJ9" s="180">
        <v>6969</v>
      </c>
      <c r="CK9" s="180">
        <v>1790</v>
      </c>
      <c r="CL9" s="180">
        <v>228112</v>
      </c>
      <c r="CM9" s="180">
        <v>69</v>
      </c>
      <c r="CN9" s="180">
        <v>9117</v>
      </c>
      <c r="CO9" s="180">
        <v>3198</v>
      </c>
      <c r="CP9" s="180">
        <v>378720</v>
      </c>
      <c r="CQ9" s="180">
        <v>140</v>
      </c>
      <c r="CR9" s="180">
        <v>18530</v>
      </c>
      <c r="CS9" s="180">
        <v>2938</v>
      </c>
      <c r="CT9" s="180">
        <v>447470</v>
      </c>
      <c r="CU9" s="180">
        <v>294</v>
      </c>
      <c r="CV9" s="180">
        <v>36428</v>
      </c>
      <c r="CW9" s="180">
        <v>8349</v>
      </c>
      <c r="CX9" s="181">
        <v>1087740</v>
      </c>
      <c r="CY9" s="179"/>
      <c r="CZ9" s="180"/>
      <c r="DA9" s="180"/>
      <c r="DB9" s="180"/>
      <c r="DC9" s="180"/>
      <c r="DD9" s="180"/>
      <c r="DE9" s="180"/>
      <c r="DF9" s="180"/>
      <c r="DG9" s="180"/>
      <c r="DH9" s="180"/>
      <c r="DI9" s="180"/>
      <c r="DJ9" s="180"/>
      <c r="DK9" s="180"/>
      <c r="DL9" s="180"/>
      <c r="DM9" s="180"/>
      <c r="DN9" s="180"/>
      <c r="DO9" s="180"/>
      <c r="DP9" s="180"/>
      <c r="DQ9" s="180"/>
      <c r="DR9" s="181"/>
      <c r="DS9" s="179">
        <v>35</v>
      </c>
      <c r="DT9" s="180">
        <v>2887</v>
      </c>
      <c r="DU9" s="180">
        <v>679</v>
      </c>
      <c r="DV9" s="180">
        <v>54543</v>
      </c>
      <c r="DW9" s="180">
        <v>120</v>
      </c>
      <c r="DX9" s="180">
        <v>15337</v>
      </c>
      <c r="DY9" s="180">
        <v>2805</v>
      </c>
      <c r="DZ9" s="180">
        <v>359306</v>
      </c>
      <c r="EA9" s="180">
        <v>122</v>
      </c>
      <c r="EB9" s="180">
        <v>14090</v>
      </c>
      <c r="EC9" s="180">
        <v>4411</v>
      </c>
      <c r="ED9" s="180">
        <v>527601</v>
      </c>
      <c r="EE9" s="180">
        <v>255</v>
      </c>
      <c r="EF9" s="180">
        <v>36397</v>
      </c>
      <c r="EG9" s="180">
        <v>4489</v>
      </c>
      <c r="EH9" s="180">
        <v>680315</v>
      </c>
      <c r="EI9" s="180">
        <v>531</v>
      </c>
      <c r="EJ9" s="180">
        <v>68711</v>
      </c>
      <c r="EK9" s="180">
        <v>12383</v>
      </c>
      <c r="EL9" s="181">
        <v>1621766</v>
      </c>
      <c r="EM9" s="179">
        <v>21</v>
      </c>
      <c r="EN9" s="180">
        <v>1477</v>
      </c>
      <c r="EO9" s="180">
        <v>827</v>
      </c>
      <c r="EP9" s="180">
        <v>66807</v>
      </c>
      <c r="EQ9" s="180">
        <v>82</v>
      </c>
      <c r="ER9" s="180">
        <v>8597</v>
      </c>
      <c r="ES9" s="180">
        <v>3284</v>
      </c>
      <c r="ET9" s="180">
        <v>418823</v>
      </c>
      <c r="EU9" s="180">
        <v>113</v>
      </c>
      <c r="EV9" s="180">
        <v>13677</v>
      </c>
      <c r="EW9" s="180">
        <v>5058</v>
      </c>
      <c r="EX9" s="180">
        <v>602085</v>
      </c>
      <c r="EY9" s="180">
        <v>216</v>
      </c>
      <c r="EZ9" s="180">
        <v>35227</v>
      </c>
      <c r="FA9" s="180">
        <v>5188</v>
      </c>
      <c r="FB9" s="180">
        <v>792052</v>
      </c>
      <c r="FC9" s="180">
        <v>432</v>
      </c>
      <c r="FD9" s="180">
        <v>58978</v>
      </c>
      <c r="FE9" s="180">
        <v>14358</v>
      </c>
      <c r="FF9" s="181">
        <v>1879767</v>
      </c>
      <c r="FG9" s="179"/>
      <c r="FH9" s="180"/>
      <c r="FI9" s="180"/>
      <c r="FJ9" s="180"/>
      <c r="FK9" s="180"/>
      <c r="FL9" s="180"/>
      <c r="FM9" s="180"/>
      <c r="FN9" s="180"/>
      <c r="FO9" s="180"/>
      <c r="FP9" s="180"/>
      <c r="FQ9" s="180"/>
      <c r="FR9" s="180"/>
      <c r="FS9" s="180"/>
      <c r="FT9" s="180"/>
      <c r="FU9" s="180"/>
      <c r="FV9" s="180"/>
      <c r="FW9" s="180"/>
      <c r="FX9" s="180"/>
      <c r="FY9" s="180"/>
      <c r="FZ9" s="181"/>
      <c r="GA9" s="179">
        <v>42</v>
      </c>
      <c r="GB9" s="180">
        <v>2776</v>
      </c>
      <c r="GC9" s="180">
        <v>1107</v>
      </c>
      <c r="GD9" s="180">
        <v>89475</v>
      </c>
      <c r="GE9" s="180">
        <v>132</v>
      </c>
      <c r="GF9" s="180">
        <v>16752</v>
      </c>
      <c r="GG9" s="180">
        <v>4241</v>
      </c>
      <c r="GH9" s="180">
        <v>546848</v>
      </c>
      <c r="GI9" s="180">
        <v>145</v>
      </c>
      <c r="GJ9" s="180">
        <v>16634</v>
      </c>
      <c r="GK9" s="180">
        <v>6374</v>
      </c>
      <c r="GL9" s="180">
        <v>764594</v>
      </c>
      <c r="GM9" s="180">
        <v>147</v>
      </c>
      <c r="GN9" s="180">
        <v>21513</v>
      </c>
      <c r="GO9" s="180">
        <v>6470</v>
      </c>
      <c r="GP9" s="180">
        <v>989691</v>
      </c>
      <c r="GQ9" s="180">
        <v>467</v>
      </c>
      <c r="GR9" s="180">
        <v>57675</v>
      </c>
      <c r="GS9" s="180">
        <v>18191</v>
      </c>
      <c r="GT9" s="181">
        <v>2390608</v>
      </c>
      <c r="GU9" s="179">
        <v>20</v>
      </c>
      <c r="GV9" s="180">
        <v>1395</v>
      </c>
      <c r="GW9" s="180">
        <v>1235</v>
      </c>
      <c r="GX9" s="180">
        <v>98652</v>
      </c>
      <c r="GY9" s="180">
        <v>108</v>
      </c>
      <c r="GZ9" s="180">
        <v>10823</v>
      </c>
      <c r="HA9" s="180">
        <v>4730</v>
      </c>
      <c r="HB9" s="180">
        <v>610242</v>
      </c>
      <c r="HC9" s="180">
        <v>116</v>
      </c>
      <c r="HD9" s="180">
        <v>12904</v>
      </c>
      <c r="HE9" s="180">
        <v>7176</v>
      </c>
      <c r="HF9" s="180">
        <v>857588</v>
      </c>
      <c r="HG9" s="180">
        <v>172</v>
      </c>
      <c r="HH9" s="180">
        <v>26474</v>
      </c>
      <c r="HI9" s="180">
        <v>7190</v>
      </c>
      <c r="HJ9" s="180">
        <v>1104932</v>
      </c>
      <c r="HK9" s="180">
        <v>416</v>
      </c>
      <c r="HL9" s="180">
        <v>51598</v>
      </c>
      <c r="HM9" s="180">
        <v>20331</v>
      </c>
      <c r="HN9" s="181">
        <v>2671416</v>
      </c>
      <c r="HO9" s="179"/>
      <c r="HP9" s="180"/>
      <c r="HQ9" s="180"/>
      <c r="HR9" s="180"/>
      <c r="HS9" s="180"/>
      <c r="HT9" s="180"/>
      <c r="HU9" s="180"/>
      <c r="HV9" s="180"/>
      <c r="HW9" s="180"/>
      <c r="HX9" s="180"/>
      <c r="HY9" s="180"/>
      <c r="HZ9" s="180"/>
      <c r="IA9" s="180"/>
      <c r="IB9" s="180"/>
      <c r="IC9" s="180"/>
      <c r="ID9" s="180"/>
      <c r="IE9" s="180"/>
      <c r="IF9" s="180"/>
      <c r="IG9" s="180"/>
      <c r="IH9" s="181"/>
    </row>
    <row r="10" spans="1:242">
      <c r="B10" s="175">
        <v>8</v>
      </c>
      <c r="C10" s="179">
        <v>27</v>
      </c>
      <c r="D10" s="180">
        <v>1963</v>
      </c>
      <c r="E10" s="180">
        <v>27</v>
      </c>
      <c r="F10" s="180">
        <v>1963</v>
      </c>
      <c r="G10" s="180">
        <v>110</v>
      </c>
      <c r="H10" s="180">
        <v>12711</v>
      </c>
      <c r="I10" s="180">
        <v>110</v>
      </c>
      <c r="J10" s="180">
        <v>12711</v>
      </c>
      <c r="K10" s="180">
        <v>77</v>
      </c>
      <c r="L10" s="180">
        <v>12480</v>
      </c>
      <c r="M10" s="180">
        <v>77</v>
      </c>
      <c r="N10" s="180">
        <v>12480</v>
      </c>
      <c r="O10" s="180">
        <v>155</v>
      </c>
      <c r="P10" s="180">
        <v>23776</v>
      </c>
      <c r="Q10" s="180">
        <v>155</v>
      </c>
      <c r="R10" s="180">
        <v>23776</v>
      </c>
      <c r="S10" s="180">
        <v>370</v>
      </c>
      <c r="T10" s="180">
        <v>50929</v>
      </c>
      <c r="U10" s="180">
        <v>370</v>
      </c>
      <c r="V10" s="181">
        <v>50929</v>
      </c>
      <c r="W10" s="179"/>
      <c r="X10" s="180"/>
      <c r="Y10" s="180"/>
      <c r="Z10" s="180"/>
      <c r="AA10" s="180"/>
      <c r="AB10" s="180"/>
      <c r="AC10" s="180"/>
      <c r="AD10" s="180"/>
      <c r="AE10" s="180"/>
      <c r="AF10" s="180"/>
      <c r="AG10" s="180"/>
      <c r="AH10" s="180"/>
      <c r="AI10" s="180"/>
      <c r="AJ10" s="180"/>
      <c r="AK10" s="180"/>
      <c r="AL10" s="180"/>
      <c r="AM10" s="180"/>
      <c r="AN10" s="180"/>
      <c r="AO10" s="180"/>
      <c r="AP10" s="181"/>
      <c r="AQ10" s="179"/>
      <c r="AR10" s="180"/>
      <c r="AS10" s="180"/>
      <c r="AT10" s="180"/>
      <c r="AU10" s="180"/>
      <c r="AV10" s="180"/>
      <c r="AW10" s="180"/>
      <c r="AX10" s="180"/>
      <c r="AY10" s="180"/>
      <c r="AZ10" s="180"/>
      <c r="BA10" s="180"/>
      <c r="BB10" s="180"/>
      <c r="BC10" s="180"/>
      <c r="BD10" s="180"/>
      <c r="BE10" s="180"/>
      <c r="BF10" s="180"/>
      <c r="BG10" s="180"/>
      <c r="BH10" s="180"/>
      <c r="BI10" s="180"/>
      <c r="BJ10" s="181"/>
      <c r="BK10" s="179">
        <v>20</v>
      </c>
      <c r="BL10" s="180">
        <v>1357</v>
      </c>
      <c r="BM10" s="180">
        <v>325</v>
      </c>
      <c r="BN10" s="180">
        <v>25296</v>
      </c>
      <c r="BO10" s="180">
        <v>146</v>
      </c>
      <c r="BP10" s="180">
        <v>14917</v>
      </c>
      <c r="BQ10" s="180">
        <v>1437</v>
      </c>
      <c r="BR10" s="180">
        <v>183687</v>
      </c>
      <c r="BS10" s="180">
        <v>143</v>
      </c>
      <c r="BT10" s="180">
        <v>18512</v>
      </c>
      <c r="BU10" s="180">
        <v>2551</v>
      </c>
      <c r="BV10" s="180">
        <v>305483</v>
      </c>
      <c r="BW10" s="180">
        <v>299</v>
      </c>
      <c r="BX10" s="180">
        <v>44715</v>
      </c>
      <c r="BY10" s="180">
        <v>2302</v>
      </c>
      <c r="BZ10" s="180">
        <v>353631</v>
      </c>
      <c r="CA10" s="180">
        <v>609</v>
      </c>
      <c r="CB10" s="180">
        <v>79501</v>
      </c>
      <c r="CC10" s="180">
        <v>6614</v>
      </c>
      <c r="CD10" s="181">
        <v>868096</v>
      </c>
      <c r="CE10" s="179"/>
      <c r="CF10" s="180"/>
      <c r="CG10" s="180"/>
      <c r="CH10" s="180"/>
      <c r="CI10" s="180"/>
      <c r="CJ10" s="180"/>
      <c r="CK10" s="180"/>
      <c r="CL10" s="180"/>
      <c r="CM10" s="180"/>
      <c r="CN10" s="180"/>
      <c r="CO10" s="180"/>
      <c r="CP10" s="180"/>
      <c r="CQ10" s="180"/>
      <c r="CR10" s="180"/>
      <c r="CS10" s="180"/>
      <c r="CT10" s="180"/>
      <c r="CU10" s="180"/>
      <c r="CV10" s="180"/>
      <c r="CW10" s="180"/>
      <c r="CX10" s="181"/>
      <c r="CY10" s="179"/>
      <c r="CZ10" s="180"/>
      <c r="DA10" s="180"/>
      <c r="DB10" s="180"/>
      <c r="DC10" s="180"/>
      <c r="DD10" s="180"/>
      <c r="DE10" s="180"/>
      <c r="DF10" s="180"/>
      <c r="DG10" s="180"/>
      <c r="DH10" s="180"/>
      <c r="DI10" s="180"/>
      <c r="DJ10" s="180"/>
      <c r="DK10" s="180"/>
      <c r="DL10" s="180"/>
      <c r="DM10" s="180"/>
      <c r="DN10" s="180"/>
      <c r="DO10" s="180"/>
      <c r="DP10" s="180"/>
      <c r="DQ10" s="180"/>
      <c r="DR10" s="181"/>
      <c r="DS10" s="179">
        <v>36</v>
      </c>
      <c r="DT10" s="180">
        <v>3024</v>
      </c>
      <c r="DU10" s="180">
        <v>681</v>
      </c>
      <c r="DV10" s="180">
        <v>54680</v>
      </c>
      <c r="DW10" s="180">
        <v>141</v>
      </c>
      <c r="DX10" s="180">
        <v>18419</v>
      </c>
      <c r="DY10" s="180">
        <v>2826</v>
      </c>
      <c r="DZ10" s="180">
        <v>362389</v>
      </c>
      <c r="EA10" s="180">
        <v>150</v>
      </c>
      <c r="EB10" s="180">
        <v>17504</v>
      </c>
      <c r="EC10" s="180">
        <v>4438</v>
      </c>
      <c r="ED10" s="180">
        <v>531016</v>
      </c>
      <c r="EE10" s="180">
        <v>295</v>
      </c>
      <c r="EF10" s="180">
        <v>42748</v>
      </c>
      <c r="EG10" s="180">
        <v>4529</v>
      </c>
      <c r="EH10" s="180">
        <v>686667</v>
      </c>
      <c r="EI10" s="180">
        <v>622</v>
      </c>
      <c r="EJ10" s="180">
        <v>81697</v>
      </c>
      <c r="EK10" s="180">
        <v>12474</v>
      </c>
      <c r="EL10" s="181">
        <v>1634752</v>
      </c>
      <c r="EM10" s="179">
        <v>26</v>
      </c>
      <c r="EN10" s="180">
        <v>1717</v>
      </c>
      <c r="EO10" s="180">
        <v>832</v>
      </c>
      <c r="EP10" s="180">
        <v>67047</v>
      </c>
      <c r="EQ10" s="180">
        <v>115</v>
      </c>
      <c r="ER10" s="180">
        <v>11969</v>
      </c>
      <c r="ES10" s="180">
        <v>3316</v>
      </c>
      <c r="ET10" s="180">
        <v>422194</v>
      </c>
      <c r="EU10" s="180">
        <v>149</v>
      </c>
      <c r="EV10" s="180">
        <v>16811</v>
      </c>
      <c r="EW10" s="180">
        <v>5094</v>
      </c>
      <c r="EX10" s="180">
        <v>605218</v>
      </c>
      <c r="EY10" s="180">
        <v>234</v>
      </c>
      <c r="EZ10" s="180">
        <v>38222</v>
      </c>
      <c r="FA10" s="180">
        <v>5207</v>
      </c>
      <c r="FB10" s="180">
        <v>795047</v>
      </c>
      <c r="FC10" s="180">
        <v>523</v>
      </c>
      <c r="FD10" s="180">
        <v>68717</v>
      </c>
      <c r="FE10" s="180">
        <v>14450</v>
      </c>
      <c r="FF10" s="181">
        <v>1889505</v>
      </c>
      <c r="FG10" s="179">
        <v>35</v>
      </c>
      <c r="FH10" s="180">
        <v>2511</v>
      </c>
      <c r="FI10" s="180">
        <v>963</v>
      </c>
      <c r="FJ10" s="180">
        <v>78793</v>
      </c>
      <c r="FK10" s="180">
        <v>138</v>
      </c>
      <c r="FL10" s="180">
        <v>16502</v>
      </c>
      <c r="FM10" s="180">
        <v>3726</v>
      </c>
      <c r="FN10" s="180">
        <v>475969</v>
      </c>
      <c r="FO10" s="180">
        <v>177</v>
      </c>
      <c r="FP10" s="180">
        <v>21475</v>
      </c>
      <c r="FQ10" s="180">
        <v>5671</v>
      </c>
      <c r="FR10" s="180">
        <v>680960</v>
      </c>
      <c r="FS10" s="180">
        <v>201</v>
      </c>
      <c r="FT10" s="180">
        <v>29740</v>
      </c>
      <c r="FU10" s="180">
        <v>5819</v>
      </c>
      <c r="FV10" s="180">
        <v>887858</v>
      </c>
      <c r="FW10" s="180">
        <v>551</v>
      </c>
      <c r="FX10" s="180">
        <v>70228</v>
      </c>
      <c r="FY10" s="180">
        <v>16179</v>
      </c>
      <c r="FZ10" s="181">
        <v>2123577</v>
      </c>
      <c r="GA10" s="179">
        <v>48</v>
      </c>
      <c r="GB10" s="180">
        <v>3389</v>
      </c>
      <c r="GC10" s="180">
        <v>1113</v>
      </c>
      <c r="GD10" s="180">
        <v>90088</v>
      </c>
      <c r="GE10" s="180">
        <v>158</v>
      </c>
      <c r="GF10" s="180">
        <v>19923</v>
      </c>
      <c r="GG10" s="180">
        <v>4266</v>
      </c>
      <c r="GH10" s="180">
        <v>550018</v>
      </c>
      <c r="GI10" s="180">
        <v>148</v>
      </c>
      <c r="GJ10" s="180">
        <v>17017</v>
      </c>
      <c r="GK10" s="180">
        <v>6377</v>
      </c>
      <c r="GL10" s="180">
        <v>764978</v>
      </c>
      <c r="GM10" s="180">
        <v>182</v>
      </c>
      <c r="GN10" s="180">
        <v>26799</v>
      </c>
      <c r="GO10" s="180">
        <v>6505</v>
      </c>
      <c r="GP10" s="180">
        <v>994976</v>
      </c>
      <c r="GQ10" s="180">
        <v>536</v>
      </c>
      <c r="GR10" s="180">
        <v>67129</v>
      </c>
      <c r="GS10" s="180">
        <v>18262</v>
      </c>
      <c r="GT10" s="181">
        <v>2400060</v>
      </c>
      <c r="GU10" s="179"/>
      <c r="GV10" s="180"/>
      <c r="GW10" s="180"/>
      <c r="GX10" s="180"/>
      <c r="GY10" s="180"/>
      <c r="GZ10" s="180"/>
      <c r="HA10" s="180"/>
      <c r="HB10" s="180"/>
      <c r="HC10" s="180"/>
      <c r="HD10" s="180"/>
      <c r="HE10" s="180"/>
      <c r="HF10" s="180"/>
      <c r="HG10" s="180"/>
      <c r="HH10" s="180"/>
      <c r="HI10" s="180"/>
      <c r="HJ10" s="180"/>
      <c r="HK10" s="180"/>
      <c r="HL10" s="180"/>
      <c r="HM10" s="180"/>
      <c r="HN10" s="181"/>
      <c r="HO10" s="179">
        <v>57</v>
      </c>
      <c r="HP10" s="180">
        <v>4232</v>
      </c>
      <c r="HQ10" s="180">
        <v>1392</v>
      </c>
      <c r="HR10" s="180">
        <v>109544</v>
      </c>
      <c r="HS10" s="180">
        <v>119</v>
      </c>
      <c r="HT10" s="180">
        <v>16756</v>
      </c>
      <c r="HU10" s="180">
        <v>5127</v>
      </c>
      <c r="HV10" s="180">
        <v>662293</v>
      </c>
      <c r="HW10" s="180">
        <v>158</v>
      </c>
      <c r="HX10" s="180">
        <v>20810</v>
      </c>
      <c r="HY10" s="180">
        <v>7889</v>
      </c>
      <c r="HZ10" s="180">
        <v>949596</v>
      </c>
      <c r="IA10" s="180">
        <v>193</v>
      </c>
      <c r="IB10" s="180">
        <v>32158</v>
      </c>
      <c r="IC10" s="180">
        <v>7866</v>
      </c>
      <c r="ID10" s="180">
        <v>1221463</v>
      </c>
      <c r="IE10" s="180">
        <v>525</v>
      </c>
      <c r="IF10" s="180">
        <v>73957</v>
      </c>
      <c r="IG10" s="180">
        <v>22275</v>
      </c>
      <c r="IH10" s="181">
        <v>2942897</v>
      </c>
    </row>
    <row r="11" spans="1:242">
      <c r="B11" s="175">
        <v>9</v>
      </c>
      <c r="C11" s="179">
        <v>27</v>
      </c>
      <c r="D11" s="180">
        <v>1963</v>
      </c>
      <c r="E11" s="180">
        <v>27</v>
      </c>
      <c r="F11" s="180">
        <v>1963</v>
      </c>
      <c r="G11" s="180">
        <v>125</v>
      </c>
      <c r="H11" s="180">
        <v>14636</v>
      </c>
      <c r="I11" s="180">
        <v>125</v>
      </c>
      <c r="J11" s="180">
        <v>14636</v>
      </c>
      <c r="K11" s="180">
        <v>99</v>
      </c>
      <c r="L11" s="180">
        <v>13991</v>
      </c>
      <c r="M11" s="180">
        <v>99</v>
      </c>
      <c r="N11" s="180">
        <v>13991</v>
      </c>
      <c r="O11" s="180">
        <v>185</v>
      </c>
      <c r="P11" s="180">
        <v>28562</v>
      </c>
      <c r="Q11" s="180">
        <v>185</v>
      </c>
      <c r="R11" s="180">
        <v>28562</v>
      </c>
      <c r="S11" s="180">
        <v>436</v>
      </c>
      <c r="T11" s="180">
        <v>59151</v>
      </c>
      <c r="U11" s="180">
        <v>436</v>
      </c>
      <c r="V11" s="181">
        <v>59151</v>
      </c>
      <c r="W11" s="179"/>
      <c r="X11" s="180"/>
      <c r="Y11" s="180"/>
      <c r="Z11" s="180"/>
      <c r="AA11" s="180"/>
      <c r="AB11" s="180"/>
      <c r="AC11" s="180"/>
      <c r="AD11" s="180"/>
      <c r="AE11" s="180"/>
      <c r="AF11" s="180"/>
      <c r="AG11" s="180"/>
      <c r="AH11" s="180"/>
      <c r="AI11" s="180"/>
      <c r="AJ11" s="180"/>
      <c r="AK11" s="180"/>
      <c r="AL11" s="180"/>
      <c r="AM11" s="180"/>
      <c r="AN11" s="180"/>
      <c r="AO11" s="180"/>
      <c r="AP11" s="181"/>
      <c r="AQ11" s="179"/>
      <c r="AR11" s="180"/>
      <c r="AS11" s="180"/>
      <c r="AT11" s="180"/>
      <c r="AU11" s="180"/>
      <c r="AV11" s="180"/>
      <c r="AW11" s="180"/>
      <c r="AX11" s="180"/>
      <c r="AY11" s="180"/>
      <c r="AZ11" s="180"/>
      <c r="BA11" s="180"/>
      <c r="BB11" s="180"/>
      <c r="BC11" s="180"/>
      <c r="BD11" s="180"/>
      <c r="BE11" s="180"/>
      <c r="BF11" s="180"/>
      <c r="BG11" s="180"/>
      <c r="BH11" s="180"/>
      <c r="BI11" s="180"/>
      <c r="BJ11" s="181"/>
      <c r="BK11" s="179">
        <v>20</v>
      </c>
      <c r="BL11" s="180">
        <v>1357</v>
      </c>
      <c r="BM11" s="180">
        <v>325</v>
      </c>
      <c r="BN11" s="180">
        <v>25296</v>
      </c>
      <c r="BO11" s="180">
        <v>164</v>
      </c>
      <c r="BP11" s="180">
        <v>16780</v>
      </c>
      <c r="BQ11" s="180">
        <v>1454</v>
      </c>
      <c r="BR11" s="180">
        <v>185551</v>
      </c>
      <c r="BS11" s="180">
        <v>170</v>
      </c>
      <c r="BT11" s="180">
        <v>22737</v>
      </c>
      <c r="BU11" s="180">
        <v>2577</v>
      </c>
      <c r="BV11" s="180">
        <v>309709</v>
      </c>
      <c r="BW11" s="180">
        <v>338</v>
      </c>
      <c r="BX11" s="180">
        <v>50659</v>
      </c>
      <c r="BY11" s="180">
        <v>2341</v>
      </c>
      <c r="BZ11" s="180">
        <v>359576</v>
      </c>
      <c r="CA11" s="180">
        <v>692</v>
      </c>
      <c r="CB11" s="180">
        <v>91533</v>
      </c>
      <c r="CC11" s="180">
        <v>6697</v>
      </c>
      <c r="CD11" s="181">
        <v>880130</v>
      </c>
      <c r="CE11" s="179">
        <v>33</v>
      </c>
      <c r="CF11" s="180">
        <v>2423</v>
      </c>
      <c r="CG11" s="180">
        <v>434</v>
      </c>
      <c r="CH11" s="180">
        <v>34048</v>
      </c>
      <c r="CI11" s="180">
        <v>81</v>
      </c>
      <c r="CJ11" s="180">
        <v>10464</v>
      </c>
      <c r="CK11" s="180">
        <v>1809</v>
      </c>
      <c r="CL11" s="180">
        <v>231608</v>
      </c>
      <c r="CM11" s="180">
        <v>89</v>
      </c>
      <c r="CN11" s="180">
        <v>11423</v>
      </c>
      <c r="CO11" s="180">
        <v>3217</v>
      </c>
      <c r="CP11" s="180">
        <v>381026</v>
      </c>
      <c r="CQ11" s="180">
        <v>170</v>
      </c>
      <c r="CR11" s="180">
        <v>22539</v>
      </c>
      <c r="CS11" s="180">
        <v>2967</v>
      </c>
      <c r="CT11" s="180">
        <v>451480</v>
      </c>
      <c r="CU11" s="180">
        <v>372</v>
      </c>
      <c r="CV11" s="180">
        <v>46850</v>
      </c>
      <c r="CW11" s="180">
        <v>8427</v>
      </c>
      <c r="CX11" s="181">
        <v>1098161</v>
      </c>
      <c r="CY11" s="179"/>
      <c r="CZ11" s="180"/>
      <c r="DA11" s="180"/>
      <c r="DB11" s="180"/>
      <c r="DC11" s="180"/>
      <c r="DD11" s="180"/>
      <c r="DE11" s="180"/>
      <c r="DF11" s="180"/>
      <c r="DG11" s="180"/>
      <c r="DH11" s="180"/>
      <c r="DI11" s="180"/>
      <c r="DJ11" s="180"/>
      <c r="DK11" s="180"/>
      <c r="DL11" s="180"/>
      <c r="DM11" s="180"/>
      <c r="DN11" s="180"/>
      <c r="DO11" s="180"/>
      <c r="DP11" s="180"/>
      <c r="DQ11" s="180"/>
      <c r="DR11" s="181"/>
      <c r="DS11" s="179">
        <v>49</v>
      </c>
      <c r="DT11" s="180">
        <v>3899</v>
      </c>
      <c r="DU11" s="180">
        <v>693</v>
      </c>
      <c r="DV11" s="180">
        <v>55555</v>
      </c>
      <c r="DW11" s="180">
        <v>165</v>
      </c>
      <c r="DX11" s="180">
        <v>21484</v>
      </c>
      <c r="DY11" s="180">
        <v>2850</v>
      </c>
      <c r="DZ11" s="180">
        <v>365454</v>
      </c>
      <c r="EA11" s="180">
        <v>186</v>
      </c>
      <c r="EB11" s="180">
        <v>21344</v>
      </c>
      <c r="EC11" s="180">
        <v>4475</v>
      </c>
      <c r="ED11" s="180">
        <v>534856</v>
      </c>
      <c r="EE11" s="180">
        <v>337</v>
      </c>
      <c r="EF11" s="180">
        <v>50014</v>
      </c>
      <c r="EG11" s="180">
        <v>4571</v>
      </c>
      <c r="EH11" s="180">
        <v>693932</v>
      </c>
      <c r="EI11" s="180">
        <v>737</v>
      </c>
      <c r="EJ11" s="180">
        <v>96741</v>
      </c>
      <c r="EK11" s="180">
        <v>12589</v>
      </c>
      <c r="EL11" s="181">
        <v>1649796</v>
      </c>
      <c r="EM11" s="179"/>
      <c r="EN11" s="180"/>
      <c r="EO11" s="180"/>
      <c r="EP11" s="180"/>
      <c r="EQ11" s="180"/>
      <c r="ER11" s="180"/>
      <c r="ES11" s="180"/>
      <c r="ET11" s="180"/>
      <c r="EU11" s="180"/>
      <c r="EV11" s="180"/>
      <c r="EW11" s="180"/>
      <c r="EX11" s="180"/>
      <c r="EY11" s="180"/>
      <c r="EZ11" s="180"/>
      <c r="FA11" s="180"/>
      <c r="FB11" s="180"/>
      <c r="FC11" s="180"/>
      <c r="FD11" s="180"/>
      <c r="FE11" s="180"/>
      <c r="FF11" s="181"/>
      <c r="FG11" s="179">
        <v>35</v>
      </c>
      <c r="FH11" s="180">
        <v>2511</v>
      </c>
      <c r="FI11" s="180">
        <v>963</v>
      </c>
      <c r="FJ11" s="180">
        <v>78793</v>
      </c>
      <c r="FK11" s="180">
        <v>157</v>
      </c>
      <c r="FL11" s="180">
        <v>18606</v>
      </c>
      <c r="FM11" s="180">
        <v>3746</v>
      </c>
      <c r="FN11" s="180">
        <v>478073</v>
      </c>
      <c r="FO11" s="180">
        <v>201</v>
      </c>
      <c r="FP11" s="180">
        <v>24232</v>
      </c>
      <c r="FQ11" s="180">
        <v>5695</v>
      </c>
      <c r="FR11" s="180">
        <v>683717</v>
      </c>
      <c r="FS11" s="180">
        <v>241</v>
      </c>
      <c r="FT11" s="180">
        <v>35957</v>
      </c>
      <c r="FU11" s="180">
        <v>5859</v>
      </c>
      <c r="FV11" s="180">
        <v>894074</v>
      </c>
      <c r="FW11" s="180">
        <v>635</v>
      </c>
      <c r="FX11" s="180">
        <v>81305</v>
      </c>
      <c r="FY11" s="180">
        <v>16263</v>
      </c>
      <c r="FZ11" s="181">
        <v>2134656</v>
      </c>
      <c r="GA11" s="179">
        <v>48</v>
      </c>
      <c r="GB11" s="180">
        <v>3389</v>
      </c>
      <c r="GC11" s="180">
        <v>1113</v>
      </c>
      <c r="GD11" s="180">
        <v>90088</v>
      </c>
      <c r="GE11" s="180">
        <v>178</v>
      </c>
      <c r="GF11" s="180">
        <v>22147</v>
      </c>
      <c r="GG11" s="180">
        <v>4287</v>
      </c>
      <c r="GH11" s="180">
        <v>552243</v>
      </c>
      <c r="GI11" s="180">
        <v>199</v>
      </c>
      <c r="GJ11" s="180">
        <v>21903</v>
      </c>
      <c r="GK11" s="180">
        <v>6428</v>
      </c>
      <c r="GL11" s="180">
        <v>769864</v>
      </c>
      <c r="GM11" s="180">
        <v>227</v>
      </c>
      <c r="GN11" s="180">
        <v>33397</v>
      </c>
      <c r="GO11" s="180">
        <v>6550</v>
      </c>
      <c r="GP11" s="180">
        <v>1001575</v>
      </c>
      <c r="GQ11" s="180">
        <v>653</v>
      </c>
      <c r="GR11" s="180">
        <v>80836</v>
      </c>
      <c r="GS11" s="180">
        <v>18377</v>
      </c>
      <c r="GT11" s="181">
        <v>2413769</v>
      </c>
      <c r="GU11" s="179"/>
      <c r="GV11" s="180"/>
      <c r="GW11" s="180"/>
      <c r="GX11" s="180"/>
      <c r="GY11" s="180"/>
      <c r="GZ11" s="180"/>
      <c r="HA11" s="180"/>
      <c r="HB11" s="180"/>
      <c r="HC11" s="180"/>
      <c r="HD11" s="180"/>
      <c r="HE11" s="180"/>
      <c r="HF11" s="180"/>
      <c r="HG11" s="180"/>
      <c r="HH11" s="180"/>
      <c r="HI11" s="180"/>
      <c r="HJ11" s="180"/>
      <c r="HK11" s="180"/>
      <c r="HL11" s="180"/>
      <c r="HM11" s="180"/>
      <c r="HN11" s="181"/>
      <c r="HO11" s="179">
        <v>57</v>
      </c>
      <c r="HP11" s="180">
        <v>4232</v>
      </c>
      <c r="HQ11" s="180">
        <v>1392</v>
      </c>
      <c r="HR11" s="180">
        <v>109544</v>
      </c>
      <c r="HS11" s="180">
        <v>133</v>
      </c>
      <c r="HT11" s="180">
        <v>19121</v>
      </c>
      <c r="HU11" s="180">
        <v>5142</v>
      </c>
      <c r="HV11" s="180">
        <v>664656</v>
      </c>
      <c r="HW11" s="180">
        <v>183</v>
      </c>
      <c r="HX11" s="180">
        <v>23189</v>
      </c>
      <c r="HY11" s="180">
        <v>7914</v>
      </c>
      <c r="HZ11" s="180">
        <v>951975</v>
      </c>
      <c r="IA11" s="180">
        <v>221</v>
      </c>
      <c r="IB11" s="180">
        <v>36937</v>
      </c>
      <c r="IC11" s="180">
        <v>7895</v>
      </c>
      <c r="ID11" s="180">
        <v>1226242</v>
      </c>
      <c r="IE11" s="180">
        <v>595</v>
      </c>
      <c r="IF11" s="180">
        <v>83480</v>
      </c>
      <c r="IG11" s="180">
        <v>22343</v>
      </c>
      <c r="IH11" s="181">
        <v>2952419</v>
      </c>
    </row>
    <row r="12" spans="1:242">
      <c r="B12" s="175">
        <v>10</v>
      </c>
      <c r="C12" s="179">
        <v>31</v>
      </c>
      <c r="D12" s="180">
        <v>2116</v>
      </c>
      <c r="E12" s="180">
        <v>31</v>
      </c>
      <c r="F12" s="180">
        <v>2116</v>
      </c>
      <c r="G12" s="180">
        <v>152</v>
      </c>
      <c r="H12" s="180">
        <v>17011</v>
      </c>
      <c r="I12" s="180">
        <v>152</v>
      </c>
      <c r="J12" s="180">
        <v>17011</v>
      </c>
      <c r="K12" s="180">
        <v>159</v>
      </c>
      <c r="L12" s="180">
        <v>22438</v>
      </c>
      <c r="M12" s="180">
        <v>159</v>
      </c>
      <c r="N12" s="180">
        <v>22438</v>
      </c>
      <c r="O12" s="180">
        <v>218</v>
      </c>
      <c r="P12" s="180">
        <v>33388</v>
      </c>
      <c r="Q12" s="180">
        <v>218</v>
      </c>
      <c r="R12" s="180">
        <v>33388</v>
      </c>
      <c r="S12" s="180">
        <v>559</v>
      </c>
      <c r="T12" s="180">
        <v>74952</v>
      </c>
      <c r="U12" s="180">
        <v>559</v>
      </c>
      <c r="V12" s="181">
        <v>74952</v>
      </c>
      <c r="W12" s="179">
        <v>25</v>
      </c>
      <c r="X12" s="180">
        <v>1765</v>
      </c>
      <c r="Y12" s="180">
        <v>138</v>
      </c>
      <c r="Z12" s="180">
        <v>9961</v>
      </c>
      <c r="AA12" s="180">
        <v>132</v>
      </c>
      <c r="AB12" s="180">
        <v>17506</v>
      </c>
      <c r="AC12" s="180">
        <v>648</v>
      </c>
      <c r="AD12" s="180">
        <v>83774</v>
      </c>
      <c r="AE12" s="180">
        <v>146</v>
      </c>
      <c r="AF12" s="180">
        <v>12382</v>
      </c>
      <c r="AG12" s="180">
        <v>917</v>
      </c>
      <c r="AH12" s="180">
        <v>105875</v>
      </c>
      <c r="AI12" s="180">
        <v>217</v>
      </c>
      <c r="AJ12" s="180">
        <v>32178</v>
      </c>
      <c r="AK12" s="180">
        <v>892</v>
      </c>
      <c r="AL12" s="180">
        <v>136410</v>
      </c>
      <c r="AM12" s="180">
        <v>520</v>
      </c>
      <c r="AN12" s="180">
        <v>63833</v>
      </c>
      <c r="AO12" s="180">
        <v>2594</v>
      </c>
      <c r="AP12" s="181">
        <v>336021</v>
      </c>
      <c r="AQ12" s="179">
        <v>69</v>
      </c>
      <c r="AR12" s="180">
        <v>6513</v>
      </c>
      <c r="AS12" s="180">
        <v>263</v>
      </c>
      <c r="AT12" s="180">
        <v>20332</v>
      </c>
      <c r="AU12" s="180">
        <v>157</v>
      </c>
      <c r="AV12" s="180">
        <v>24382</v>
      </c>
      <c r="AW12" s="180">
        <v>1037</v>
      </c>
      <c r="AX12" s="180">
        <v>135814</v>
      </c>
      <c r="AY12" s="180">
        <v>120</v>
      </c>
      <c r="AZ12" s="180">
        <v>12646</v>
      </c>
      <c r="BA12" s="180">
        <v>1735</v>
      </c>
      <c r="BB12" s="180">
        <v>205629</v>
      </c>
      <c r="BC12" s="180">
        <v>191</v>
      </c>
      <c r="BD12" s="180">
        <v>30776</v>
      </c>
      <c r="BE12" s="180">
        <v>1524</v>
      </c>
      <c r="BF12" s="180">
        <v>235236</v>
      </c>
      <c r="BG12" s="180">
        <v>537</v>
      </c>
      <c r="BH12" s="180">
        <v>74319</v>
      </c>
      <c r="BI12" s="180">
        <v>4559</v>
      </c>
      <c r="BJ12" s="181">
        <v>597008</v>
      </c>
      <c r="BK12" s="179">
        <v>20</v>
      </c>
      <c r="BL12" s="180">
        <v>1357</v>
      </c>
      <c r="BM12" s="180">
        <v>325</v>
      </c>
      <c r="BN12" s="180">
        <v>25296</v>
      </c>
      <c r="BO12" s="180">
        <v>181</v>
      </c>
      <c r="BP12" s="180">
        <v>19124</v>
      </c>
      <c r="BQ12" s="180">
        <v>1472</v>
      </c>
      <c r="BR12" s="180">
        <v>187894</v>
      </c>
      <c r="BS12" s="180">
        <v>194</v>
      </c>
      <c r="BT12" s="180">
        <v>25705</v>
      </c>
      <c r="BU12" s="180">
        <v>2601</v>
      </c>
      <c r="BV12" s="180">
        <v>312677</v>
      </c>
      <c r="BW12" s="180">
        <v>374</v>
      </c>
      <c r="BX12" s="180">
        <v>57364</v>
      </c>
      <c r="BY12" s="180">
        <v>2376</v>
      </c>
      <c r="BZ12" s="180">
        <v>366281</v>
      </c>
      <c r="CA12" s="180">
        <v>769</v>
      </c>
      <c r="CB12" s="180">
        <v>103551</v>
      </c>
      <c r="CC12" s="180">
        <v>6774</v>
      </c>
      <c r="CD12" s="181">
        <v>892147</v>
      </c>
      <c r="CE12" s="179"/>
      <c r="CF12" s="180"/>
      <c r="CG12" s="180"/>
      <c r="CH12" s="180"/>
      <c r="CI12" s="180"/>
      <c r="CJ12" s="180"/>
      <c r="CK12" s="180"/>
      <c r="CL12" s="180"/>
      <c r="CM12" s="180"/>
      <c r="CN12" s="180"/>
      <c r="CO12" s="180"/>
      <c r="CP12" s="180"/>
      <c r="CQ12" s="180"/>
      <c r="CR12" s="180"/>
      <c r="CS12" s="180"/>
      <c r="CT12" s="180"/>
      <c r="CU12" s="180"/>
      <c r="CV12" s="180"/>
      <c r="CW12" s="180"/>
      <c r="CX12" s="181"/>
      <c r="CY12" s="179">
        <v>13</v>
      </c>
      <c r="CZ12" s="180">
        <v>1012</v>
      </c>
      <c r="DA12" s="180">
        <v>555</v>
      </c>
      <c r="DB12" s="180">
        <v>43939</v>
      </c>
      <c r="DC12" s="180">
        <v>140</v>
      </c>
      <c r="DD12" s="180">
        <v>17805</v>
      </c>
      <c r="DE12" s="180">
        <v>2309</v>
      </c>
      <c r="DF12" s="180">
        <v>292199</v>
      </c>
      <c r="DG12" s="180">
        <v>157</v>
      </c>
      <c r="DH12" s="180">
        <v>16683</v>
      </c>
      <c r="DI12" s="180">
        <v>3762</v>
      </c>
      <c r="DJ12" s="180">
        <v>443728</v>
      </c>
      <c r="DK12" s="180">
        <v>235</v>
      </c>
      <c r="DL12" s="180">
        <v>35177</v>
      </c>
      <c r="DM12" s="180">
        <v>3704</v>
      </c>
      <c r="DN12" s="180">
        <v>564882</v>
      </c>
      <c r="DO12" s="180">
        <v>545</v>
      </c>
      <c r="DP12" s="180">
        <v>70676</v>
      </c>
      <c r="DQ12" s="180">
        <v>10332</v>
      </c>
      <c r="DR12" s="181">
        <v>1344749</v>
      </c>
      <c r="DS12" s="179">
        <v>49</v>
      </c>
      <c r="DT12" s="180">
        <v>3899</v>
      </c>
      <c r="DU12" s="180">
        <v>693</v>
      </c>
      <c r="DV12" s="180">
        <v>55555</v>
      </c>
      <c r="DW12" s="180">
        <v>203</v>
      </c>
      <c r="DX12" s="180">
        <v>26769</v>
      </c>
      <c r="DY12" s="180">
        <v>2889</v>
      </c>
      <c r="DZ12" s="180">
        <v>370738</v>
      </c>
      <c r="EA12" s="180">
        <v>271</v>
      </c>
      <c r="EB12" s="180">
        <v>31565</v>
      </c>
      <c r="EC12" s="180">
        <v>4560</v>
      </c>
      <c r="ED12" s="180">
        <v>545077</v>
      </c>
      <c r="EE12" s="180">
        <v>376</v>
      </c>
      <c r="EF12" s="180">
        <v>55837</v>
      </c>
      <c r="EG12" s="180">
        <v>4610</v>
      </c>
      <c r="EH12" s="180">
        <v>699754</v>
      </c>
      <c r="EI12" s="180">
        <v>899</v>
      </c>
      <c r="EJ12" s="180">
        <v>118071</v>
      </c>
      <c r="EK12" s="180">
        <v>12752</v>
      </c>
      <c r="EL12" s="181">
        <v>1671126</v>
      </c>
      <c r="EM12" s="179"/>
      <c r="EN12" s="180"/>
      <c r="EO12" s="180"/>
      <c r="EP12" s="180"/>
      <c r="EQ12" s="180"/>
      <c r="ER12" s="180"/>
      <c r="ES12" s="180"/>
      <c r="ET12" s="180"/>
      <c r="EU12" s="180"/>
      <c r="EV12" s="180"/>
      <c r="EW12" s="180"/>
      <c r="EX12" s="180"/>
      <c r="EY12" s="180"/>
      <c r="EZ12" s="180"/>
      <c r="FA12" s="180"/>
      <c r="FB12" s="180"/>
      <c r="FC12" s="180"/>
      <c r="FD12" s="180"/>
      <c r="FE12" s="180"/>
      <c r="FF12" s="181"/>
      <c r="FG12" s="179">
        <v>45</v>
      </c>
      <c r="FH12" s="180">
        <v>3291</v>
      </c>
      <c r="FI12" s="180">
        <v>973</v>
      </c>
      <c r="FJ12" s="180">
        <v>79572</v>
      </c>
      <c r="FK12" s="180">
        <v>178</v>
      </c>
      <c r="FL12" s="180">
        <v>21757</v>
      </c>
      <c r="FM12" s="180">
        <v>3766</v>
      </c>
      <c r="FN12" s="180">
        <v>481223</v>
      </c>
      <c r="FO12" s="180">
        <v>239</v>
      </c>
      <c r="FP12" s="180">
        <v>27460</v>
      </c>
      <c r="FQ12" s="180">
        <v>5733</v>
      </c>
      <c r="FR12" s="180">
        <v>686945</v>
      </c>
      <c r="FS12" s="180">
        <v>279</v>
      </c>
      <c r="FT12" s="180">
        <v>41307</v>
      </c>
      <c r="FU12" s="180">
        <v>5897</v>
      </c>
      <c r="FV12" s="180">
        <v>899423</v>
      </c>
      <c r="FW12" s="180">
        <v>742</v>
      </c>
      <c r="FX12" s="180">
        <v>93814</v>
      </c>
      <c r="FY12" s="180">
        <v>16369</v>
      </c>
      <c r="FZ12" s="181">
        <v>2147163</v>
      </c>
      <c r="GA12" s="179">
        <v>53</v>
      </c>
      <c r="GB12" s="180">
        <v>3704</v>
      </c>
      <c r="GC12" s="180">
        <v>1119</v>
      </c>
      <c r="GD12" s="180">
        <v>90403</v>
      </c>
      <c r="GE12" s="180">
        <v>196</v>
      </c>
      <c r="GF12" s="180">
        <v>24912</v>
      </c>
      <c r="GG12" s="180">
        <v>4304</v>
      </c>
      <c r="GH12" s="180">
        <v>555007</v>
      </c>
      <c r="GI12" s="180">
        <v>213</v>
      </c>
      <c r="GJ12" s="180">
        <v>23102</v>
      </c>
      <c r="GK12" s="180">
        <v>6441</v>
      </c>
      <c r="GL12" s="180">
        <v>771062</v>
      </c>
      <c r="GM12" s="180">
        <v>244</v>
      </c>
      <c r="GN12" s="180">
        <v>35791</v>
      </c>
      <c r="GO12" s="180">
        <v>6567</v>
      </c>
      <c r="GP12" s="180">
        <v>1003969</v>
      </c>
      <c r="GQ12" s="180">
        <v>707</v>
      </c>
      <c r="GR12" s="180">
        <v>87509</v>
      </c>
      <c r="GS12" s="180">
        <v>18431</v>
      </c>
      <c r="GT12" s="181">
        <v>2420442</v>
      </c>
      <c r="GU12" s="179">
        <v>20</v>
      </c>
      <c r="GV12" s="180">
        <v>1395</v>
      </c>
      <c r="GW12" s="180">
        <v>1235</v>
      </c>
      <c r="GX12" s="180">
        <v>98652</v>
      </c>
      <c r="GY12" s="180">
        <v>122</v>
      </c>
      <c r="GZ12" s="180">
        <v>12408</v>
      </c>
      <c r="HA12" s="180">
        <v>4745</v>
      </c>
      <c r="HB12" s="180">
        <v>611828</v>
      </c>
      <c r="HC12" s="180">
        <v>117</v>
      </c>
      <c r="HD12" s="180">
        <v>13077</v>
      </c>
      <c r="HE12" s="180">
        <v>7176</v>
      </c>
      <c r="HF12" s="180">
        <v>857761</v>
      </c>
      <c r="HG12" s="180">
        <v>202</v>
      </c>
      <c r="HH12" s="180">
        <v>31959</v>
      </c>
      <c r="HI12" s="180">
        <v>7220</v>
      </c>
      <c r="HJ12" s="180">
        <v>1110417</v>
      </c>
      <c r="HK12" s="180">
        <v>462</v>
      </c>
      <c r="HL12" s="180">
        <v>58840</v>
      </c>
      <c r="HM12" s="180">
        <v>20377</v>
      </c>
      <c r="HN12" s="181">
        <v>2678659</v>
      </c>
      <c r="HO12" s="179">
        <v>64</v>
      </c>
      <c r="HP12" s="180">
        <v>4786</v>
      </c>
      <c r="HQ12" s="180">
        <v>1399</v>
      </c>
      <c r="HR12" s="180">
        <v>110098</v>
      </c>
      <c r="HS12" s="180">
        <v>188</v>
      </c>
      <c r="HT12" s="180">
        <v>24231</v>
      </c>
      <c r="HU12" s="180">
        <v>5197</v>
      </c>
      <c r="HV12" s="180">
        <v>669766</v>
      </c>
      <c r="HW12" s="180">
        <v>235</v>
      </c>
      <c r="HX12" s="180">
        <v>30254</v>
      </c>
      <c r="HY12" s="180">
        <v>7966</v>
      </c>
      <c r="HZ12" s="180">
        <v>959041</v>
      </c>
      <c r="IA12" s="180">
        <v>265</v>
      </c>
      <c r="IB12" s="180">
        <v>44412</v>
      </c>
      <c r="IC12" s="180">
        <v>7939</v>
      </c>
      <c r="ID12" s="180">
        <v>1233716</v>
      </c>
      <c r="IE12" s="180">
        <v>752</v>
      </c>
      <c r="IF12" s="180">
        <v>103684</v>
      </c>
      <c r="IG12" s="180">
        <v>22501</v>
      </c>
      <c r="IH12" s="181">
        <v>2972623</v>
      </c>
    </row>
    <row r="13" spans="1:242">
      <c r="B13" s="175">
        <v>11</v>
      </c>
      <c r="C13" s="179"/>
      <c r="D13" s="180"/>
      <c r="E13" s="180"/>
      <c r="F13" s="180"/>
      <c r="G13" s="180"/>
      <c r="H13" s="180"/>
      <c r="I13" s="180"/>
      <c r="J13" s="180"/>
      <c r="K13" s="180"/>
      <c r="L13" s="180"/>
      <c r="M13" s="180"/>
      <c r="N13" s="180"/>
      <c r="O13" s="180"/>
      <c r="P13" s="180"/>
      <c r="Q13" s="180"/>
      <c r="R13" s="180"/>
      <c r="S13" s="180"/>
      <c r="T13" s="180"/>
      <c r="U13" s="180"/>
      <c r="V13" s="181"/>
      <c r="W13" s="179">
        <v>29</v>
      </c>
      <c r="X13" s="180">
        <v>1956</v>
      </c>
      <c r="Y13" s="180">
        <v>141</v>
      </c>
      <c r="Z13" s="180">
        <v>10152</v>
      </c>
      <c r="AA13" s="180">
        <v>138</v>
      </c>
      <c r="AB13" s="180">
        <v>18104</v>
      </c>
      <c r="AC13" s="180">
        <v>654</v>
      </c>
      <c r="AD13" s="180">
        <v>84372</v>
      </c>
      <c r="AE13" s="180">
        <v>172</v>
      </c>
      <c r="AF13" s="180">
        <v>16087</v>
      </c>
      <c r="AG13" s="180">
        <v>943</v>
      </c>
      <c r="AH13" s="180">
        <v>109581</v>
      </c>
      <c r="AI13" s="180">
        <v>244</v>
      </c>
      <c r="AJ13" s="180">
        <v>36441</v>
      </c>
      <c r="AK13" s="180">
        <v>919</v>
      </c>
      <c r="AL13" s="180">
        <v>140673</v>
      </c>
      <c r="AM13" s="180">
        <v>583</v>
      </c>
      <c r="AN13" s="180">
        <v>72589</v>
      </c>
      <c r="AO13" s="180">
        <v>2657</v>
      </c>
      <c r="AP13" s="181">
        <v>344775</v>
      </c>
      <c r="AQ13" s="179">
        <v>69</v>
      </c>
      <c r="AR13" s="180">
        <v>6513</v>
      </c>
      <c r="AS13" s="180">
        <v>263</v>
      </c>
      <c r="AT13" s="180">
        <v>20332</v>
      </c>
      <c r="AU13" s="180">
        <v>171</v>
      </c>
      <c r="AV13" s="180">
        <v>26416</v>
      </c>
      <c r="AW13" s="180">
        <v>1051</v>
      </c>
      <c r="AX13" s="180">
        <v>137848</v>
      </c>
      <c r="AY13" s="180">
        <v>124</v>
      </c>
      <c r="AZ13" s="180">
        <v>13739</v>
      </c>
      <c r="BA13" s="180">
        <v>1739</v>
      </c>
      <c r="BB13" s="180">
        <v>206721</v>
      </c>
      <c r="BC13" s="180">
        <v>228</v>
      </c>
      <c r="BD13" s="180">
        <v>36358</v>
      </c>
      <c r="BE13" s="180">
        <v>1562</v>
      </c>
      <c r="BF13" s="180">
        <v>240816</v>
      </c>
      <c r="BG13" s="180">
        <v>592</v>
      </c>
      <c r="BH13" s="180">
        <v>83027</v>
      </c>
      <c r="BI13" s="180">
        <v>4615</v>
      </c>
      <c r="BJ13" s="181">
        <v>605717</v>
      </c>
      <c r="BK13" s="179">
        <v>26</v>
      </c>
      <c r="BL13" s="180">
        <v>1892</v>
      </c>
      <c r="BM13" s="180">
        <v>331</v>
      </c>
      <c r="BN13" s="180">
        <v>25831</v>
      </c>
      <c r="BO13" s="180">
        <v>200</v>
      </c>
      <c r="BP13" s="180">
        <v>21665</v>
      </c>
      <c r="BQ13" s="180">
        <v>1490</v>
      </c>
      <c r="BR13" s="180">
        <v>190434</v>
      </c>
      <c r="BS13" s="180">
        <v>300</v>
      </c>
      <c r="BT13" s="180">
        <v>37933</v>
      </c>
      <c r="BU13" s="180">
        <v>2706</v>
      </c>
      <c r="BV13" s="180">
        <v>324905</v>
      </c>
      <c r="BW13" s="180">
        <v>411</v>
      </c>
      <c r="BX13" s="180">
        <v>63927</v>
      </c>
      <c r="BY13" s="180">
        <v>2414</v>
      </c>
      <c r="BZ13" s="180">
        <v>372843</v>
      </c>
      <c r="CA13" s="180">
        <v>937</v>
      </c>
      <c r="CB13" s="180">
        <v>125416</v>
      </c>
      <c r="CC13" s="180">
        <v>6942</v>
      </c>
      <c r="CD13" s="181">
        <v>914013</v>
      </c>
      <c r="CE13" s="179"/>
      <c r="CF13" s="180"/>
      <c r="CG13" s="180"/>
      <c r="CH13" s="180"/>
      <c r="CI13" s="180"/>
      <c r="CJ13" s="180"/>
      <c r="CK13" s="180"/>
      <c r="CL13" s="180"/>
      <c r="CM13" s="180"/>
      <c r="CN13" s="180"/>
      <c r="CO13" s="180"/>
      <c r="CP13" s="180"/>
      <c r="CQ13" s="180"/>
      <c r="CR13" s="180"/>
      <c r="CS13" s="180"/>
      <c r="CT13" s="180"/>
      <c r="CU13" s="180"/>
      <c r="CV13" s="180"/>
      <c r="CW13" s="180"/>
      <c r="CX13" s="181"/>
      <c r="CY13" s="179">
        <v>13</v>
      </c>
      <c r="CZ13" s="180">
        <v>1012</v>
      </c>
      <c r="DA13" s="180">
        <v>555</v>
      </c>
      <c r="DB13" s="180">
        <v>43939</v>
      </c>
      <c r="DC13" s="180">
        <v>172</v>
      </c>
      <c r="DD13" s="180">
        <v>23941</v>
      </c>
      <c r="DE13" s="180">
        <v>2342</v>
      </c>
      <c r="DF13" s="180">
        <v>298337</v>
      </c>
      <c r="DG13" s="180">
        <v>217</v>
      </c>
      <c r="DH13" s="180">
        <v>26982</v>
      </c>
      <c r="DI13" s="180">
        <v>3823</v>
      </c>
      <c r="DJ13" s="180">
        <v>454027</v>
      </c>
      <c r="DK13" s="180">
        <v>278</v>
      </c>
      <c r="DL13" s="180">
        <v>41228</v>
      </c>
      <c r="DM13" s="180">
        <v>3748</v>
      </c>
      <c r="DN13" s="180">
        <v>570933</v>
      </c>
      <c r="DO13" s="180">
        <v>682</v>
      </c>
      <c r="DP13" s="180">
        <v>93163</v>
      </c>
      <c r="DQ13" s="180">
        <v>10468</v>
      </c>
      <c r="DR13" s="181">
        <v>1367235</v>
      </c>
      <c r="DS13" s="179">
        <v>52</v>
      </c>
      <c r="DT13" s="180">
        <v>4232</v>
      </c>
      <c r="DU13" s="180">
        <v>696</v>
      </c>
      <c r="DV13" s="180">
        <v>55888</v>
      </c>
      <c r="DW13" s="180">
        <v>221</v>
      </c>
      <c r="DX13" s="180">
        <v>28404</v>
      </c>
      <c r="DY13" s="180">
        <v>2906</v>
      </c>
      <c r="DZ13" s="180">
        <v>372373</v>
      </c>
      <c r="EA13" s="180">
        <v>304</v>
      </c>
      <c r="EB13" s="180">
        <v>35037</v>
      </c>
      <c r="EC13" s="180">
        <v>4592</v>
      </c>
      <c r="ED13" s="180">
        <v>548549</v>
      </c>
      <c r="EE13" s="180">
        <v>408</v>
      </c>
      <c r="EF13" s="180">
        <v>61174</v>
      </c>
      <c r="EG13" s="180">
        <v>4642</v>
      </c>
      <c r="EH13" s="180">
        <v>705092</v>
      </c>
      <c r="EI13" s="180">
        <v>985</v>
      </c>
      <c r="EJ13" s="180">
        <v>128848</v>
      </c>
      <c r="EK13" s="180">
        <v>12837</v>
      </c>
      <c r="EL13" s="181">
        <v>1681903</v>
      </c>
      <c r="EM13" s="179">
        <v>26</v>
      </c>
      <c r="EN13" s="180">
        <v>1717</v>
      </c>
      <c r="EO13" s="180">
        <v>832</v>
      </c>
      <c r="EP13" s="180">
        <v>67047</v>
      </c>
      <c r="EQ13" s="180">
        <v>118</v>
      </c>
      <c r="ER13" s="180">
        <v>12253</v>
      </c>
      <c r="ES13" s="180">
        <v>3320</v>
      </c>
      <c r="ET13" s="180">
        <v>422479</v>
      </c>
      <c r="EU13" s="180">
        <v>150</v>
      </c>
      <c r="EV13" s="180">
        <v>17004</v>
      </c>
      <c r="EW13" s="180">
        <v>5095</v>
      </c>
      <c r="EX13" s="180">
        <v>605411</v>
      </c>
      <c r="EY13" s="180">
        <v>260</v>
      </c>
      <c r="EZ13" s="180">
        <v>42264</v>
      </c>
      <c r="FA13" s="180">
        <v>5233</v>
      </c>
      <c r="FB13" s="180">
        <v>799089</v>
      </c>
      <c r="FC13" s="180">
        <v>553</v>
      </c>
      <c r="FD13" s="180">
        <v>73236</v>
      </c>
      <c r="FE13" s="180">
        <v>14479</v>
      </c>
      <c r="FF13" s="181">
        <v>1894024</v>
      </c>
      <c r="FG13" s="179">
        <v>54</v>
      </c>
      <c r="FH13" s="180">
        <v>3893</v>
      </c>
      <c r="FI13" s="180">
        <v>982</v>
      </c>
      <c r="FJ13" s="180">
        <v>80175</v>
      </c>
      <c r="FK13" s="180">
        <v>206</v>
      </c>
      <c r="FL13" s="180">
        <v>24800</v>
      </c>
      <c r="FM13" s="180">
        <v>3794</v>
      </c>
      <c r="FN13" s="180">
        <v>484267</v>
      </c>
      <c r="FO13" s="180">
        <v>263</v>
      </c>
      <c r="FP13" s="180">
        <v>31139</v>
      </c>
      <c r="FQ13" s="180">
        <v>5757</v>
      </c>
      <c r="FR13" s="180">
        <v>690624</v>
      </c>
      <c r="FS13" s="180">
        <v>305</v>
      </c>
      <c r="FT13" s="180">
        <v>45005</v>
      </c>
      <c r="FU13" s="180">
        <v>5922</v>
      </c>
      <c r="FV13" s="180">
        <v>903121</v>
      </c>
      <c r="FW13" s="180">
        <v>828</v>
      </c>
      <c r="FX13" s="180">
        <v>104836</v>
      </c>
      <c r="FY13" s="180">
        <v>16455</v>
      </c>
      <c r="FZ13" s="181">
        <v>2158187</v>
      </c>
      <c r="GA13" s="179"/>
      <c r="GB13" s="180"/>
      <c r="GC13" s="180"/>
      <c r="GD13" s="180"/>
      <c r="GE13" s="180"/>
      <c r="GF13" s="180"/>
      <c r="GG13" s="180"/>
      <c r="GH13" s="180"/>
      <c r="GI13" s="180"/>
      <c r="GJ13" s="180"/>
      <c r="GK13" s="180"/>
      <c r="GL13" s="180"/>
      <c r="GM13" s="180"/>
      <c r="GN13" s="180"/>
      <c r="GO13" s="180"/>
      <c r="GP13" s="180"/>
      <c r="GQ13" s="180"/>
      <c r="GR13" s="180"/>
      <c r="GS13" s="180"/>
      <c r="GT13" s="181"/>
      <c r="GU13" s="179"/>
      <c r="GV13" s="180"/>
      <c r="GW13" s="180"/>
      <c r="GX13" s="180"/>
      <c r="GY13" s="180"/>
      <c r="GZ13" s="180"/>
      <c r="HA13" s="180"/>
      <c r="HB13" s="180"/>
      <c r="HC13" s="180"/>
      <c r="HD13" s="180"/>
      <c r="HE13" s="180"/>
      <c r="HF13" s="180"/>
      <c r="HG13" s="180"/>
      <c r="HH13" s="180"/>
      <c r="HI13" s="180"/>
      <c r="HJ13" s="180"/>
      <c r="HK13" s="180"/>
      <c r="HL13" s="180"/>
      <c r="HM13" s="180"/>
      <c r="HN13" s="181"/>
      <c r="HO13" s="179">
        <v>64</v>
      </c>
      <c r="HP13" s="180">
        <v>4786</v>
      </c>
      <c r="HQ13" s="180">
        <v>1399</v>
      </c>
      <c r="HR13" s="180">
        <v>110098</v>
      </c>
      <c r="HS13" s="180">
        <v>201</v>
      </c>
      <c r="HT13" s="180">
        <v>25895</v>
      </c>
      <c r="HU13" s="180">
        <v>5210</v>
      </c>
      <c r="HV13" s="180">
        <v>671428</v>
      </c>
      <c r="HW13" s="180">
        <v>291</v>
      </c>
      <c r="HX13" s="180">
        <v>35692</v>
      </c>
      <c r="HY13" s="180">
        <v>8023</v>
      </c>
      <c r="HZ13" s="180">
        <v>964480</v>
      </c>
      <c r="IA13" s="180">
        <v>313</v>
      </c>
      <c r="IB13" s="180">
        <v>51203</v>
      </c>
      <c r="IC13" s="180">
        <v>7986</v>
      </c>
      <c r="ID13" s="180">
        <v>1240508</v>
      </c>
      <c r="IE13" s="180">
        <v>870</v>
      </c>
      <c r="IF13" s="180">
        <v>117576</v>
      </c>
      <c r="IG13" s="180">
        <v>22618</v>
      </c>
      <c r="IH13" s="181">
        <v>2986514</v>
      </c>
    </row>
    <row r="14" spans="1:242">
      <c r="B14" s="175">
        <v>12</v>
      </c>
      <c r="C14" s="179"/>
      <c r="D14" s="180"/>
      <c r="E14" s="180"/>
      <c r="F14" s="180"/>
      <c r="G14" s="180"/>
      <c r="H14" s="180"/>
      <c r="I14" s="180"/>
      <c r="J14" s="180"/>
      <c r="K14" s="180"/>
      <c r="L14" s="180"/>
      <c r="M14" s="180"/>
      <c r="N14" s="180"/>
      <c r="O14" s="180"/>
      <c r="P14" s="180"/>
      <c r="Q14" s="180"/>
      <c r="R14" s="180"/>
      <c r="S14" s="180"/>
      <c r="T14" s="180"/>
      <c r="U14" s="180"/>
      <c r="V14" s="181"/>
      <c r="W14" s="179">
        <v>36</v>
      </c>
      <c r="X14" s="180">
        <v>2492</v>
      </c>
      <c r="Y14" s="180">
        <v>148</v>
      </c>
      <c r="Z14" s="180">
        <v>10688</v>
      </c>
      <c r="AA14" s="180">
        <v>153</v>
      </c>
      <c r="AB14" s="180">
        <v>20386</v>
      </c>
      <c r="AC14" s="180">
        <v>669</v>
      </c>
      <c r="AD14" s="180">
        <v>86654</v>
      </c>
      <c r="AE14" s="180">
        <v>187</v>
      </c>
      <c r="AF14" s="180">
        <v>18863</v>
      </c>
      <c r="AG14" s="180">
        <v>957</v>
      </c>
      <c r="AH14" s="180">
        <v>112356</v>
      </c>
      <c r="AI14" s="180">
        <v>278</v>
      </c>
      <c r="AJ14" s="180">
        <v>42126</v>
      </c>
      <c r="AK14" s="180">
        <v>953</v>
      </c>
      <c r="AL14" s="180">
        <v>146355</v>
      </c>
      <c r="AM14" s="180">
        <v>654</v>
      </c>
      <c r="AN14" s="180">
        <v>83867</v>
      </c>
      <c r="AO14" s="180">
        <v>2727</v>
      </c>
      <c r="AP14" s="181">
        <v>356053</v>
      </c>
      <c r="AQ14" s="179">
        <v>84</v>
      </c>
      <c r="AR14" s="180">
        <v>7471</v>
      </c>
      <c r="AS14" s="180">
        <v>277</v>
      </c>
      <c r="AT14" s="180">
        <v>21290</v>
      </c>
      <c r="AU14" s="180">
        <v>196</v>
      </c>
      <c r="AV14" s="180">
        <v>28979</v>
      </c>
      <c r="AW14" s="180">
        <v>1077</v>
      </c>
      <c r="AX14" s="180">
        <v>140410</v>
      </c>
      <c r="AY14" s="180">
        <v>202</v>
      </c>
      <c r="AZ14" s="180">
        <v>21168</v>
      </c>
      <c r="BA14" s="180">
        <v>1816</v>
      </c>
      <c r="BB14" s="180">
        <v>214151</v>
      </c>
      <c r="BC14" s="180">
        <v>261</v>
      </c>
      <c r="BD14" s="180">
        <v>41005</v>
      </c>
      <c r="BE14" s="180">
        <v>1595</v>
      </c>
      <c r="BF14" s="180">
        <v>245463</v>
      </c>
      <c r="BG14" s="180">
        <v>742</v>
      </c>
      <c r="BH14" s="180">
        <v>98624</v>
      </c>
      <c r="BI14" s="180">
        <v>4764</v>
      </c>
      <c r="BJ14" s="181">
        <v>621313</v>
      </c>
      <c r="BK14" s="179"/>
      <c r="BL14" s="180"/>
      <c r="BM14" s="180"/>
      <c r="BN14" s="180"/>
      <c r="BO14" s="180"/>
      <c r="BP14" s="180"/>
      <c r="BQ14" s="180"/>
      <c r="BR14" s="180"/>
      <c r="BS14" s="180"/>
      <c r="BT14" s="180"/>
      <c r="BU14" s="180"/>
      <c r="BV14" s="180"/>
      <c r="BW14" s="180"/>
      <c r="BX14" s="180"/>
      <c r="BY14" s="180"/>
      <c r="BZ14" s="180"/>
      <c r="CA14" s="180"/>
      <c r="CB14" s="180"/>
      <c r="CC14" s="180"/>
      <c r="CD14" s="181"/>
      <c r="CE14" s="179">
        <v>39</v>
      </c>
      <c r="CF14" s="180">
        <v>2977</v>
      </c>
      <c r="CG14" s="180">
        <v>440</v>
      </c>
      <c r="CH14" s="180">
        <v>34602</v>
      </c>
      <c r="CI14" s="180">
        <v>94</v>
      </c>
      <c r="CJ14" s="180">
        <v>12261</v>
      </c>
      <c r="CK14" s="180">
        <v>1822</v>
      </c>
      <c r="CL14" s="180">
        <v>233404</v>
      </c>
      <c r="CM14" s="180">
        <v>89</v>
      </c>
      <c r="CN14" s="180">
        <v>11423</v>
      </c>
      <c r="CO14" s="180">
        <v>3217</v>
      </c>
      <c r="CP14" s="180">
        <v>381026</v>
      </c>
      <c r="CQ14" s="180">
        <v>214</v>
      </c>
      <c r="CR14" s="180">
        <v>29229</v>
      </c>
      <c r="CS14" s="180">
        <v>3011</v>
      </c>
      <c r="CT14" s="180">
        <v>458170</v>
      </c>
      <c r="CU14" s="180">
        <v>435</v>
      </c>
      <c r="CV14" s="180">
        <v>55889</v>
      </c>
      <c r="CW14" s="180">
        <v>8490</v>
      </c>
      <c r="CX14" s="181">
        <v>1107201</v>
      </c>
      <c r="CY14" s="179">
        <v>13</v>
      </c>
      <c r="CZ14" s="180">
        <v>1012</v>
      </c>
      <c r="DA14" s="180">
        <v>555</v>
      </c>
      <c r="DB14" s="180">
        <v>43939</v>
      </c>
      <c r="DC14" s="180">
        <v>214</v>
      </c>
      <c r="DD14" s="180">
        <v>29585</v>
      </c>
      <c r="DE14" s="180">
        <v>2384</v>
      </c>
      <c r="DF14" s="180">
        <v>303980</v>
      </c>
      <c r="DG14" s="180">
        <v>268</v>
      </c>
      <c r="DH14" s="180">
        <v>34228</v>
      </c>
      <c r="DI14" s="180">
        <v>3874</v>
      </c>
      <c r="DJ14" s="180">
        <v>461273</v>
      </c>
      <c r="DK14" s="180">
        <v>319</v>
      </c>
      <c r="DL14" s="180">
        <v>47065</v>
      </c>
      <c r="DM14" s="180">
        <v>3788</v>
      </c>
      <c r="DN14" s="180">
        <v>576771</v>
      </c>
      <c r="DO14" s="180">
        <v>815</v>
      </c>
      <c r="DP14" s="180">
        <v>111890</v>
      </c>
      <c r="DQ14" s="180">
        <v>10600</v>
      </c>
      <c r="DR14" s="181">
        <v>1385961</v>
      </c>
      <c r="DS14" s="179"/>
      <c r="DT14" s="180"/>
      <c r="DU14" s="180"/>
      <c r="DV14" s="180"/>
      <c r="DW14" s="180"/>
      <c r="DX14" s="180"/>
      <c r="DY14" s="180"/>
      <c r="DZ14" s="180"/>
      <c r="EA14" s="180"/>
      <c r="EB14" s="180"/>
      <c r="EC14" s="180"/>
      <c r="ED14" s="180"/>
      <c r="EE14" s="180"/>
      <c r="EF14" s="180"/>
      <c r="EG14" s="180"/>
      <c r="EH14" s="180"/>
      <c r="EI14" s="180"/>
      <c r="EJ14" s="180"/>
      <c r="EK14" s="180"/>
      <c r="EL14" s="181"/>
      <c r="EM14" s="179">
        <v>26</v>
      </c>
      <c r="EN14" s="180">
        <v>1717</v>
      </c>
      <c r="EO14" s="180">
        <v>832</v>
      </c>
      <c r="EP14" s="180">
        <v>67047</v>
      </c>
      <c r="EQ14" s="180">
        <v>134</v>
      </c>
      <c r="ER14" s="180">
        <v>15176</v>
      </c>
      <c r="ES14" s="180">
        <v>3336</v>
      </c>
      <c r="ET14" s="180">
        <v>425402</v>
      </c>
      <c r="EU14" s="180">
        <v>168</v>
      </c>
      <c r="EV14" s="180">
        <v>19224</v>
      </c>
      <c r="EW14" s="180">
        <v>5113</v>
      </c>
      <c r="EX14" s="180">
        <v>607633</v>
      </c>
      <c r="EY14" s="180">
        <v>306</v>
      </c>
      <c r="EZ14" s="180">
        <v>49432</v>
      </c>
      <c r="FA14" s="180">
        <v>5280</v>
      </c>
      <c r="FB14" s="180">
        <v>806255</v>
      </c>
      <c r="FC14" s="180">
        <v>634</v>
      </c>
      <c r="FD14" s="180">
        <v>85549</v>
      </c>
      <c r="FE14" s="180">
        <v>14561</v>
      </c>
      <c r="FF14" s="181">
        <v>1906335</v>
      </c>
      <c r="FG14" s="179">
        <v>55</v>
      </c>
      <c r="FH14" s="180">
        <v>4064</v>
      </c>
      <c r="FI14" s="180">
        <v>983</v>
      </c>
      <c r="FJ14" s="180">
        <v>80346</v>
      </c>
      <c r="FK14" s="180">
        <v>228</v>
      </c>
      <c r="FL14" s="180">
        <v>26982</v>
      </c>
      <c r="FM14" s="180">
        <v>3817</v>
      </c>
      <c r="FN14" s="180">
        <v>486449</v>
      </c>
      <c r="FO14" s="180">
        <v>325</v>
      </c>
      <c r="FP14" s="180">
        <v>36810</v>
      </c>
      <c r="FQ14" s="180">
        <v>5819</v>
      </c>
      <c r="FR14" s="180">
        <v>696295</v>
      </c>
      <c r="FS14" s="180">
        <v>328</v>
      </c>
      <c r="FT14" s="180">
        <v>48895</v>
      </c>
      <c r="FU14" s="180">
        <v>5946</v>
      </c>
      <c r="FV14" s="180">
        <v>907013</v>
      </c>
      <c r="FW14" s="180">
        <v>937</v>
      </c>
      <c r="FX14" s="180">
        <v>116753</v>
      </c>
      <c r="FY14" s="180">
        <v>16564</v>
      </c>
      <c r="FZ14" s="181">
        <v>0</v>
      </c>
      <c r="GA14" s="179"/>
      <c r="GB14" s="180"/>
      <c r="GC14" s="180"/>
      <c r="GD14" s="180"/>
      <c r="GE14" s="180"/>
      <c r="GF14" s="180"/>
      <c r="GG14" s="180"/>
      <c r="GH14" s="180"/>
      <c r="GI14" s="180"/>
      <c r="GJ14" s="180"/>
      <c r="GK14" s="180"/>
      <c r="GL14" s="180"/>
      <c r="GM14" s="180"/>
      <c r="GN14" s="180"/>
      <c r="GO14" s="180"/>
      <c r="GP14" s="180"/>
      <c r="GQ14" s="180"/>
      <c r="GR14" s="180"/>
      <c r="GS14" s="180"/>
      <c r="GT14" s="181"/>
      <c r="GU14" s="179">
        <v>20</v>
      </c>
      <c r="GV14" s="180">
        <v>1395</v>
      </c>
      <c r="GW14" s="180">
        <v>1235</v>
      </c>
      <c r="GX14" s="180">
        <v>98652</v>
      </c>
      <c r="GY14" s="180">
        <v>142</v>
      </c>
      <c r="GZ14" s="180">
        <v>14130</v>
      </c>
      <c r="HA14" s="180">
        <v>4765</v>
      </c>
      <c r="HB14" s="180">
        <v>613550</v>
      </c>
      <c r="HC14" s="180">
        <v>129</v>
      </c>
      <c r="HD14" s="180">
        <v>14861</v>
      </c>
      <c r="HE14" s="180">
        <v>7189</v>
      </c>
      <c r="HF14" s="180">
        <v>859545</v>
      </c>
      <c r="HG14" s="180">
        <v>237</v>
      </c>
      <c r="HH14" s="180">
        <v>36632</v>
      </c>
      <c r="HI14" s="180">
        <v>7255</v>
      </c>
      <c r="HJ14" s="180">
        <v>1115090</v>
      </c>
      <c r="HK14" s="180">
        <v>529</v>
      </c>
      <c r="HL14" s="180">
        <v>67018</v>
      </c>
      <c r="HM14" s="180">
        <v>20444</v>
      </c>
      <c r="HN14" s="181">
        <v>2686837</v>
      </c>
      <c r="HO14" s="179">
        <v>75</v>
      </c>
      <c r="HP14" s="180">
        <v>5473</v>
      </c>
      <c r="HQ14" s="180">
        <v>1410</v>
      </c>
      <c r="HR14" s="180">
        <v>110786</v>
      </c>
      <c r="HS14" s="180">
        <v>242</v>
      </c>
      <c r="HT14" s="180">
        <v>35443</v>
      </c>
      <c r="HU14" s="180">
        <v>5250</v>
      </c>
      <c r="HV14" s="180">
        <v>680976</v>
      </c>
      <c r="HW14" s="180">
        <v>346</v>
      </c>
      <c r="HX14" s="180">
        <v>41598</v>
      </c>
      <c r="HY14" s="180">
        <v>8078</v>
      </c>
      <c r="HZ14" s="180">
        <v>970386</v>
      </c>
      <c r="IA14" s="180">
        <v>360</v>
      </c>
      <c r="IB14" s="180">
        <v>58665</v>
      </c>
      <c r="IC14" s="180">
        <v>8033</v>
      </c>
      <c r="ID14" s="180">
        <v>1247971</v>
      </c>
      <c r="IE14" s="180">
        <v>1023</v>
      </c>
      <c r="IF14" s="180">
        <v>141179</v>
      </c>
      <c r="IG14" s="180">
        <v>22771</v>
      </c>
      <c r="IH14" s="181">
        <v>3010119</v>
      </c>
    </row>
    <row r="15" spans="1:242">
      <c r="B15" s="175">
        <v>13</v>
      </c>
      <c r="C15" s="179">
        <v>41</v>
      </c>
      <c r="D15" s="180">
        <v>2763</v>
      </c>
      <c r="E15" s="180">
        <v>41</v>
      </c>
      <c r="F15" s="180">
        <v>2763</v>
      </c>
      <c r="G15" s="180">
        <v>168</v>
      </c>
      <c r="H15" s="180">
        <v>19346</v>
      </c>
      <c r="I15" s="180">
        <v>168</v>
      </c>
      <c r="J15" s="180">
        <v>19346</v>
      </c>
      <c r="K15" s="180">
        <v>163</v>
      </c>
      <c r="L15" s="180">
        <v>22858</v>
      </c>
      <c r="M15" s="180">
        <v>163</v>
      </c>
      <c r="N15" s="180">
        <v>22858</v>
      </c>
      <c r="O15" s="180">
        <v>247</v>
      </c>
      <c r="P15" s="180">
        <v>37928</v>
      </c>
      <c r="Q15" s="180">
        <v>247</v>
      </c>
      <c r="R15" s="180">
        <v>37928</v>
      </c>
      <c r="S15" s="180">
        <v>618</v>
      </c>
      <c r="T15" s="180">
        <v>82894</v>
      </c>
      <c r="U15" s="180">
        <v>618</v>
      </c>
      <c r="V15" s="181">
        <v>82894</v>
      </c>
      <c r="W15" s="179">
        <v>39</v>
      </c>
      <c r="X15" s="180">
        <v>2728</v>
      </c>
      <c r="Y15" s="180">
        <v>151</v>
      </c>
      <c r="Z15" s="180">
        <v>10924</v>
      </c>
      <c r="AA15" s="180">
        <v>169</v>
      </c>
      <c r="AB15" s="180">
        <v>22335</v>
      </c>
      <c r="AC15" s="180">
        <v>684</v>
      </c>
      <c r="AD15" s="180">
        <v>88602</v>
      </c>
      <c r="AE15" s="180">
        <v>249</v>
      </c>
      <c r="AF15" s="180">
        <v>23794</v>
      </c>
      <c r="AG15" s="180">
        <v>1020</v>
      </c>
      <c r="AH15" s="180">
        <v>117288</v>
      </c>
      <c r="AI15" s="180">
        <v>307</v>
      </c>
      <c r="AJ15" s="180">
        <v>46992</v>
      </c>
      <c r="AK15" s="180">
        <v>982</v>
      </c>
      <c r="AL15" s="180">
        <v>151221</v>
      </c>
      <c r="AM15" s="180">
        <v>764</v>
      </c>
      <c r="AN15" s="180">
        <v>95849</v>
      </c>
      <c r="AO15" s="180">
        <v>2836</v>
      </c>
      <c r="AP15" s="181">
        <v>368035</v>
      </c>
      <c r="AQ15" s="179">
        <v>86</v>
      </c>
      <c r="AR15" s="180">
        <v>7748</v>
      </c>
      <c r="AS15" s="180">
        <v>280</v>
      </c>
      <c r="AT15" s="180">
        <v>21566</v>
      </c>
      <c r="AU15" s="180">
        <v>220</v>
      </c>
      <c r="AV15" s="180">
        <v>31948</v>
      </c>
      <c r="AW15" s="180">
        <v>1101</v>
      </c>
      <c r="AX15" s="180">
        <v>143379</v>
      </c>
      <c r="AY15" s="180">
        <v>217</v>
      </c>
      <c r="AZ15" s="180">
        <v>23732</v>
      </c>
      <c r="BA15" s="180">
        <v>1832</v>
      </c>
      <c r="BB15" s="180">
        <v>216714</v>
      </c>
      <c r="BC15" s="180">
        <v>290</v>
      </c>
      <c r="BD15" s="180">
        <v>45437</v>
      </c>
      <c r="BE15" s="180">
        <v>1624</v>
      </c>
      <c r="BF15" s="180">
        <v>249895</v>
      </c>
      <c r="BG15" s="180">
        <v>813</v>
      </c>
      <c r="BH15" s="180">
        <v>108866</v>
      </c>
      <c r="BI15" s="180">
        <v>4836</v>
      </c>
      <c r="BJ15" s="181">
        <v>631557</v>
      </c>
      <c r="BK15" s="179"/>
      <c r="BL15" s="180"/>
      <c r="BM15" s="180"/>
      <c r="BN15" s="180"/>
      <c r="BO15" s="180"/>
      <c r="BP15" s="180"/>
      <c r="BQ15" s="180"/>
      <c r="BR15" s="180"/>
      <c r="BS15" s="180"/>
      <c r="BT15" s="180"/>
      <c r="BU15" s="180"/>
      <c r="BV15" s="180"/>
      <c r="BW15" s="180"/>
      <c r="BX15" s="180"/>
      <c r="BY15" s="180"/>
      <c r="BZ15" s="180"/>
      <c r="CA15" s="180"/>
      <c r="CB15" s="180"/>
      <c r="CC15" s="180"/>
      <c r="CD15" s="181"/>
      <c r="CE15" s="179">
        <v>44</v>
      </c>
      <c r="CF15" s="180">
        <v>3283</v>
      </c>
      <c r="CG15" s="180">
        <v>445</v>
      </c>
      <c r="CH15" s="180">
        <v>34908</v>
      </c>
      <c r="CI15" s="180">
        <v>124</v>
      </c>
      <c r="CJ15" s="180">
        <v>16063</v>
      </c>
      <c r="CK15" s="180">
        <v>1852</v>
      </c>
      <c r="CL15" s="180">
        <v>237206</v>
      </c>
      <c r="CM15" s="180">
        <v>97</v>
      </c>
      <c r="CN15" s="180">
        <v>12725</v>
      </c>
      <c r="CO15" s="180">
        <v>3226</v>
      </c>
      <c r="CP15" s="180">
        <v>382328</v>
      </c>
      <c r="CQ15" s="180">
        <v>247</v>
      </c>
      <c r="CR15" s="180">
        <v>33775</v>
      </c>
      <c r="CS15" s="180">
        <v>3045</v>
      </c>
      <c r="CT15" s="180">
        <v>462715</v>
      </c>
      <c r="CU15" s="180">
        <v>513</v>
      </c>
      <c r="CV15" s="180">
        <v>65844</v>
      </c>
      <c r="CW15" s="180">
        <v>8569</v>
      </c>
      <c r="CX15" s="181">
        <v>1117156</v>
      </c>
      <c r="CY15" s="179">
        <v>25</v>
      </c>
      <c r="CZ15" s="180">
        <v>1838</v>
      </c>
      <c r="DA15" s="180">
        <v>566</v>
      </c>
      <c r="DB15" s="180">
        <v>44766</v>
      </c>
      <c r="DC15" s="180">
        <v>230</v>
      </c>
      <c r="DD15" s="180">
        <v>31182</v>
      </c>
      <c r="DE15" s="180">
        <v>2399</v>
      </c>
      <c r="DF15" s="180">
        <v>305578</v>
      </c>
      <c r="DG15" s="180">
        <v>347</v>
      </c>
      <c r="DH15" s="180">
        <v>45135</v>
      </c>
      <c r="DI15" s="180">
        <v>3953</v>
      </c>
      <c r="DJ15" s="180">
        <v>472181</v>
      </c>
      <c r="DK15" s="180">
        <v>362</v>
      </c>
      <c r="DL15" s="180">
        <v>52779</v>
      </c>
      <c r="DM15" s="180">
        <v>3831</v>
      </c>
      <c r="DN15" s="180">
        <v>582484</v>
      </c>
      <c r="DO15" s="180">
        <v>964</v>
      </c>
      <c r="DP15" s="180">
        <v>130936</v>
      </c>
      <c r="DQ15" s="180">
        <v>10749</v>
      </c>
      <c r="DR15" s="181">
        <v>1405009</v>
      </c>
      <c r="DS15" s="179"/>
      <c r="DT15" s="180"/>
      <c r="DU15" s="180"/>
      <c r="DV15" s="180"/>
      <c r="DW15" s="180"/>
      <c r="DX15" s="180"/>
      <c r="DY15" s="180"/>
      <c r="DZ15" s="180"/>
      <c r="EA15" s="180"/>
      <c r="EB15" s="180"/>
      <c r="EC15" s="180"/>
      <c r="ED15" s="180"/>
      <c r="EE15" s="180"/>
      <c r="EF15" s="180"/>
      <c r="EG15" s="180"/>
      <c r="EH15" s="180"/>
      <c r="EI15" s="180"/>
      <c r="EJ15" s="180"/>
      <c r="EK15" s="180"/>
      <c r="EL15" s="181"/>
      <c r="EM15" s="179">
        <v>34</v>
      </c>
      <c r="EN15" s="180">
        <v>3093</v>
      </c>
      <c r="EO15" s="180">
        <v>841</v>
      </c>
      <c r="EP15" s="180">
        <v>68423</v>
      </c>
      <c r="EQ15" s="180">
        <v>164</v>
      </c>
      <c r="ER15" s="180">
        <v>18267</v>
      </c>
      <c r="ES15" s="180">
        <v>3366</v>
      </c>
      <c r="ET15" s="180">
        <v>428492</v>
      </c>
      <c r="EU15" s="180">
        <v>194</v>
      </c>
      <c r="EV15" s="180">
        <v>22435</v>
      </c>
      <c r="EW15" s="180">
        <v>5139</v>
      </c>
      <c r="EX15" s="180">
        <v>610844</v>
      </c>
      <c r="EY15" s="180">
        <v>347</v>
      </c>
      <c r="EZ15" s="180">
        <v>55372</v>
      </c>
      <c r="FA15" s="180">
        <v>5320</v>
      </c>
      <c r="FB15" s="180">
        <v>812196</v>
      </c>
      <c r="FC15" s="180">
        <v>739</v>
      </c>
      <c r="FD15" s="180">
        <v>99166</v>
      </c>
      <c r="FE15" s="180">
        <v>14665</v>
      </c>
      <c r="FF15" s="181">
        <v>1919953</v>
      </c>
      <c r="FG15" s="179"/>
      <c r="FH15" s="180"/>
      <c r="FI15" s="180"/>
      <c r="FJ15" s="180"/>
      <c r="FK15" s="180"/>
      <c r="FL15" s="180"/>
      <c r="FM15" s="180"/>
      <c r="FN15" s="180"/>
      <c r="FO15" s="180"/>
      <c r="FP15" s="180"/>
      <c r="FQ15" s="180"/>
      <c r="FR15" s="180"/>
      <c r="FS15" s="180"/>
      <c r="FT15" s="180"/>
      <c r="FU15" s="180"/>
      <c r="FV15" s="180"/>
      <c r="FW15" s="180"/>
      <c r="FX15" s="180"/>
      <c r="FY15" s="180"/>
      <c r="FZ15" s="181"/>
      <c r="GA15" s="179">
        <v>66</v>
      </c>
      <c r="GB15" s="180">
        <v>4832</v>
      </c>
      <c r="GC15" s="180">
        <v>1132</v>
      </c>
      <c r="GD15" s="180">
        <v>91531</v>
      </c>
      <c r="GE15" s="180">
        <v>225</v>
      </c>
      <c r="GF15" s="180">
        <v>29118</v>
      </c>
      <c r="GG15" s="180">
        <v>4334</v>
      </c>
      <c r="GH15" s="180">
        <v>559213</v>
      </c>
      <c r="GI15" s="180">
        <v>260</v>
      </c>
      <c r="GJ15" s="180">
        <v>29393</v>
      </c>
      <c r="GK15" s="180">
        <v>6489</v>
      </c>
      <c r="GL15" s="180">
        <v>777353</v>
      </c>
      <c r="GM15" s="180">
        <v>268</v>
      </c>
      <c r="GN15" s="180">
        <v>39434</v>
      </c>
      <c r="GO15" s="180">
        <v>6590</v>
      </c>
      <c r="GP15" s="180">
        <v>1007613</v>
      </c>
      <c r="GQ15" s="180">
        <v>820</v>
      </c>
      <c r="GR15" s="180">
        <v>102777</v>
      </c>
      <c r="GS15" s="180">
        <v>18544</v>
      </c>
      <c r="GT15" s="181">
        <v>2435709</v>
      </c>
      <c r="GU15" s="179">
        <v>23</v>
      </c>
      <c r="GV15" s="180">
        <v>1783</v>
      </c>
      <c r="GW15" s="180">
        <v>1238</v>
      </c>
      <c r="GX15" s="180">
        <v>99039</v>
      </c>
      <c r="GY15" s="180">
        <v>167</v>
      </c>
      <c r="GZ15" s="180">
        <v>17471</v>
      </c>
      <c r="HA15" s="180">
        <v>4790</v>
      </c>
      <c r="HB15" s="180">
        <v>616892</v>
      </c>
      <c r="HC15" s="180">
        <v>151</v>
      </c>
      <c r="HD15" s="180">
        <v>16473</v>
      </c>
      <c r="HE15" s="180">
        <v>7210</v>
      </c>
      <c r="HF15" s="180">
        <v>861157</v>
      </c>
      <c r="HG15" s="180">
        <v>267</v>
      </c>
      <c r="HH15" s="180">
        <v>40823</v>
      </c>
      <c r="HI15" s="180">
        <v>7286</v>
      </c>
      <c r="HJ15" s="180">
        <v>1119281</v>
      </c>
      <c r="HK15" s="180">
        <v>609</v>
      </c>
      <c r="HL15" s="180">
        <v>76550</v>
      </c>
      <c r="HM15" s="180">
        <v>20523</v>
      </c>
      <c r="HN15" s="181">
        <v>2696368</v>
      </c>
      <c r="HO15" s="179"/>
      <c r="HP15" s="180"/>
      <c r="HQ15" s="180"/>
      <c r="HR15" s="180"/>
      <c r="HS15" s="180"/>
      <c r="HT15" s="180"/>
      <c r="HU15" s="180"/>
      <c r="HV15" s="180"/>
      <c r="HW15" s="180"/>
      <c r="HX15" s="180"/>
      <c r="HY15" s="180"/>
      <c r="HZ15" s="180"/>
      <c r="IA15" s="180"/>
      <c r="IB15" s="180"/>
      <c r="IC15" s="180"/>
      <c r="ID15" s="180"/>
      <c r="IE15" s="180"/>
      <c r="IF15" s="180"/>
      <c r="IG15" s="180"/>
      <c r="IH15" s="181"/>
    </row>
    <row r="16" spans="1:242">
      <c r="B16" s="175">
        <v>14</v>
      </c>
      <c r="C16" s="179">
        <v>41</v>
      </c>
      <c r="D16" s="180">
        <v>2763</v>
      </c>
      <c r="E16" s="180">
        <v>41</v>
      </c>
      <c r="F16" s="180">
        <v>2763</v>
      </c>
      <c r="G16" s="180">
        <v>193</v>
      </c>
      <c r="H16" s="180">
        <v>21120</v>
      </c>
      <c r="I16" s="180">
        <v>193</v>
      </c>
      <c r="J16" s="180">
        <v>21120</v>
      </c>
      <c r="K16" s="180">
        <v>207</v>
      </c>
      <c r="L16" s="180">
        <v>31912</v>
      </c>
      <c r="M16" s="180">
        <v>207</v>
      </c>
      <c r="N16" s="180">
        <v>31912</v>
      </c>
      <c r="O16" s="180">
        <v>285</v>
      </c>
      <c r="P16" s="180">
        <v>43345</v>
      </c>
      <c r="Q16" s="180">
        <v>285</v>
      </c>
      <c r="R16" s="180">
        <v>43345</v>
      </c>
      <c r="S16" s="180">
        <v>725</v>
      </c>
      <c r="T16" s="180">
        <v>99140</v>
      </c>
      <c r="U16" s="180">
        <v>725</v>
      </c>
      <c r="V16" s="181">
        <v>99140</v>
      </c>
      <c r="W16" s="179">
        <v>43</v>
      </c>
      <c r="X16" s="180">
        <v>2949</v>
      </c>
      <c r="Y16" s="180">
        <v>155</v>
      </c>
      <c r="Z16" s="180">
        <v>11145</v>
      </c>
      <c r="AA16" s="180">
        <v>182</v>
      </c>
      <c r="AB16" s="180">
        <v>23140</v>
      </c>
      <c r="AC16" s="180">
        <v>697</v>
      </c>
      <c r="AD16" s="180">
        <v>89408</v>
      </c>
      <c r="AE16" s="180">
        <v>352</v>
      </c>
      <c r="AF16" s="180">
        <v>40803</v>
      </c>
      <c r="AG16" s="180">
        <v>1122</v>
      </c>
      <c r="AH16" s="180">
        <v>134296</v>
      </c>
      <c r="AI16" s="180">
        <v>339</v>
      </c>
      <c r="AJ16" s="180">
        <v>52645</v>
      </c>
      <c r="AK16" s="180">
        <v>1014</v>
      </c>
      <c r="AL16" s="180">
        <v>156875</v>
      </c>
      <c r="AM16" s="180">
        <v>914</v>
      </c>
      <c r="AN16" s="180">
        <v>119538</v>
      </c>
      <c r="AO16" s="180">
        <v>2988</v>
      </c>
      <c r="AP16" s="181">
        <v>391725</v>
      </c>
      <c r="AQ16" s="179">
        <v>86</v>
      </c>
      <c r="AR16" s="180">
        <v>7748</v>
      </c>
      <c r="AS16" s="180">
        <v>280</v>
      </c>
      <c r="AT16" s="180">
        <v>21566</v>
      </c>
      <c r="AU16" s="180">
        <v>244</v>
      </c>
      <c r="AV16" s="180">
        <v>35202</v>
      </c>
      <c r="AW16" s="180">
        <v>1125</v>
      </c>
      <c r="AX16" s="180">
        <v>146632</v>
      </c>
      <c r="AY16" s="180">
        <v>293</v>
      </c>
      <c r="AZ16" s="180">
        <v>31988</v>
      </c>
      <c r="BA16" s="180">
        <v>1907</v>
      </c>
      <c r="BB16" s="180">
        <v>224969</v>
      </c>
      <c r="BC16" s="180">
        <v>323</v>
      </c>
      <c r="BD16" s="180">
        <v>51408</v>
      </c>
      <c r="BE16" s="180">
        <v>1656</v>
      </c>
      <c r="BF16" s="180">
        <v>255868</v>
      </c>
      <c r="BG16" s="180">
        <v>945</v>
      </c>
      <c r="BH16" s="180">
        <v>126347</v>
      </c>
      <c r="BI16" s="180">
        <v>4969</v>
      </c>
      <c r="BJ16" s="181">
        <v>649035</v>
      </c>
      <c r="BK16" s="179">
        <v>26</v>
      </c>
      <c r="BL16" s="180">
        <v>1892</v>
      </c>
      <c r="BM16" s="180">
        <v>331</v>
      </c>
      <c r="BN16" s="180">
        <v>25831</v>
      </c>
      <c r="BO16" s="180">
        <v>210</v>
      </c>
      <c r="BP16" s="180">
        <v>22702</v>
      </c>
      <c r="BQ16" s="180">
        <v>1500</v>
      </c>
      <c r="BR16" s="180">
        <v>191471</v>
      </c>
      <c r="BS16" s="180">
        <v>310</v>
      </c>
      <c r="BT16" s="180">
        <v>38788</v>
      </c>
      <c r="BU16" s="180">
        <v>2716</v>
      </c>
      <c r="BV16" s="180">
        <v>325759</v>
      </c>
      <c r="BW16" s="180">
        <v>450</v>
      </c>
      <c r="BX16" s="180">
        <v>69271</v>
      </c>
      <c r="BY16" s="180">
        <v>2452</v>
      </c>
      <c r="BZ16" s="180">
        <v>378188</v>
      </c>
      <c r="CA16" s="180">
        <v>996</v>
      </c>
      <c r="CB16" s="180">
        <v>132654</v>
      </c>
      <c r="CC16" s="180">
        <v>7001</v>
      </c>
      <c r="CD16" s="181">
        <v>921250</v>
      </c>
      <c r="CE16" s="179">
        <v>51</v>
      </c>
      <c r="CF16" s="180">
        <v>3623</v>
      </c>
      <c r="CG16" s="180">
        <v>452</v>
      </c>
      <c r="CH16" s="180">
        <v>35249</v>
      </c>
      <c r="CI16" s="180">
        <v>139</v>
      </c>
      <c r="CJ16" s="180">
        <v>17802</v>
      </c>
      <c r="CK16" s="180">
        <v>1867</v>
      </c>
      <c r="CL16" s="180">
        <v>238945</v>
      </c>
      <c r="CM16" s="180">
        <v>140</v>
      </c>
      <c r="CN16" s="180">
        <v>16732</v>
      </c>
      <c r="CO16" s="180">
        <v>3269</v>
      </c>
      <c r="CP16" s="180">
        <v>386335</v>
      </c>
      <c r="CQ16" s="180">
        <v>280</v>
      </c>
      <c r="CR16" s="180">
        <v>39132</v>
      </c>
      <c r="CS16" s="180">
        <v>3079</v>
      </c>
      <c r="CT16" s="180">
        <v>468073</v>
      </c>
      <c r="CU16" s="180">
        <v>611</v>
      </c>
      <c r="CV16" s="180">
        <v>77288</v>
      </c>
      <c r="CW16" s="180">
        <v>8666</v>
      </c>
      <c r="CX16" s="181">
        <v>1128601</v>
      </c>
      <c r="CY16" s="179"/>
      <c r="CZ16" s="180"/>
      <c r="DA16" s="180"/>
      <c r="DB16" s="180"/>
      <c r="DC16" s="180"/>
      <c r="DD16" s="180"/>
      <c r="DE16" s="180"/>
      <c r="DF16" s="180"/>
      <c r="DG16" s="180"/>
      <c r="DH16" s="180"/>
      <c r="DI16" s="180"/>
      <c r="DJ16" s="180"/>
      <c r="DK16" s="180"/>
      <c r="DL16" s="180"/>
      <c r="DM16" s="180"/>
      <c r="DN16" s="180"/>
      <c r="DO16" s="180"/>
      <c r="DP16" s="180"/>
      <c r="DQ16" s="180"/>
      <c r="DR16" s="181"/>
      <c r="DS16" s="179"/>
      <c r="DT16" s="180"/>
      <c r="DU16" s="180"/>
      <c r="DV16" s="180"/>
      <c r="DW16" s="180"/>
      <c r="DX16" s="180"/>
      <c r="DY16" s="180"/>
      <c r="DZ16" s="180"/>
      <c r="EA16" s="180"/>
      <c r="EB16" s="180"/>
      <c r="EC16" s="180"/>
      <c r="ED16" s="180"/>
      <c r="EE16" s="180"/>
      <c r="EF16" s="180"/>
      <c r="EG16" s="180"/>
      <c r="EH16" s="180"/>
      <c r="EI16" s="180"/>
      <c r="EJ16" s="180"/>
      <c r="EK16" s="180"/>
      <c r="EL16" s="181"/>
      <c r="EM16" s="179">
        <v>34</v>
      </c>
      <c r="EN16" s="180">
        <v>3093</v>
      </c>
      <c r="EO16" s="180">
        <v>841</v>
      </c>
      <c r="EP16" s="180">
        <v>68423</v>
      </c>
      <c r="EQ16" s="180">
        <v>194</v>
      </c>
      <c r="ER16" s="180">
        <v>21843</v>
      </c>
      <c r="ES16" s="180">
        <v>3396</v>
      </c>
      <c r="ET16" s="180">
        <v>432068</v>
      </c>
      <c r="EU16" s="180">
        <v>227</v>
      </c>
      <c r="EV16" s="180">
        <v>25533</v>
      </c>
      <c r="EW16" s="180">
        <v>5172</v>
      </c>
      <c r="EX16" s="180">
        <v>613941</v>
      </c>
      <c r="EY16" s="180">
        <v>380</v>
      </c>
      <c r="EZ16" s="180">
        <v>61167</v>
      </c>
      <c r="FA16" s="180">
        <v>5353</v>
      </c>
      <c r="FB16" s="180">
        <v>817991</v>
      </c>
      <c r="FC16" s="180">
        <v>835</v>
      </c>
      <c r="FD16" s="180">
        <v>111636</v>
      </c>
      <c r="FE16" s="180">
        <v>14762</v>
      </c>
      <c r="FF16" s="181">
        <v>1932422</v>
      </c>
      <c r="FG16" s="179"/>
      <c r="FH16" s="180"/>
      <c r="FI16" s="180"/>
      <c r="FJ16" s="180"/>
      <c r="FK16" s="180"/>
      <c r="FL16" s="180"/>
      <c r="FM16" s="180"/>
      <c r="FN16" s="180"/>
      <c r="FO16" s="180"/>
      <c r="FP16" s="180"/>
      <c r="FQ16" s="180"/>
      <c r="FR16" s="180"/>
      <c r="FS16" s="180"/>
      <c r="FT16" s="180"/>
      <c r="FU16" s="180"/>
      <c r="FV16" s="180"/>
      <c r="FW16" s="180"/>
      <c r="FX16" s="180"/>
      <c r="FY16" s="180"/>
      <c r="FZ16" s="181"/>
      <c r="GA16" s="179">
        <v>73</v>
      </c>
      <c r="GB16" s="180">
        <v>5209</v>
      </c>
      <c r="GC16" s="180">
        <v>1139</v>
      </c>
      <c r="GD16" s="180">
        <v>91908</v>
      </c>
      <c r="GE16" s="180">
        <v>251</v>
      </c>
      <c r="GF16" s="180">
        <v>33129</v>
      </c>
      <c r="GG16" s="180">
        <v>4359</v>
      </c>
      <c r="GH16" s="180">
        <v>563225</v>
      </c>
      <c r="GI16" s="180">
        <v>323</v>
      </c>
      <c r="GJ16" s="180">
        <v>37055</v>
      </c>
      <c r="GK16" s="180">
        <v>6552</v>
      </c>
      <c r="GL16" s="180">
        <v>785015</v>
      </c>
      <c r="GM16" s="180">
        <v>299</v>
      </c>
      <c r="GN16" s="180">
        <v>43904</v>
      </c>
      <c r="GO16" s="180">
        <v>6621</v>
      </c>
      <c r="GP16" s="180">
        <v>1012082</v>
      </c>
      <c r="GQ16" s="180">
        <v>946</v>
      </c>
      <c r="GR16" s="180">
        <v>119295</v>
      </c>
      <c r="GS16" s="180">
        <v>18671</v>
      </c>
      <c r="GT16" s="181">
        <v>2452229</v>
      </c>
      <c r="GU16" s="179">
        <v>45</v>
      </c>
      <c r="GV16" s="180">
        <v>3212</v>
      </c>
      <c r="GW16" s="180">
        <v>1260</v>
      </c>
      <c r="GX16" s="180">
        <v>100468</v>
      </c>
      <c r="GY16" s="180">
        <v>190</v>
      </c>
      <c r="GZ16" s="180">
        <v>20247</v>
      </c>
      <c r="HA16" s="180">
        <v>4812</v>
      </c>
      <c r="HB16" s="180">
        <v>619668</v>
      </c>
      <c r="HC16" s="180">
        <v>205</v>
      </c>
      <c r="HD16" s="180">
        <v>25847</v>
      </c>
      <c r="HE16" s="180">
        <v>7263</v>
      </c>
      <c r="HF16" s="180">
        <v>870531</v>
      </c>
      <c r="HG16" s="180">
        <v>303</v>
      </c>
      <c r="HH16" s="180">
        <v>46759</v>
      </c>
      <c r="HI16" s="180">
        <v>7321</v>
      </c>
      <c r="HJ16" s="180">
        <v>1125217</v>
      </c>
      <c r="HK16" s="180">
        <v>742</v>
      </c>
      <c r="HL16" s="180">
        <v>96066</v>
      </c>
      <c r="HM16" s="180">
        <v>20657</v>
      </c>
      <c r="HN16" s="181">
        <v>2715884</v>
      </c>
      <c r="HO16" s="179"/>
      <c r="HP16" s="180"/>
      <c r="HQ16" s="180"/>
      <c r="HR16" s="180"/>
      <c r="HS16" s="180"/>
      <c r="HT16" s="180"/>
      <c r="HU16" s="180"/>
      <c r="HV16" s="180"/>
      <c r="HW16" s="180"/>
      <c r="HX16" s="180"/>
      <c r="HY16" s="180"/>
      <c r="HZ16" s="180"/>
      <c r="IA16" s="180"/>
      <c r="IB16" s="180"/>
      <c r="IC16" s="180"/>
      <c r="ID16" s="180"/>
      <c r="IE16" s="180"/>
      <c r="IF16" s="180"/>
      <c r="IG16" s="180"/>
      <c r="IH16" s="181"/>
    </row>
    <row r="17" spans="2:242">
      <c r="B17" s="175">
        <v>15</v>
      </c>
      <c r="C17" s="179">
        <v>42</v>
      </c>
      <c r="D17" s="180">
        <v>2814</v>
      </c>
      <c r="E17" s="180">
        <v>42</v>
      </c>
      <c r="F17" s="180">
        <v>2814</v>
      </c>
      <c r="G17" s="180">
        <v>227</v>
      </c>
      <c r="H17" s="180">
        <v>25872</v>
      </c>
      <c r="I17" s="180">
        <v>227</v>
      </c>
      <c r="J17" s="180">
        <v>25872</v>
      </c>
      <c r="K17" s="180">
        <v>231</v>
      </c>
      <c r="L17" s="180">
        <v>33634</v>
      </c>
      <c r="M17" s="180">
        <v>231</v>
      </c>
      <c r="N17" s="180">
        <v>33634</v>
      </c>
      <c r="O17" s="180">
        <v>321</v>
      </c>
      <c r="P17" s="180">
        <v>49013</v>
      </c>
      <c r="Q17" s="180">
        <v>321</v>
      </c>
      <c r="R17" s="180">
        <v>49013</v>
      </c>
      <c r="S17" s="180">
        <v>820</v>
      </c>
      <c r="T17" s="180">
        <v>111332</v>
      </c>
      <c r="U17" s="180">
        <v>820</v>
      </c>
      <c r="V17" s="181">
        <v>111332</v>
      </c>
      <c r="W17" s="179"/>
      <c r="X17" s="180"/>
      <c r="Y17" s="180"/>
      <c r="Z17" s="180"/>
      <c r="AA17" s="180"/>
      <c r="AB17" s="180"/>
      <c r="AC17" s="180"/>
      <c r="AD17" s="180"/>
      <c r="AE17" s="180"/>
      <c r="AF17" s="180"/>
      <c r="AG17" s="180"/>
      <c r="AH17" s="180"/>
      <c r="AI17" s="180"/>
      <c r="AJ17" s="180"/>
      <c r="AK17" s="180"/>
      <c r="AL17" s="180"/>
      <c r="AM17" s="180"/>
      <c r="AN17" s="180"/>
      <c r="AO17" s="180"/>
      <c r="AP17" s="181"/>
      <c r="AQ17" s="179"/>
      <c r="AR17" s="180"/>
      <c r="AS17" s="180"/>
      <c r="AT17" s="180"/>
      <c r="AU17" s="180"/>
      <c r="AV17" s="180"/>
      <c r="AW17" s="180"/>
      <c r="AX17" s="180"/>
      <c r="AY17" s="180"/>
      <c r="AZ17" s="180"/>
      <c r="BA17" s="180"/>
      <c r="BB17" s="180"/>
      <c r="BC17" s="180"/>
      <c r="BD17" s="180"/>
      <c r="BE17" s="180"/>
      <c r="BF17" s="180"/>
      <c r="BG17" s="180"/>
      <c r="BH17" s="180"/>
      <c r="BI17" s="180"/>
      <c r="BJ17" s="181"/>
      <c r="BK17" s="179">
        <v>26</v>
      </c>
      <c r="BL17" s="180">
        <v>1892</v>
      </c>
      <c r="BM17" s="180">
        <v>331</v>
      </c>
      <c r="BN17" s="180">
        <v>25831</v>
      </c>
      <c r="BO17" s="180">
        <v>225</v>
      </c>
      <c r="BP17" s="180">
        <v>25414</v>
      </c>
      <c r="BQ17" s="180">
        <v>1515</v>
      </c>
      <c r="BR17" s="180">
        <v>194184</v>
      </c>
      <c r="BS17" s="180">
        <v>321</v>
      </c>
      <c r="BT17" s="180">
        <v>39802</v>
      </c>
      <c r="BU17" s="180">
        <v>2728</v>
      </c>
      <c r="BV17" s="180">
        <v>326774</v>
      </c>
      <c r="BW17" s="180">
        <v>488</v>
      </c>
      <c r="BX17" s="180">
        <v>75798</v>
      </c>
      <c r="BY17" s="180">
        <v>2491</v>
      </c>
      <c r="BZ17" s="180">
        <v>384715</v>
      </c>
      <c r="CA17" s="180">
        <v>1061</v>
      </c>
      <c r="CB17" s="180">
        <v>142906</v>
      </c>
      <c r="CC17" s="180">
        <v>7065</v>
      </c>
      <c r="CD17" s="181">
        <v>931501</v>
      </c>
      <c r="CE17" s="179">
        <v>51</v>
      </c>
      <c r="CF17" s="180">
        <v>3623</v>
      </c>
      <c r="CG17" s="180">
        <v>452</v>
      </c>
      <c r="CH17" s="180">
        <v>35249</v>
      </c>
      <c r="CI17" s="180">
        <v>180</v>
      </c>
      <c r="CJ17" s="180">
        <v>24090</v>
      </c>
      <c r="CK17" s="180">
        <v>1908</v>
      </c>
      <c r="CL17" s="180">
        <v>245232</v>
      </c>
      <c r="CM17" s="180">
        <v>166</v>
      </c>
      <c r="CN17" s="180">
        <v>19574</v>
      </c>
      <c r="CO17" s="180">
        <v>3295</v>
      </c>
      <c r="CP17" s="180">
        <v>389177</v>
      </c>
      <c r="CQ17" s="180">
        <v>329</v>
      </c>
      <c r="CR17" s="180">
        <v>46733</v>
      </c>
      <c r="CS17" s="180">
        <v>3128</v>
      </c>
      <c r="CT17" s="180">
        <v>475673</v>
      </c>
      <c r="CU17" s="180">
        <v>727</v>
      </c>
      <c r="CV17" s="180">
        <v>94019</v>
      </c>
      <c r="CW17" s="180">
        <v>8782</v>
      </c>
      <c r="CX17" s="181">
        <v>1145331</v>
      </c>
      <c r="CY17" s="179"/>
      <c r="CZ17" s="180"/>
      <c r="DA17" s="180"/>
      <c r="DB17" s="180"/>
      <c r="DC17" s="180"/>
      <c r="DD17" s="180"/>
      <c r="DE17" s="180"/>
      <c r="DF17" s="180"/>
      <c r="DG17" s="180"/>
      <c r="DH17" s="180"/>
      <c r="DI17" s="180"/>
      <c r="DJ17" s="180"/>
      <c r="DK17" s="180"/>
      <c r="DL17" s="180"/>
      <c r="DM17" s="180"/>
      <c r="DN17" s="180"/>
      <c r="DO17" s="180"/>
      <c r="DP17" s="180"/>
      <c r="DQ17" s="180"/>
      <c r="DR17" s="181"/>
      <c r="DS17" s="179">
        <v>64</v>
      </c>
      <c r="DT17" s="180">
        <v>5295</v>
      </c>
      <c r="DU17" s="180">
        <v>708</v>
      </c>
      <c r="DV17" s="180">
        <v>56951</v>
      </c>
      <c r="DW17" s="180">
        <v>231</v>
      </c>
      <c r="DX17" s="180">
        <v>30341</v>
      </c>
      <c r="DY17" s="180">
        <v>2917</v>
      </c>
      <c r="DZ17" s="180">
        <v>374310</v>
      </c>
      <c r="EA17" s="180">
        <v>325</v>
      </c>
      <c r="EB17" s="180">
        <v>39194</v>
      </c>
      <c r="EC17" s="180">
        <v>4613</v>
      </c>
      <c r="ED17" s="180">
        <v>552707</v>
      </c>
      <c r="EE17" s="180">
        <v>444</v>
      </c>
      <c r="EF17" s="180">
        <v>66427</v>
      </c>
      <c r="EG17" s="180">
        <v>4679</v>
      </c>
      <c r="EH17" s="180">
        <v>710347</v>
      </c>
      <c r="EI17" s="180">
        <v>1064</v>
      </c>
      <c r="EJ17" s="180">
        <v>141258</v>
      </c>
      <c r="EK17" s="180">
        <v>12916</v>
      </c>
      <c r="EL17" s="181">
        <v>1694315</v>
      </c>
      <c r="EM17" s="179"/>
      <c r="EN17" s="180"/>
      <c r="EO17" s="180"/>
      <c r="EP17" s="180"/>
      <c r="EQ17" s="180"/>
      <c r="ER17" s="180"/>
      <c r="ES17" s="180"/>
      <c r="ET17" s="180"/>
      <c r="EU17" s="180"/>
      <c r="EV17" s="180"/>
      <c r="EW17" s="180"/>
      <c r="EX17" s="180"/>
      <c r="EY17" s="180"/>
      <c r="EZ17" s="180"/>
      <c r="FA17" s="180"/>
      <c r="FB17" s="180"/>
      <c r="FC17" s="180"/>
      <c r="FD17" s="180"/>
      <c r="FE17" s="180"/>
      <c r="FF17" s="181"/>
      <c r="FG17" s="179">
        <v>55</v>
      </c>
      <c r="FH17" s="180">
        <v>4064</v>
      </c>
      <c r="FI17" s="180">
        <v>983</v>
      </c>
      <c r="FJ17" s="180">
        <v>80346</v>
      </c>
      <c r="FK17" s="180">
        <v>236</v>
      </c>
      <c r="FL17" s="180">
        <v>27944</v>
      </c>
      <c r="FM17" s="180">
        <v>3824</v>
      </c>
      <c r="FN17" s="180">
        <v>487411</v>
      </c>
      <c r="FO17" s="180">
        <v>328</v>
      </c>
      <c r="FP17" s="180">
        <v>37136</v>
      </c>
      <c r="FQ17" s="180">
        <v>5822</v>
      </c>
      <c r="FR17" s="180">
        <v>696621</v>
      </c>
      <c r="FS17" s="180">
        <v>362</v>
      </c>
      <c r="FT17" s="180">
        <v>54771</v>
      </c>
      <c r="FU17" s="180">
        <v>5980</v>
      </c>
      <c r="FV17" s="180">
        <v>912889</v>
      </c>
      <c r="FW17" s="180">
        <v>980</v>
      </c>
      <c r="FX17" s="180">
        <v>123916</v>
      </c>
      <c r="FY17" s="180">
        <v>16608</v>
      </c>
      <c r="FZ17" s="181">
        <v>2177265</v>
      </c>
      <c r="GA17" s="179">
        <v>77</v>
      </c>
      <c r="GB17" s="180">
        <v>5405</v>
      </c>
      <c r="GC17" s="180">
        <v>1142</v>
      </c>
      <c r="GD17" s="180">
        <v>92104</v>
      </c>
      <c r="GE17" s="180">
        <v>265</v>
      </c>
      <c r="GF17" s="180">
        <v>34984</v>
      </c>
      <c r="GG17" s="180">
        <v>4373</v>
      </c>
      <c r="GH17" s="180">
        <v>565080</v>
      </c>
      <c r="GI17" s="180">
        <v>342</v>
      </c>
      <c r="GJ17" s="180">
        <v>38520</v>
      </c>
      <c r="GK17" s="180">
        <v>6571</v>
      </c>
      <c r="GL17" s="180">
        <v>786480</v>
      </c>
      <c r="GM17" s="180">
        <v>332</v>
      </c>
      <c r="GN17" s="180">
        <v>49559</v>
      </c>
      <c r="GO17" s="180">
        <v>6654</v>
      </c>
      <c r="GP17" s="180">
        <v>1017738</v>
      </c>
      <c r="GQ17" s="180">
        <v>1015</v>
      </c>
      <c r="GR17" s="180">
        <v>128467</v>
      </c>
      <c r="GS17" s="180">
        <v>18741</v>
      </c>
      <c r="GT17" s="181">
        <v>2461401</v>
      </c>
      <c r="GU17" s="179"/>
      <c r="GV17" s="180"/>
      <c r="GW17" s="180"/>
      <c r="GX17" s="180"/>
      <c r="GY17" s="180"/>
      <c r="GZ17" s="180"/>
      <c r="HA17" s="180"/>
      <c r="HB17" s="180"/>
      <c r="HC17" s="180"/>
      <c r="HD17" s="180"/>
      <c r="HE17" s="180"/>
      <c r="HF17" s="180"/>
      <c r="HG17" s="180"/>
      <c r="HH17" s="180"/>
      <c r="HI17" s="180"/>
      <c r="HJ17" s="180"/>
      <c r="HK17" s="180"/>
      <c r="HL17" s="180"/>
      <c r="HM17" s="180"/>
      <c r="HN17" s="181"/>
      <c r="HO17" s="179">
        <v>78</v>
      </c>
      <c r="HP17" s="180">
        <v>5639</v>
      </c>
      <c r="HQ17" s="180">
        <v>1412</v>
      </c>
      <c r="HR17" s="180">
        <v>110952</v>
      </c>
      <c r="HS17" s="180">
        <v>246</v>
      </c>
      <c r="HT17" s="180">
        <v>35973</v>
      </c>
      <c r="HU17" s="180">
        <v>5255</v>
      </c>
      <c r="HV17" s="180">
        <v>681507</v>
      </c>
      <c r="HW17" s="180">
        <v>352</v>
      </c>
      <c r="HX17" s="180">
        <v>42062</v>
      </c>
      <c r="HY17" s="180">
        <v>8083</v>
      </c>
      <c r="HZ17" s="180">
        <v>970850</v>
      </c>
      <c r="IA17" s="180">
        <v>408</v>
      </c>
      <c r="IB17" s="180">
        <v>66136</v>
      </c>
      <c r="IC17" s="180">
        <v>8082</v>
      </c>
      <c r="ID17" s="180">
        <v>1255441</v>
      </c>
      <c r="IE17" s="180">
        <v>1083</v>
      </c>
      <c r="IF17" s="180">
        <v>149812</v>
      </c>
      <c r="IG17" s="180">
        <v>22832</v>
      </c>
      <c r="IH17" s="181">
        <v>3018750</v>
      </c>
    </row>
    <row r="18" spans="2:242">
      <c r="B18" s="175">
        <v>16</v>
      </c>
      <c r="C18" s="179">
        <v>43</v>
      </c>
      <c r="D18" s="180">
        <v>2883</v>
      </c>
      <c r="E18" s="180">
        <v>43</v>
      </c>
      <c r="F18" s="180">
        <v>2883</v>
      </c>
      <c r="G18" s="180">
        <v>244</v>
      </c>
      <c r="H18" s="180">
        <v>28004</v>
      </c>
      <c r="I18" s="180">
        <v>244</v>
      </c>
      <c r="J18" s="180">
        <v>28004</v>
      </c>
      <c r="K18" s="180">
        <v>264</v>
      </c>
      <c r="L18" s="180">
        <v>38817</v>
      </c>
      <c r="M18" s="180">
        <v>264</v>
      </c>
      <c r="N18" s="180">
        <v>38817</v>
      </c>
      <c r="O18" s="180">
        <v>370</v>
      </c>
      <c r="P18" s="180">
        <v>57869</v>
      </c>
      <c r="Q18" s="180">
        <v>370</v>
      </c>
      <c r="R18" s="180">
        <v>57869</v>
      </c>
      <c r="S18" s="180">
        <v>920</v>
      </c>
      <c r="T18" s="180">
        <v>127574</v>
      </c>
      <c r="U18" s="180">
        <v>920</v>
      </c>
      <c r="V18" s="181">
        <v>127574</v>
      </c>
      <c r="W18" s="179"/>
      <c r="X18" s="180"/>
      <c r="Y18" s="180"/>
      <c r="Z18" s="180"/>
      <c r="AA18" s="180"/>
      <c r="AB18" s="180"/>
      <c r="AC18" s="180"/>
      <c r="AD18" s="180"/>
      <c r="AE18" s="180"/>
      <c r="AF18" s="180"/>
      <c r="AG18" s="180"/>
      <c r="AH18" s="180"/>
      <c r="AI18" s="180"/>
      <c r="AJ18" s="180"/>
      <c r="AK18" s="180"/>
      <c r="AL18" s="180"/>
      <c r="AM18" s="180"/>
      <c r="AN18" s="180"/>
      <c r="AO18" s="180"/>
      <c r="AP18" s="181"/>
      <c r="AQ18" s="179"/>
      <c r="AR18" s="180"/>
      <c r="AS18" s="180"/>
      <c r="AT18" s="180"/>
      <c r="AU18" s="180"/>
      <c r="AV18" s="180"/>
      <c r="AW18" s="180"/>
      <c r="AX18" s="180"/>
      <c r="AY18" s="180"/>
      <c r="AZ18" s="180"/>
      <c r="BA18" s="180"/>
      <c r="BB18" s="180"/>
      <c r="BC18" s="180"/>
      <c r="BD18" s="180"/>
      <c r="BE18" s="180"/>
      <c r="BF18" s="180"/>
      <c r="BG18" s="180"/>
      <c r="BH18" s="180"/>
      <c r="BI18" s="180"/>
      <c r="BJ18" s="181"/>
      <c r="BK18" s="179">
        <v>26</v>
      </c>
      <c r="BL18" s="180">
        <v>1892</v>
      </c>
      <c r="BM18" s="180">
        <v>331</v>
      </c>
      <c r="BN18" s="180">
        <v>25831</v>
      </c>
      <c r="BO18" s="180">
        <v>243</v>
      </c>
      <c r="BP18" s="180">
        <v>27777</v>
      </c>
      <c r="BQ18" s="180">
        <v>1533</v>
      </c>
      <c r="BR18" s="180">
        <v>196546</v>
      </c>
      <c r="BS18" s="180">
        <v>338</v>
      </c>
      <c r="BT18" s="180">
        <v>42868</v>
      </c>
      <c r="BU18" s="180">
        <v>2745</v>
      </c>
      <c r="BV18" s="180">
        <v>329840</v>
      </c>
      <c r="BW18" s="180">
        <v>514</v>
      </c>
      <c r="BX18" s="180">
        <v>78985</v>
      </c>
      <c r="BY18" s="180">
        <v>2516</v>
      </c>
      <c r="BZ18" s="180">
        <v>387903</v>
      </c>
      <c r="CA18" s="180">
        <v>1122</v>
      </c>
      <c r="CB18" s="180">
        <v>151521</v>
      </c>
      <c r="CC18" s="180">
        <v>7126</v>
      </c>
      <c r="CD18" s="181">
        <v>940118</v>
      </c>
      <c r="CE18" s="179">
        <v>72</v>
      </c>
      <c r="CF18" s="180">
        <v>5822</v>
      </c>
      <c r="CG18" s="180">
        <v>473</v>
      </c>
      <c r="CH18" s="180">
        <v>37448</v>
      </c>
      <c r="CI18" s="180">
        <v>236</v>
      </c>
      <c r="CJ18" s="180">
        <v>29398</v>
      </c>
      <c r="CK18" s="180">
        <v>1964</v>
      </c>
      <c r="CL18" s="180">
        <v>250540</v>
      </c>
      <c r="CM18" s="180">
        <v>201</v>
      </c>
      <c r="CN18" s="180">
        <v>23194</v>
      </c>
      <c r="CO18" s="180">
        <v>3330</v>
      </c>
      <c r="CP18" s="180">
        <v>392799</v>
      </c>
      <c r="CQ18" s="180">
        <v>363</v>
      </c>
      <c r="CR18" s="180">
        <v>53008</v>
      </c>
      <c r="CS18" s="180">
        <v>3161</v>
      </c>
      <c r="CT18" s="180">
        <v>481949</v>
      </c>
      <c r="CU18" s="180">
        <v>873</v>
      </c>
      <c r="CV18" s="180">
        <v>111423</v>
      </c>
      <c r="CW18" s="180">
        <v>8929</v>
      </c>
      <c r="CX18" s="181">
        <v>1162735</v>
      </c>
      <c r="CY18" s="179">
        <v>38</v>
      </c>
      <c r="CZ18" s="180">
        <v>3119</v>
      </c>
      <c r="DA18" s="180">
        <v>580</v>
      </c>
      <c r="DB18" s="180">
        <v>46046</v>
      </c>
      <c r="DC18" s="180">
        <v>250</v>
      </c>
      <c r="DD18" s="180">
        <v>35508</v>
      </c>
      <c r="DE18" s="180">
        <v>2419</v>
      </c>
      <c r="DF18" s="180">
        <v>309904</v>
      </c>
      <c r="DG18" s="180">
        <v>347</v>
      </c>
      <c r="DH18" s="180">
        <v>45135</v>
      </c>
      <c r="DI18" s="180">
        <v>3953</v>
      </c>
      <c r="DJ18" s="180">
        <v>472181</v>
      </c>
      <c r="DK18" s="180">
        <v>404</v>
      </c>
      <c r="DL18" s="180">
        <v>58078</v>
      </c>
      <c r="DM18" s="180">
        <v>3873</v>
      </c>
      <c r="DN18" s="180">
        <v>587785</v>
      </c>
      <c r="DO18" s="180">
        <v>1039</v>
      </c>
      <c r="DP18" s="180">
        <v>141842</v>
      </c>
      <c r="DQ18" s="180">
        <v>10825</v>
      </c>
      <c r="DR18" s="181">
        <v>1415915</v>
      </c>
      <c r="DS18" s="179">
        <v>66</v>
      </c>
      <c r="DT18" s="180">
        <v>5440</v>
      </c>
      <c r="DU18" s="180">
        <v>710</v>
      </c>
      <c r="DV18" s="180">
        <v>57096</v>
      </c>
      <c r="DW18" s="180">
        <v>272</v>
      </c>
      <c r="DX18" s="180">
        <v>33428</v>
      </c>
      <c r="DY18" s="180">
        <v>2957</v>
      </c>
      <c r="DZ18" s="180">
        <v>377397</v>
      </c>
      <c r="EA18" s="180">
        <v>328</v>
      </c>
      <c r="EB18" s="180">
        <v>40142</v>
      </c>
      <c r="EC18" s="180">
        <v>4616</v>
      </c>
      <c r="ED18" s="180">
        <v>553654</v>
      </c>
      <c r="EE18" s="180">
        <v>474</v>
      </c>
      <c r="EF18" s="180">
        <v>71209</v>
      </c>
      <c r="EG18" s="180">
        <v>4708</v>
      </c>
      <c r="EH18" s="180">
        <v>715127</v>
      </c>
      <c r="EI18" s="180">
        <v>1139</v>
      </c>
      <c r="EJ18" s="180">
        <v>150219</v>
      </c>
      <c r="EK18" s="180">
        <v>12992</v>
      </c>
      <c r="EL18" s="181">
        <v>1703275</v>
      </c>
      <c r="EM18" s="179"/>
      <c r="EN18" s="180"/>
      <c r="EO18" s="180"/>
      <c r="EP18" s="180"/>
      <c r="EQ18" s="180"/>
      <c r="ER18" s="180"/>
      <c r="ES18" s="180"/>
      <c r="ET18" s="180"/>
      <c r="EU18" s="180"/>
      <c r="EV18" s="180"/>
      <c r="EW18" s="180"/>
      <c r="EX18" s="180"/>
      <c r="EY18" s="180"/>
      <c r="EZ18" s="180"/>
      <c r="FA18" s="180"/>
      <c r="FB18" s="180"/>
      <c r="FC18" s="180"/>
      <c r="FD18" s="180"/>
      <c r="FE18" s="180"/>
      <c r="FF18" s="181"/>
      <c r="FG18" s="179">
        <v>75</v>
      </c>
      <c r="FH18" s="180">
        <v>5349</v>
      </c>
      <c r="FI18" s="180">
        <v>1003</v>
      </c>
      <c r="FJ18" s="180">
        <v>81630</v>
      </c>
      <c r="FK18" s="180">
        <v>245</v>
      </c>
      <c r="FL18" s="180">
        <v>30123</v>
      </c>
      <c r="FM18" s="180">
        <v>3833</v>
      </c>
      <c r="FN18" s="180">
        <v>489589</v>
      </c>
      <c r="FO18" s="180">
        <v>346</v>
      </c>
      <c r="FP18" s="180">
        <v>39639</v>
      </c>
      <c r="FQ18" s="180">
        <v>5840</v>
      </c>
      <c r="FR18" s="180">
        <v>699125</v>
      </c>
      <c r="FS18" s="180">
        <v>396</v>
      </c>
      <c r="FT18" s="180">
        <v>59911</v>
      </c>
      <c r="FU18" s="180">
        <v>6014</v>
      </c>
      <c r="FV18" s="180">
        <v>918027</v>
      </c>
      <c r="FW18" s="180">
        <v>1061</v>
      </c>
      <c r="FX18" s="180">
        <v>135021</v>
      </c>
      <c r="FY18" s="180">
        <v>16689</v>
      </c>
      <c r="FZ18" s="181">
        <v>2188370</v>
      </c>
      <c r="GA18" s="179">
        <v>78</v>
      </c>
      <c r="GB18" s="180">
        <v>5471</v>
      </c>
      <c r="GC18" s="180">
        <v>1144</v>
      </c>
      <c r="GD18" s="180">
        <v>92170</v>
      </c>
      <c r="GE18" s="180">
        <v>282</v>
      </c>
      <c r="GF18" s="180">
        <v>37143</v>
      </c>
      <c r="GG18" s="180">
        <v>4391</v>
      </c>
      <c r="GH18" s="180">
        <v>567237</v>
      </c>
      <c r="GI18" s="180">
        <v>351</v>
      </c>
      <c r="GJ18" s="180">
        <v>40149</v>
      </c>
      <c r="GK18" s="180">
        <v>6579</v>
      </c>
      <c r="GL18" s="180">
        <v>788109</v>
      </c>
      <c r="GM18" s="180">
        <v>362</v>
      </c>
      <c r="GN18" s="180">
        <v>54864</v>
      </c>
      <c r="GO18" s="180">
        <v>6684</v>
      </c>
      <c r="GP18" s="180">
        <v>1023042</v>
      </c>
      <c r="GQ18" s="180">
        <v>1074</v>
      </c>
      <c r="GR18" s="180">
        <v>137625</v>
      </c>
      <c r="GS18" s="180">
        <v>18799</v>
      </c>
      <c r="GT18" s="181">
        <v>2470557</v>
      </c>
      <c r="GU18" s="179"/>
      <c r="GV18" s="180"/>
      <c r="GW18" s="180"/>
      <c r="GX18" s="180"/>
      <c r="GY18" s="180"/>
      <c r="GZ18" s="180"/>
      <c r="HA18" s="180"/>
      <c r="HB18" s="180"/>
      <c r="HC18" s="180"/>
      <c r="HD18" s="180"/>
      <c r="HE18" s="180"/>
      <c r="HF18" s="180"/>
      <c r="HG18" s="180"/>
      <c r="HH18" s="180"/>
      <c r="HI18" s="180"/>
      <c r="HJ18" s="180"/>
      <c r="HK18" s="180"/>
      <c r="HL18" s="180"/>
      <c r="HM18" s="180"/>
      <c r="HN18" s="181"/>
      <c r="HO18" s="179">
        <v>80</v>
      </c>
      <c r="HP18" s="180">
        <v>5933</v>
      </c>
      <c r="HQ18" s="180">
        <v>1415</v>
      </c>
      <c r="HR18" s="180">
        <v>111246</v>
      </c>
      <c r="HS18" s="180">
        <v>281</v>
      </c>
      <c r="HT18" s="180">
        <v>40661</v>
      </c>
      <c r="HU18" s="180">
        <v>5289</v>
      </c>
      <c r="HV18" s="180">
        <v>686196</v>
      </c>
      <c r="HW18" s="180">
        <v>374</v>
      </c>
      <c r="HX18" s="180">
        <v>44954</v>
      </c>
      <c r="HY18" s="180">
        <v>8106</v>
      </c>
      <c r="HZ18" s="180">
        <v>973741</v>
      </c>
      <c r="IA18" s="180">
        <v>434</v>
      </c>
      <c r="IB18" s="180">
        <v>69600</v>
      </c>
      <c r="IC18" s="180">
        <v>8108</v>
      </c>
      <c r="ID18" s="180">
        <v>1258906</v>
      </c>
      <c r="IE18" s="180">
        <v>1170</v>
      </c>
      <c r="IF18" s="180">
        <v>161150</v>
      </c>
      <c r="IG18" s="180">
        <v>22918</v>
      </c>
      <c r="IH18" s="181">
        <v>3030089</v>
      </c>
    </row>
    <row r="19" spans="2:242">
      <c r="B19" s="175">
        <v>17</v>
      </c>
      <c r="C19" s="179">
        <v>45</v>
      </c>
      <c r="D19" s="180">
        <v>2952</v>
      </c>
      <c r="E19" s="180">
        <v>45</v>
      </c>
      <c r="F19" s="180">
        <v>2952</v>
      </c>
      <c r="G19" s="180">
        <v>252</v>
      </c>
      <c r="H19" s="180">
        <v>29061</v>
      </c>
      <c r="I19" s="180">
        <v>252</v>
      </c>
      <c r="J19" s="180">
        <v>29061</v>
      </c>
      <c r="K19" s="180">
        <v>278</v>
      </c>
      <c r="L19" s="180">
        <v>40415</v>
      </c>
      <c r="M19" s="180">
        <v>278</v>
      </c>
      <c r="N19" s="180">
        <v>40415</v>
      </c>
      <c r="O19" s="180">
        <v>404</v>
      </c>
      <c r="P19" s="180">
        <v>62559</v>
      </c>
      <c r="Q19" s="180">
        <v>404</v>
      </c>
      <c r="R19" s="180">
        <v>62559</v>
      </c>
      <c r="S19" s="180">
        <v>978</v>
      </c>
      <c r="T19" s="180">
        <v>134988</v>
      </c>
      <c r="U19" s="180">
        <v>978</v>
      </c>
      <c r="V19" s="181">
        <v>134988</v>
      </c>
      <c r="W19" s="179">
        <v>48</v>
      </c>
      <c r="X19" s="180">
        <v>3287</v>
      </c>
      <c r="Y19" s="180">
        <v>160</v>
      </c>
      <c r="Z19" s="180">
        <v>11483</v>
      </c>
      <c r="AA19" s="180">
        <v>188</v>
      </c>
      <c r="AB19" s="180">
        <v>23864</v>
      </c>
      <c r="AC19" s="180">
        <v>704</v>
      </c>
      <c r="AD19" s="180">
        <v>90132</v>
      </c>
      <c r="AE19" s="180">
        <v>352</v>
      </c>
      <c r="AF19" s="180">
        <v>40803</v>
      </c>
      <c r="AG19" s="180">
        <v>1122</v>
      </c>
      <c r="AH19" s="180">
        <v>134296</v>
      </c>
      <c r="AI19" s="180">
        <v>370</v>
      </c>
      <c r="AJ19" s="180">
        <v>57148</v>
      </c>
      <c r="AK19" s="180">
        <v>1045</v>
      </c>
      <c r="AL19" s="180">
        <v>161377</v>
      </c>
      <c r="AM19" s="180">
        <v>957</v>
      </c>
      <c r="AN19" s="180">
        <v>125101</v>
      </c>
      <c r="AO19" s="180">
        <v>3031</v>
      </c>
      <c r="AP19" s="181">
        <v>397288</v>
      </c>
      <c r="AQ19" s="179">
        <v>93</v>
      </c>
      <c r="AR19" s="180">
        <v>8265</v>
      </c>
      <c r="AS19" s="180">
        <v>286</v>
      </c>
      <c r="AT19" s="180">
        <v>22084</v>
      </c>
      <c r="AU19" s="180">
        <v>265</v>
      </c>
      <c r="AV19" s="180">
        <v>38836</v>
      </c>
      <c r="AW19" s="180">
        <v>1145</v>
      </c>
      <c r="AX19" s="180">
        <v>150266</v>
      </c>
      <c r="AY19" s="180">
        <v>306</v>
      </c>
      <c r="AZ19" s="180">
        <v>32898</v>
      </c>
      <c r="BA19" s="180">
        <v>1920</v>
      </c>
      <c r="BB19" s="180">
        <v>225879</v>
      </c>
      <c r="BC19" s="180">
        <v>360</v>
      </c>
      <c r="BD19" s="180">
        <v>57438</v>
      </c>
      <c r="BE19" s="180">
        <v>1694</v>
      </c>
      <c r="BF19" s="180">
        <v>261897</v>
      </c>
      <c r="BG19" s="180">
        <v>1023</v>
      </c>
      <c r="BH19" s="180">
        <v>137437</v>
      </c>
      <c r="BI19" s="180">
        <v>5045</v>
      </c>
      <c r="BJ19" s="181">
        <v>660126</v>
      </c>
      <c r="BK19" s="179">
        <v>44</v>
      </c>
      <c r="BL19" s="180">
        <v>3246</v>
      </c>
      <c r="BM19" s="180">
        <v>350</v>
      </c>
      <c r="BN19" s="180">
        <v>27185</v>
      </c>
      <c r="BO19" s="180">
        <v>256</v>
      </c>
      <c r="BP19" s="180">
        <v>29469</v>
      </c>
      <c r="BQ19" s="180">
        <v>1547</v>
      </c>
      <c r="BR19" s="180">
        <v>198239</v>
      </c>
      <c r="BS19" s="180">
        <v>372</v>
      </c>
      <c r="BT19" s="180">
        <v>46675</v>
      </c>
      <c r="BU19" s="180">
        <v>2780</v>
      </c>
      <c r="BV19" s="180">
        <v>333646</v>
      </c>
      <c r="BW19" s="180">
        <v>552</v>
      </c>
      <c r="BX19" s="180">
        <v>84685</v>
      </c>
      <c r="BY19" s="180">
        <v>2555</v>
      </c>
      <c r="BZ19" s="180">
        <v>393602</v>
      </c>
      <c r="CA19" s="180">
        <v>1226</v>
      </c>
      <c r="CB19" s="180">
        <v>164076</v>
      </c>
      <c r="CC19" s="180">
        <v>7231</v>
      </c>
      <c r="CD19" s="181">
        <v>952672</v>
      </c>
      <c r="CE19" s="179"/>
      <c r="CF19" s="180"/>
      <c r="CG19" s="180"/>
      <c r="CH19" s="180"/>
      <c r="CI19" s="180"/>
      <c r="CJ19" s="180"/>
      <c r="CK19" s="180"/>
      <c r="CL19" s="180"/>
      <c r="CM19" s="180"/>
      <c r="CN19" s="180"/>
      <c r="CO19" s="180"/>
      <c r="CP19" s="180"/>
      <c r="CQ19" s="180"/>
      <c r="CR19" s="180"/>
      <c r="CS19" s="180"/>
      <c r="CT19" s="180"/>
      <c r="CU19" s="180"/>
      <c r="CV19" s="180"/>
      <c r="CW19" s="180"/>
      <c r="CX19" s="181"/>
      <c r="CY19" s="179">
        <v>38</v>
      </c>
      <c r="CZ19" s="180">
        <v>3119</v>
      </c>
      <c r="DA19" s="180">
        <v>580</v>
      </c>
      <c r="DB19" s="180">
        <v>46046</v>
      </c>
      <c r="DC19" s="180">
        <v>282</v>
      </c>
      <c r="DD19" s="180">
        <v>38945</v>
      </c>
      <c r="DE19" s="180">
        <v>2451</v>
      </c>
      <c r="DF19" s="180">
        <v>313340</v>
      </c>
      <c r="DG19" s="180">
        <v>369</v>
      </c>
      <c r="DH19" s="180">
        <v>47145</v>
      </c>
      <c r="DI19" s="180">
        <v>3975</v>
      </c>
      <c r="DJ19" s="180">
        <v>474190</v>
      </c>
      <c r="DK19" s="180">
        <v>444</v>
      </c>
      <c r="DL19" s="180">
        <v>63791</v>
      </c>
      <c r="DM19" s="180">
        <v>3913</v>
      </c>
      <c r="DN19" s="180">
        <v>593496</v>
      </c>
      <c r="DO19" s="180">
        <v>1133</v>
      </c>
      <c r="DP19" s="180">
        <v>152999</v>
      </c>
      <c r="DQ19" s="180">
        <v>10919</v>
      </c>
      <c r="DR19" s="181">
        <v>1427073</v>
      </c>
      <c r="DS19" s="179">
        <v>69</v>
      </c>
      <c r="DT19" s="180">
        <v>5562</v>
      </c>
      <c r="DU19" s="180">
        <v>713</v>
      </c>
      <c r="DV19" s="180">
        <v>57219</v>
      </c>
      <c r="DW19" s="180">
        <v>296</v>
      </c>
      <c r="DX19" s="180">
        <v>36918</v>
      </c>
      <c r="DY19" s="180">
        <v>2981</v>
      </c>
      <c r="DZ19" s="180">
        <v>380888</v>
      </c>
      <c r="EA19" s="180">
        <v>376</v>
      </c>
      <c r="EB19" s="180">
        <v>46387</v>
      </c>
      <c r="EC19" s="180">
        <v>4664</v>
      </c>
      <c r="ED19" s="180">
        <v>559900</v>
      </c>
      <c r="EE19" s="180">
        <v>509</v>
      </c>
      <c r="EF19" s="180">
        <v>76368</v>
      </c>
      <c r="EG19" s="180">
        <v>4743</v>
      </c>
      <c r="EH19" s="180">
        <v>720286</v>
      </c>
      <c r="EI19" s="180">
        <v>1249</v>
      </c>
      <c r="EJ19" s="180">
        <v>165236</v>
      </c>
      <c r="EK19" s="180">
        <v>13101</v>
      </c>
      <c r="EL19" s="181">
        <v>1718293</v>
      </c>
      <c r="EM19" s="179"/>
      <c r="EN19" s="180"/>
      <c r="EO19" s="180"/>
      <c r="EP19" s="180"/>
      <c r="EQ19" s="180"/>
      <c r="ER19" s="180"/>
      <c r="ES19" s="180"/>
      <c r="ET19" s="180"/>
      <c r="EU19" s="180"/>
      <c r="EV19" s="180"/>
      <c r="EW19" s="180"/>
      <c r="EX19" s="180"/>
      <c r="EY19" s="180"/>
      <c r="EZ19" s="180"/>
      <c r="FA19" s="180"/>
      <c r="FB19" s="180"/>
      <c r="FC19" s="180"/>
      <c r="FD19" s="180"/>
      <c r="FE19" s="180"/>
      <c r="FF19" s="181"/>
      <c r="FG19" s="179">
        <v>78</v>
      </c>
      <c r="FH19" s="180">
        <v>5711</v>
      </c>
      <c r="FI19" s="180">
        <v>1007</v>
      </c>
      <c r="FJ19" s="180">
        <v>81992</v>
      </c>
      <c r="FK19" s="180">
        <v>288</v>
      </c>
      <c r="FL19" s="180">
        <v>35389</v>
      </c>
      <c r="FM19" s="180">
        <v>3876</v>
      </c>
      <c r="FN19" s="180">
        <v>494856</v>
      </c>
      <c r="FO19" s="180">
        <v>392</v>
      </c>
      <c r="FP19" s="180">
        <v>45245</v>
      </c>
      <c r="FQ19" s="180">
        <v>5886</v>
      </c>
      <c r="FR19" s="180">
        <v>704729</v>
      </c>
      <c r="FS19" s="180">
        <v>423</v>
      </c>
      <c r="FT19" s="180">
        <v>64129</v>
      </c>
      <c r="FU19" s="180">
        <v>6041</v>
      </c>
      <c r="FV19" s="180">
        <v>922247</v>
      </c>
      <c r="FW19" s="180">
        <v>1182</v>
      </c>
      <c r="FX19" s="180">
        <v>150472</v>
      </c>
      <c r="FY19" s="180">
        <v>16809</v>
      </c>
      <c r="FZ19" s="181">
        <v>2203823</v>
      </c>
      <c r="GA19" s="179">
        <v>85</v>
      </c>
      <c r="GB19" s="180">
        <v>5820</v>
      </c>
      <c r="GC19" s="180">
        <v>1150</v>
      </c>
      <c r="GD19" s="180">
        <v>92520</v>
      </c>
      <c r="GE19" s="180">
        <v>322</v>
      </c>
      <c r="GF19" s="180">
        <v>45092</v>
      </c>
      <c r="GG19" s="180">
        <v>4429</v>
      </c>
      <c r="GH19" s="180">
        <v>575187</v>
      </c>
      <c r="GI19" s="180">
        <v>411</v>
      </c>
      <c r="GJ19" s="180">
        <v>48673</v>
      </c>
      <c r="GK19" s="180">
        <v>6639</v>
      </c>
      <c r="GL19" s="180">
        <v>796634</v>
      </c>
      <c r="GM19" s="180">
        <v>384</v>
      </c>
      <c r="GN19" s="180">
        <v>58304</v>
      </c>
      <c r="GO19" s="180">
        <v>6707</v>
      </c>
      <c r="GP19" s="180">
        <v>1026483</v>
      </c>
      <c r="GQ19" s="180">
        <v>1201</v>
      </c>
      <c r="GR19" s="180">
        <v>157890</v>
      </c>
      <c r="GS19" s="180">
        <v>18926</v>
      </c>
      <c r="GT19" s="181">
        <v>2490823</v>
      </c>
      <c r="GU19" s="179">
        <v>68</v>
      </c>
      <c r="GV19" s="180">
        <v>4949</v>
      </c>
      <c r="GW19" s="180">
        <v>1283</v>
      </c>
      <c r="GX19" s="180">
        <v>102206</v>
      </c>
      <c r="GY19" s="180">
        <v>208</v>
      </c>
      <c r="GZ19" s="180">
        <v>21966</v>
      </c>
      <c r="HA19" s="180">
        <v>4830</v>
      </c>
      <c r="HB19" s="180">
        <v>621386</v>
      </c>
      <c r="HC19" s="180">
        <v>212</v>
      </c>
      <c r="HD19" s="180">
        <v>28208</v>
      </c>
      <c r="HE19" s="180">
        <v>7270</v>
      </c>
      <c r="HF19" s="180">
        <v>872891</v>
      </c>
      <c r="HG19" s="180">
        <v>342</v>
      </c>
      <c r="HH19" s="180">
        <v>53383</v>
      </c>
      <c r="HI19" s="180">
        <v>7360</v>
      </c>
      <c r="HJ19" s="180">
        <v>1131842</v>
      </c>
      <c r="HK19" s="180">
        <v>829</v>
      </c>
      <c r="HL19" s="180">
        <v>108506</v>
      </c>
      <c r="HM19" s="180">
        <v>20744</v>
      </c>
      <c r="HN19" s="181">
        <v>2728325</v>
      </c>
      <c r="HO19" s="179">
        <v>82</v>
      </c>
      <c r="HP19" s="180">
        <v>5999</v>
      </c>
      <c r="HQ19" s="180">
        <v>1416</v>
      </c>
      <c r="HR19" s="180">
        <v>111311</v>
      </c>
      <c r="HS19" s="180">
        <v>282</v>
      </c>
      <c r="HT19" s="180">
        <v>41041</v>
      </c>
      <c r="HU19" s="180">
        <v>5291</v>
      </c>
      <c r="HV19" s="180">
        <v>686576</v>
      </c>
      <c r="HW19" s="180">
        <v>417</v>
      </c>
      <c r="HX19" s="180">
        <v>49231</v>
      </c>
      <c r="HY19" s="180">
        <v>8149</v>
      </c>
      <c r="HZ19" s="180">
        <v>978019</v>
      </c>
      <c r="IA19" s="180">
        <v>458</v>
      </c>
      <c r="IB19" s="180">
        <v>72639</v>
      </c>
      <c r="IC19" s="180">
        <v>8132</v>
      </c>
      <c r="ID19" s="180">
        <v>1261943</v>
      </c>
      <c r="IE19" s="180">
        <v>1239</v>
      </c>
      <c r="IF19" s="180">
        <v>168911</v>
      </c>
      <c r="IG19" s="180">
        <v>22988</v>
      </c>
      <c r="IH19" s="181">
        <v>3037850</v>
      </c>
    </row>
    <row r="20" spans="2:242">
      <c r="B20" s="175">
        <v>18</v>
      </c>
      <c r="C20" s="179"/>
      <c r="D20" s="180"/>
      <c r="E20" s="180"/>
      <c r="F20" s="180"/>
      <c r="G20" s="180"/>
      <c r="H20" s="180"/>
      <c r="I20" s="180"/>
      <c r="J20" s="180"/>
      <c r="K20" s="180"/>
      <c r="L20" s="180"/>
      <c r="M20" s="180"/>
      <c r="N20" s="180"/>
      <c r="O20" s="180"/>
      <c r="P20" s="180"/>
      <c r="Q20" s="180"/>
      <c r="R20" s="180"/>
      <c r="S20" s="180"/>
      <c r="T20" s="180"/>
      <c r="U20" s="180"/>
      <c r="V20" s="181"/>
      <c r="W20" s="179">
        <v>56</v>
      </c>
      <c r="X20" s="180">
        <v>4017</v>
      </c>
      <c r="Y20" s="180">
        <v>168</v>
      </c>
      <c r="Z20" s="180">
        <v>12213</v>
      </c>
      <c r="AA20" s="180">
        <v>194</v>
      </c>
      <c r="AB20" s="180">
        <v>24557</v>
      </c>
      <c r="AC20" s="180">
        <v>710</v>
      </c>
      <c r="AD20" s="180">
        <v>90825</v>
      </c>
      <c r="AE20" s="180">
        <v>383</v>
      </c>
      <c r="AF20" s="180">
        <v>44486</v>
      </c>
      <c r="AG20" s="180">
        <v>1154</v>
      </c>
      <c r="AH20" s="180">
        <v>137978</v>
      </c>
      <c r="AI20" s="180">
        <v>403</v>
      </c>
      <c r="AJ20" s="180">
        <v>61576</v>
      </c>
      <c r="AK20" s="180">
        <v>1077</v>
      </c>
      <c r="AL20" s="180">
        <v>165807</v>
      </c>
      <c r="AM20" s="180">
        <v>1035</v>
      </c>
      <c r="AN20" s="180">
        <v>134637</v>
      </c>
      <c r="AO20" s="180">
        <v>3109</v>
      </c>
      <c r="AP20" s="181">
        <v>406824</v>
      </c>
      <c r="AQ20" s="179">
        <v>90</v>
      </c>
      <c r="AR20" s="180">
        <v>8265</v>
      </c>
      <c r="AS20" s="180">
        <v>283</v>
      </c>
      <c r="AT20" s="180">
        <v>22084</v>
      </c>
      <c r="AU20" s="180">
        <v>285</v>
      </c>
      <c r="AV20" s="180">
        <v>42601</v>
      </c>
      <c r="AW20" s="180">
        <v>1166</v>
      </c>
      <c r="AX20" s="180">
        <v>154032</v>
      </c>
      <c r="AY20" s="180">
        <v>334</v>
      </c>
      <c r="AZ20" s="180">
        <v>39496</v>
      </c>
      <c r="BA20" s="180">
        <v>1949</v>
      </c>
      <c r="BB20" s="180">
        <v>232477</v>
      </c>
      <c r="BC20" s="180">
        <v>400</v>
      </c>
      <c r="BD20" s="180">
        <v>64064</v>
      </c>
      <c r="BE20" s="180">
        <v>1734</v>
      </c>
      <c r="BF20" s="180">
        <v>268523</v>
      </c>
      <c r="BG20" s="180">
        <v>1110</v>
      </c>
      <c r="BH20" s="180">
        <v>154425</v>
      </c>
      <c r="BI20" s="180">
        <v>5132</v>
      </c>
      <c r="BJ20" s="181">
        <v>677115</v>
      </c>
      <c r="BK20" s="179">
        <v>78</v>
      </c>
      <c r="BL20" s="180">
        <v>6154</v>
      </c>
      <c r="BM20" s="180">
        <v>383</v>
      </c>
      <c r="BN20" s="180">
        <v>30093</v>
      </c>
      <c r="BO20" s="180">
        <v>273</v>
      </c>
      <c r="BP20" s="180">
        <v>31486</v>
      </c>
      <c r="BQ20" s="180">
        <v>1563</v>
      </c>
      <c r="BR20" s="180">
        <v>200254</v>
      </c>
      <c r="BS20" s="180">
        <v>404</v>
      </c>
      <c r="BT20" s="180">
        <v>49816</v>
      </c>
      <c r="BU20" s="180">
        <v>2811</v>
      </c>
      <c r="BV20" s="180">
        <v>336788</v>
      </c>
      <c r="BW20" s="180">
        <v>592</v>
      </c>
      <c r="BX20" s="180">
        <v>90469</v>
      </c>
      <c r="BY20" s="180">
        <v>2595</v>
      </c>
      <c r="BZ20" s="180">
        <v>399385</v>
      </c>
      <c r="CA20" s="180">
        <v>1348</v>
      </c>
      <c r="CB20" s="180">
        <v>177924</v>
      </c>
      <c r="CC20" s="180">
        <v>7351</v>
      </c>
      <c r="CD20" s="181">
        <v>966521</v>
      </c>
      <c r="CE20" s="179"/>
      <c r="CF20" s="180"/>
      <c r="CG20" s="180"/>
      <c r="CH20" s="180"/>
      <c r="CI20" s="180"/>
      <c r="CJ20" s="180"/>
      <c r="CK20" s="180"/>
      <c r="CL20" s="180"/>
      <c r="CM20" s="180"/>
      <c r="CN20" s="180"/>
      <c r="CO20" s="180"/>
      <c r="CP20" s="180"/>
      <c r="CQ20" s="180"/>
      <c r="CR20" s="180"/>
      <c r="CS20" s="180"/>
      <c r="CT20" s="180"/>
      <c r="CU20" s="180"/>
      <c r="CV20" s="180"/>
      <c r="CW20" s="180"/>
      <c r="CX20" s="181"/>
      <c r="CY20" s="179">
        <v>38</v>
      </c>
      <c r="CZ20" s="180">
        <v>3119</v>
      </c>
      <c r="DA20" s="180">
        <v>580</v>
      </c>
      <c r="DB20" s="180">
        <v>46046</v>
      </c>
      <c r="DC20" s="180">
        <v>328</v>
      </c>
      <c r="DD20" s="180">
        <v>44943</v>
      </c>
      <c r="DE20" s="180">
        <v>2497</v>
      </c>
      <c r="DF20" s="180">
        <v>319338</v>
      </c>
      <c r="DG20" s="180">
        <v>414</v>
      </c>
      <c r="DH20" s="180">
        <v>52376</v>
      </c>
      <c r="DI20" s="180">
        <v>4020</v>
      </c>
      <c r="DJ20" s="180">
        <v>479421</v>
      </c>
      <c r="DK20" s="180">
        <v>509</v>
      </c>
      <c r="DL20" s="180">
        <v>75631</v>
      </c>
      <c r="DM20" s="180">
        <v>3978</v>
      </c>
      <c r="DN20" s="180">
        <v>605335</v>
      </c>
      <c r="DO20" s="180">
        <v>1290</v>
      </c>
      <c r="DP20" s="180">
        <v>176068</v>
      </c>
      <c r="DQ20" s="180">
        <v>11075</v>
      </c>
      <c r="DR20" s="181">
        <v>1450140</v>
      </c>
      <c r="DS20" s="179">
        <v>73</v>
      </c>
      <c r="DT20" s="180">
        <v>5812</v>
      </c>
      <c r="DU20" s="180">
        <v>717</v>
      </c>
      <c r="DV20" s="180">
        <v>57468</v>
      </c>
      <c r="DW20" s="180">
        <v>351</v>
      </c>
      <c r="DX20" s="180">
        <v>47208</v>
      </c>
      <c r="DY20" s="180">
        <v>3036</v>
      </c>
      <c r="DZ20" s="180">
        <v>391176</v>
      </c>
      <c r="EA20" s="180">
        <v>376</v>
      </c>
      <c r="EB20" s="180">
        <v>46372</v>
      </c>
      <c r="EC20" s="180">
        <v>4664</v>
      </c>
      <c r="ED20" s="180">
        <v>559884</v>
      </c>
      <c r="EE20" s="180">
        <v>545</v>
      </c>
      <c r="EF20" s="180">
        <v>81845</v>
      </c>
      <c r="EG20" s="180">
        <v>4779</v>
      </c>
      <c r="EH20" s="180">
        <v>725764</v>
      </c>
      <c r="EI20" s="180">
        <v>1344</v>
      </c>
      <c r="EJ20" s="180">
        <v>181236</v>
      </c>
      <c r="EK20" s="180">
        <v>13196</v>
      </c>
      <c r="EL20" s="181">
        <v>1734291</v>
      </c>
      <c r="EM20" s="179">
        <v>34</v>
      </c>
      <c r="EN20" s="180">
        <v>3093</v>
      </c>
      <c r="EO20" s="180">
        <v>841</v>
      </c>
      <c r="EP20" s="180">
        <v>68423</v>
      </c>
      <c r="EQ20" s="180">
        <v>202</v>
      </c>
      <c r="ER20" s="180">
        <v>22885</v>
      </c>
      <c r="ES20" s="180">
        <v>3404</v>
      </c>
      <c r="ET20" s="180">
        <v>433110</v>
      </c>
      <c r="EU20" s="180">
        <v>227</v>
      </c>
      <c r="EV20" s="180">
        <v>25337</v>
      </c>
      <c r="EW20" s="180">
        <v>5172</v>
      </c>
      <c r="EX20" s="180">
        <v>613744</v>
      </c>
      <c r="EY20" s="180">
        <v>396</v>
      </c>
      <c r="EZ20" s="180">
        <v>63750</v>
      </c>
      <c r="FA20" s="180">
        <v>5369</v>
      </c>
      <c r="FB20" s="180">
        <v>820573</v>
      </c>
      <c r="FC20" s="180">
        <v>859</v>
      </c>
      <c r="FD20" s="180">
        <v>115064</v>
      </c>
      <c r="FE20" s="180">
        <v>14785</v>
      </c>
      <c r="FF20" s="181">
        <v>1935852</v>
      </c>
      <c r="FG20" s="179">
        <v>82</v>
      </c>
      <c r="FH20" s="180">
        <v>6045</v>
      </c>
      <c r="FI20" s="180">
        <v>1011</v>
      </c>
      <c r="FJ20" s="180">
        <v>82326</v>
      </c>
      <c r="FK20" s="180">
        <v>305</v>
      </c>
      <c r="FL20" s="180">
        <v>38245</v>
      </c>
      <c r="FM20" s="180">
        <v>3894</v>
      </c>
      <c r="FN20" s="180">
        <v>497711</v>
      </c>
      <c r="FO20" s="180">
        <v>429</v>
      </c>
      <c r="FP20" s="180">
        <v>48735</v>
      </c>
      <c r="FQ20" s="180">
        <v>5923</v>
      </c>
      <c r="FR20" s="180">
        <v>708219</v>
      </c>
      <c r="FS20" s="180">
        <v>469</v>
      </c>
      <c r="FT20" s="180">
        <v>71785</v>
      </c>
      <c r="FU20" s="180">
        <v>6087</v>
      </c>
      <c r="FV20" s="180">
        <v>929903</v>
      </c>
      <c r="FW20" s="180">
        <v>1286</v>
      </c>
      <c r="FX20" s="180">
        <v>164808</v>
      </c>
      <c r="FY20" s="180">
        <v>16913</v>
      </c>
      <c r="FZ20" s="181">
        <v>2218160</v>
      </c>
      <c r="GA20" s="179"/>
      <c r="GB20" s="180"/>
      <c r="GC20" s="180"/>
      <c r="GD20" s="180"/>
      <c r="GE20" s="180"/>
      <c r="GF20" s="180"/>
      <c r="GG20" s="180"/>
      <c r="GH20" s="180"/>
      <c r="GI20" s="180"/>
      <c r="GJ20" s="180"/>
      <c r="GK20" s="180"/>
      <c r="GL20" s="180"/>
      <c r="GM20" s="180"/>
      <c r="GN20" s="180"/>
      <c r="GO20" s="180"/>
      <c r="GP20" s="180"/>
      <c r="GQ20" s="180"/>
      <c r="GR20" s="180"/>
      <c r="GS20" s="180"/>
      <c r="GT20" s="181"/>
      <c r="GU20" s="179">
        <v>83</v>
      </c>
      <c r="GV20" s="180">
        <v>5758</v>
      </c>
      <c r="GW20" s="180">
        <v>1298</v>
      </c>
      <c r="GX20" s="180">
        <v>103015</v>
      </c>
      <c r="GY20" s="180">
        <v>222</v>
      </c>
      <c r="GZ20" s="180">
        <v>23937</v>
      </c>
      <c r="HA20" s="180">
        <v>4845</v>
      </c>
      <c r="HB20" s="180">
        <v>623357</v>
      </c>
      <c r="HC20" s="180">
        <v>276</v>
      </c>
      <c r="HD20" s="180">
        <v>35084</v>
      </c>
      <c r="HE20" s="180">
        <v>7334</v>
      </c>
      <c r="HF20" s="180">
        <v>879767</v>
      </c>
      <c r="HG20" s="180">
        <v>383</v>
      </c>
      <c r="HH20" s="180">
        <v>59243</v>
      </c>
      <c r="HI20" s="180">
        <v>7401</v>
      </c>
      <c r="HJ20" s="180">
        <v>1137701</v>
      </c>
      <c r="HK20" s="180">
        <v>963</v>
      </c>
      <c r="HL20" s="180">
        <v>124020</v>
      </c>
      <c r="HM20" s="180">
        <v>20878</v>
      </c>
      <c r="HN20" s="181">
        <v>2743840</v>
      </c>
      <c r="HO20" s="179">
        <v>84</v>
      </c>
      <c r="HP20" s="180">
        <v>6108</v>
      </c>
      <c r="HQ20" s="180">
        <v>1419</v>
      </c>
      <c r="HR20" s="180">
        <v>111421</v>
      </c>
      <c r="HS20" s="180">
        <v>305</v>
      </c>
      <c r="HT20" s="180">
        <v>44297</v>
      </c>
      <c r="HU20" s="180">
        <v>5313</v>
      </c>
      <c r="HV20" s="180">
        <v>689832</v>
      </c>
      <c r="HW20" s="180">
        <v>433</v>
      </c>
      <c r="HX20" s="180">
        <v>51538</v>
      </c>
      <c r="HY20" s="180">
        <v>8164</v>
      </c>
      <c r="HZ20" s="180">
        <v>980326</v>
      </c>
      <c r="IA20" s="180">
        <v>488</v>
      </c>
      <c r="IB20" s="180">
        <v>76603</v>
      </c>
      <c r="IC20" s="180">
        <v>8161</v>
      </c>
      <c r="ID20" s="180">
        <v>1265908</v>
      </c>
      <c r="IE20" s="180">
        <v>1309</v>
      </c>
      <c r="IF20" s="180">
        <v>178546</v>
      </c>
      <c r="IG20" s="180">
        <v>23057</v>
      </c>
      <c r="IH20" s="181">
        <v>3047483</v>
      </c>
    </row>
    <row r="21" spans="2:242">
      <c r="B21" s="175">
        <v>19</v>
      </c>
      <c r="C21" s="179"/>
      <c r="D21" s="180"/>
      <c r="E21" s="180"/>
      <c r="F21" s="180"/>
      <c r="G21" s="180"/>
      <c r="H21" s="180"/>
      <c r="I21" s="180"/>
      <c r="J21" s="180"/>
      <c r="K21" s="180"/>
      <c r="L21" s="180"/>
      <c r="M21" s="180"/>
      <c r="N21" s="180"/>
      <c r="O21" s="180"/>
      <c r="P21" s="180"/>
      <c r="Q21" s="180"/>
      <c r="R21" s="180"/>
      <c r="S21" s="180"/>
      <c r="T21" s="180"/>
      <c r="U21" s="180"/>
      <c r="V21" s="181"/>
      <c r="W21" s="179">
        <v>59</v>
      </c>
      <c r="X21" s="180">
        <v>4233</v>
      </c>
      <c r="Y21" s="180">
        <v>171</v>
      </c>
      <c r="Z21" s="180">
        <v>12429</v>
      </c>
      <c r="AA21" s="180">
        <v>211</v>
      </c>
      <c r="AB21" s="180">
        <v>25923</v>
      </c>
      <c r="AC21" s="180">
        <v>726</v>
      </c>
      <c r="AD21" s="180">
        <v>92192</v>
      </c>
      <c r="AE21" s="180">
        <v>397</v>
      </c>
      <c r="AF21" s="180">
        <v>46400</v>
      </c>
      <c r="AG21" s="180">
        <v>1167</v>
      </c>
      <c r="AH21" s="180">
        <v>139892</v>
      </c>
      <c r="AI21" s="180">
        <v>425</v>
      </c>
      <c r="AJ21" s="180">
        <v>64275</v>
      </c>
      <c r="AK21" s="180">
        <v>1100</v>
      </c>
      <c r="AL21" s="180">
        <v>168505</v>
      </c>
      <c r="AM21" s="180">
        <v>1091</v>
      </c>
      <c r="AN21" s="180">
        <v>140831</v>
      </c>
      <c r="AO21" s="180">
        <v>3164</v>
      </c>
      <c r="AP21" s="181">
        <v>413017</v>
      </c>
      <c r="AQ21" s="179">
        <v>90</v>
      </c>
      <c r="AR21" s="180">
        <v>8265</v>
      </c>
      <c r="AS21" s="180">
        <v>283</v>
      </c>
      <c r="AT21" s="180">
        <v>22084</v>
      </c>
      <c r="AU21" s="180">
        <v>296</v>
      </c>
      <c r="AV21" s="180">
        <v>44150</v>
      </c>
      <c r="AW21" s="180">
        <v>1176</v>
      </c>
      <c r="AX21" s="180">
        <v>155580</v>
      </c>
      <c r="AY21" s="180">
        <v>369</v>
      </c>
      <c r="AZ21" s="180">
        <v>42642</v>
      </c>
      <c r="BA21" s="180">
        <v>1983</v>
      </c>
      <c r="BB21" s="180">
        <v>235624</v>
      </c>
      <c r="BC21" s="180">
        <v>427</v>
      </c>
      <c r="BD21" s="180">
        <v>68146</v>
      </c>
      <c r="BE21" s="180">
        <v>1761</v>
      </c>
      <c r="BF21" s="180">
        <v>272603</v>
      </c>
      <c r="BG21" s="180">
        <v>1181</v>
      </c>
      <c r="BH21" s="180">
        <v>163202</v>
      </c>
      <c r="BI21" s="180">
        <v>5204</v>
      </c>
      <c r="BJ21" s="181">
        <v>685891</v>
      </c>
      <c r="BK21" s="179"/>
      <c r="BL21" s="180"/>
      <c r="BM21" s="180"/>
      <c r="BN21" s="180"/>
      <c r="BO21" s="180"/>
      <c r="BP21" s="180"/>
      <c r="BQ21" s="180"/>
      <c r="BR21" s="180"/>
      <c r="BS21" s="180"/>
      <c r="BT21" s="180"/>
      <c r="BU21" s="180"/>
      <c r="BV21" s="180"/>
      <c r="BW21" s="180"/>
      <c r="BX21" s="180"/>
      <c r="BY21" s="180"/>
      <c r="BZ21" s="180"/>
      <c r="CA21" s="180"/>
      <c r="CB21" s="180"/>
      <c r="CC21" s="180"/>
      <c r="CD21" s="181"/>
      <c r="CE21" s="179">
        <v>87</v>
      </c>
      <c r="CF21" s="180">
        <v>7004</v>
      </c>
      <c r="CG21" s="180">
        <v>488</v>
      </c>
      <c r="CH21" s="180">
        <v>38629</v>
      </c>
      <c r="CI21" s="180">
        <v>243</v>
      </c>
      <c r="CJ21" s="180">
        <v>30391</v>
      </c>
      <c r="CK21" s="180">
        <v>1971</v>
      </c>
      <c r="CL21" s="180">
        <v>251532</v>
      </c>
      <c r="CM21" s="180">
        <v>210</v>
      </c>
      <c r="CN21" s="180">
        <v>24047</v>
      </c>
      <c r="CO21" s="180">
        <v>3339</v>
      </c>
      <c r="CP21" s="180">
        <v>393651</v>
      </c>
      <c r="CQ21" s="180">
        <v>390</v>
      </c>
      <c r="CR21" s="180">
        <v>57426</v>
      </c>
      <c r="CS21" s="180">
        <v>3189</v>
      </c>
      <c r="CT21" s="180">
        <v>486367</v>
      </c>
      <c r="CU21" s="180">
        <v>931</v>
      </c>
      <c r="CV21" s="180">
        <v>118868</v>
      </c>
      <c r="CW21" s="180">
        <v>8987</v>
      </c>
      <c r="CX21" s="181">
        <v>1170180</v>
      </c>
      <c r="CY21" s="179">
        <v>65</v>
      </c>
      <c r="CZ21" s="180">
        <v>5649</v>
      </c>
      <c r="DA21" s="180">
        <v>607</v>
      </c>
      <c r="DB21" s="180">
        <v>48576</v>
      </c>
      <c r="DC21" s="180">
        <v>352</v>
      </c>
      <c r="DD21" s="180">
        <v>48963</v>
      </c>
      <c r="DE21" s="180">
        <v>2522</v>
      </c>
      <c r="DF21" s="180">
        <v>323358</v>
      </c>
      <c r="DG21" s="180">
        <v>417</v>
      </c>
      <c r="DH21" s="180">
        <v>52755</v>
      </c>
      <c r="DI21" s="180">
        <v>4023</v>
      </c>
      <c r="DJ21" s="180">
        <v>479801</v>
      </c>
      <c r="DK21" s="180">
        <v>547</v>
      </c>
      <c r="DL21" s="180">
        <v>81082</v>
      </c>
      <c r="DM21" s="180">
        <v>4016</v>
      </c>
      <c r="DN21" s="180">
        <v>610788</v>
      </c>
      <c r="DO21" s="180">
        <v>1381</v>
      </c>
      <c r="DP21" s="180">
        <v>188450</v>
      </c>
      <c r="DQ21" s="180">
        <v>11168</v>
      </c>
      <c r="DR21" s="181">
        <v>1462523</v>
      </c>
      <c r="DS21" s="179"/>
      <c r="DT21" s="180"/>
      <c r="DU21" s="180"/>
      <c r="DV21" s="180"/>
      <c r="DW21" s="180"/>
      <c r="DX21" s="180"/>
      <c r="DY21" s="180"/>
      <c r="DZ21" s="180"/>
      <c r="EA21" s="180"/>
      <c r="EB21" s="180"/>
      <c r="EC21" s="180"/>
      <c r="ED21" s="180"/>
      <c r="EE21" s="180"/>
      <c r="EF21" s="180"/>
      <c r="EG21" s="180"/>
      <c r="EH21" s="180"/>
      <c r="EI21" s="180"/>
      <c r="EJ21" s="180"/>
      <c r="EK21" s="180"/>
      <c r="EL21" s="181"/>
      <c r="EM21" s="179">
        <v>39</v>
      </c>
      <c r="EN21" s="180">
        <v>3685</v>
      </c>
      <c r="EO21" s="180">
        <v>845</v>
      </c>
      <c r="EP21" s="180">
        <v>69015</v>
      </c>
      <c r="EQ21" s="180">
        <v>207</v>
      </c>
      <c r="ER21" s="180">
        <v>23555</v>
      </c>
      <c r="ES21" s="180">
        <v>3410</v>
      </c>
      <c r="ET21" s="180">
        <v>433780</v>
      </c>
      <c r="EU21" s="180">
        <v>261</v>
      </c>
      <c r="EV21" s="180">
        <v>30236</v>
      </c>
      <c r="EW21" s="180">
        <v>5206</v>
      </c>
      <c r="EX21" s="180">
        <v>618644</v>
      </c>
      <c r="EY21" s="180">
        <v>431</v>
      </c>
      <c r="EZ21" s="180">
        <v>69364</v>
      </c>
      <c r="FA21" s="180">
        <v>5404</v>
      </c>
      <c r="FB21" s="180">
        <v>826188</v>
      </c>
      <c r="FC21" s="180">
        <v>937</v>
      </c>
      <c r="FD21" s="180">
        <v>126839</v>
      </c>
      <c r="FE21" s="180">
        <v>14865</v>
      </c>
      <c r="FF21" s="181">
        <v>1947625</v>
      </c>
      <c r="FG21" s="179">
        <v>84</v>
      </c>
      <c r="FH21" s="180">
        <v>6097</v>
      </c>
      <c r="FI21" s="180">
        <v>1012</v>
      </c>
      <c r="FJ21" s="180">
        <v>82378</v>
      </c>
      <c r="FK21" s="180">
        <v>348</v>
      </c>
      <c r="FL21" s="180">
        <v>47506</v>
      </c>
      <c r="FM21" s="180">
        <v>3937</v>
      </c>
      <c r="FN21" s="180">
        <v>506973</v>
      </c>
      <c r="FO21" s="180">
        <v>494</v>
      </c>
      <c r="FP21" s="180">
        <v>56622</v>
      </c>
      <c r="FQ21" s="180">
        <v>5988</v>
      </c>
      <c r="FR21" s="180">
        <v>716107</v>
      </c>
      <c r="FS21" s="180">
        <v>488</v>
      </c>
      <c r="FT21" s="180">
        <v>74852</v>
      </c>
      <c r="FU21" s="180">
        <v>6106</v>
      </c>
      <c r="FV21" s="180">
        <v>932969</v>
      </c>
      <c r="FW21" s="180">
        <v>1415</v>
      </c>
      <c r="FX21" s="180">
        <v>185077</v>
      </c>
      <c r="FY21" s="180">
        <v>17042</v>
      </c>
      <c r="FZ21" s="181">
        <v>2238426</v>
      </c>
      <c r="GA21" s="179"/>
      <c r="GB21" s="180"/>
      <c r="GC21" s="180"/>
      <c r="GD21" s="180"/>
      <c r="GE21" s="180"/>
      <c r="GF21" s="180"/>
      <c r="GG21" s="180"/>
      <c r="GH21" s="180"/>
      <c r="GI21" s="180"/>
      <c r="GJ21" s="180"/>
      <c r="GK21" s="180"/>
      <c r="GL21" s="180"/>
      <c r="GM21" s="180"/>
      <c r="GN21" s="180"/>
      <c r="GO21" s="180"/>
      <c r="GP21" s="180"/>
      <c r="GQ21" s="180"/>
      <c r="GR21" s="180"/>
      <c r="GS21" s="180"/>
      <c r="GT21" s="181"/>
      <c r="GU21" s="179">
        <v>87</v>
      </c>
      <c r="GV21" s="180">
        <v>5985</v>
      </c>
      <c r="GW21" s="180">
        <v>1302</v>
      </c>
      <c r="GX21" s="180">
        <v>103242</v>
      </c>
      <c r="GY21" s="180">
        <v>243</v>
      </c>
      <c r="GZ21" s="180">
        <v>26805</v>
      </c>
      <c r="HA21" s="180">
        <v>4866</v>
      </c>
      <c r="HB21" s="180">
        <v>626223</v>
      </c>
      <c r="HC21" s="180">
        <v>283</v>
      </c>
      <c r="HD21" s="180">
        <v>36115</v>
      </c>
      <c r="HE21" s="180">
        <v>7342</v>
      </c>
      <c r="HF21" s="180">
        <v>880798</v>
      </c>
      <c r="HG21" s="180">
        <v>423</v>
      </c>
      <c r="HH21" s="180">
        <v>65854</v>
      </c>
      <c r="HI21" s="180">
        <v>7441</v>
      </c>
      <c r="HJ21" s="180">
        <v>1144312</v>
      </c>
      <c r="HK21" s="180">
        <v>1036</v>
      </c>
      <c r="HL21" s="180">
        <v>134759</v>
      </c>
      <c r="HM21" s="180">
        <v>20951</v>
      </c>
      <c r="HN21" s="181">
        <v>2754577</v>
      </c>
      <c r="HO21" s="179">
        <v>89</v>
      </c>
      <c r="HP21" s="180">
        <v>6677</v>
      </c>
      <c r="HQ21" s="180">
        <v>1424</v>
      </c>
      <c r="HR21" s="180">
        <v>111989</v>
      </c>
      <c r="HS21" s="180">
        <v>313</v>
      </c>
      <c r="HT21" s="180">
        <v>45621</v>
      </c>
      <c r="HU21" s="180">
        <v>5322</v>
      </c>
      <c r="HV21" s="180">
        <v>691156</v>
      </c>
      <c r="HW21" s="180">
        <v>475</v>
      </c>
      <c r="HX21" s="180">
        <v>55375</v>
      </c>
      <c r="HY21" s="180">
        <v>8206</v>
      </c>
      <c r="HZ21" s="180">
        <v>984163</v>
      </c>
      <c r="IA21" s="180">
        <v>516</v>
      </c>
      <c r="IB21" s="180">
        <v>81222</v>
      </c>
      <c r="IC21" s="180">
        <v>8190</v>
      </c>
      <c r="ID21" s="180">
        <v>1270526</v>
      </c>
      <c r="IE21" s="180">
        <v>1394</v>
      </c>
      <c r="IF21" s="180">
        <v>188896</v>
      </c>
      <c r="IG21" s="180">
        <v>23143</v>
      </c>
      <c r="IH21" s="181">
        <v>3057834</v>
      </c>
    </row>
    <row r="22" spans="2:242">
      <c r="B22" s="175">
        <v>20</v>
      </c>
      <c r="C22" s="179">
        <v>45</v>
      </c>
      <c r="D22" s="180">
        <v>2952</v>
      </c>
      <c r="E22" s="180">
        <v>45</v>
      </c>
      <c r="F22" s="180">
        <v>2952</v>
      </c>
      <c r="G22" s="180">
        <v>281</v>
      </c>
      <c r="H22" s="180">
        <v>39079</v>
      </c>
      <c r="I22" s="180">
        <v>281</v>
      </c>
      <c r="J22" s="180">
        <v>39079</v>
      </c>
      <c r="K22" s="180">
        <v>292</v>
      </c>
      <c r="L22" s="180">
        <v>42339</v>
      </c>
      <c r="M22" s="180">
        <v>292</v>
      </c>
      <c r="N22" s="180">
        <v>42339</v>
      </c>
      <c r="O22" s="180">
        <v>432</v>
      </c>
      <c r="P22" s="180">
        <v>66476</v>
      </c>
      <c r="Q22" s="180">
        <v>432</v>
      </c>
      <c r="R22" s="180">
        <v>66476</v>
      </c>
      <c r="S22" s="180">
        <v>1050</v>
      </c>
      <c r="T22" s="180">
        <v>150847</v>
      </c>
      <c r="U22" s="180">
        <v>1050</v>
      </c>
      <c r="V22" s="181">
        <v>150847</v>
      </c>
      <c r="W22" s="179">
        <v>59</v>
      </c>
      <c r="X22" s="180">
        <v>4233</v>
      </c>
      <c r="Y22" s="180">
        <v>171</v>
      </c>
      <c r="Z22" s="180">
        <v>12429</v>
      </c>
      <c r="AA22" s="180">
        <v>227</v>
      </c>
      <c r="AB22" s="180">
        <v>28330</v>
      </c>
      <c r="AC22" s="180">
        <v>742</v>
      </c>
      <c r="AD22" s="180">
        <v>94599</v>
      </c>
      <c r="AE22" s="180">
        <v>434</v>
      </c>
      <c r="AF22" s="180">
        <v>53968</v>
      </c>
      <c r="AG22" s="180">
        <v>1204</v>
      </c>
      <c r="AH22" s="180">
        <v>147460</v>
      </c>
      <c r="AI22" s="180">
        <v>464</v>
      </c>
      <c r="AJ22" s="180">
        <v>70744</v>
      </c>
      <c r="AK22" s="180">
        <v>1138</v>
      </c>
      <c r="AL22" s="180">
        <v>174974</v>
      </c>
      <c r="AM22" s="180">
        <v>1182</v>
      </c>
      <c r="AN22" s="180">
        <v>157275</v>
      </c>
      <c r="AO22" s="180">
        <v>3256</v>
      </c>
      <c r="AP22" s="181">
        <v>429461</v>
      </c>
      <c r="AQ22" s="179">
        <v>90</v>
      </c>
      <c r="AR22" s="180">
        <v>8265</v>
      </c>
      <c r="AS22" s="180">
        <v>283</v>
      </c>
      <c r="AT22" s="180">
        <v>22084</v>
      </c>
      <c r="AU22" s="180">
        <v>319</v>
      </c>
      <c r="AV22" s="180">
        <v>46817</v>
      </c>
      <c r="AW22" s="180">
        <v>1199</v>
      </c>
      <c r="AX22" s="180">
        <v>158250</v>
      </c>
      <c r="AY22" s="180">
        <v>396</v>
      </c>
      <c r="AZ22" s="180">
        <v>45246</v>
      </c>
      <c r="BA22" s="180">
        <v>2010</v>
      </c>
      <c r="BB22" s="180">
        <v>238227</v>
      </c>
      <c r="BC22" s="180">
        <v>461</v>
      </c>
      <c r="BD22" s="180">
        <v>73545</v>
      </c>
      <c r="BE22" s="180">
        <v>1794</v>
      </c>
      <c r="BF22" s="180">
        <v>278004</v>
      </c>
      <c r="BG22" s="180">
        <v>1265</v>
      </c>
      <c r="BH22" s="180">
        <v>173873</v>
      </c>
      <c r="BI22" s="180">
        <v>5287</v>
      </c>
      <c r="BJ22" s="181">
        <v>696564</v>
      </c>
      <c r="BK22" s="179"/>
      <c r="BL22" s="180"/>
      <c r="BM22" s="180"/>
      <c r="BN22" s="180"/>
      <c r="BO22" s="180"/>
      <c r="BP22" s="180"/>
      <c r="BQ22" s="180"/>
      <c r="BR22" s="180"/>
      <c r="BS22" s="180"/>
      <c r="BT22" s="180"/>
      <c r="BU22" s="180"/>
      <c r="BV22" s="180"/>
      <c r="BW22" s="180"/>
      <c r="BX22" s="180"/>
      <c r="BY22" s="180"/>
      <c r="BZ22" s="180"/>
      <c r="CA22" s="180"/>
      <c r="CB22" s="180"/>
      <c r="CC22" s="180"/>
      <c r="CD22" s="181"/>
      <c r="CE22" s="179">
        <v>87</v>
      </c>
      <c r="CF22" s="180">
        <v>7004</v>
      </c>
      <c r="CG22" s="180">
        <v>488</v>
      </c>
      <c r="CH22" s="180">
        <v>38629</v>
      </c>
      <c r="CI22" s="180">
        <v>267</v>
      </c>
      <c r="CJ22" s="180">
        <v>33747</v>
      </c>
      <c r="CK22" s="180">
        <v>1995</v>
      </c>
      <c r="CL22" s="180">
        <v>254889</v>
      </c>
      <c r="CM22" s="180">
        <v>247</v>
      </c>
      <c r="CN22" s="180">
        <v>27515</v>
      </c>
      <c r="CO22" s="180">
        <v>3376</v>
      </c>
      <c r="CP22" s="180">
        <v>397119</v>
      </c>
      <c r="CQ22" s="180">
        <v>418</v>
      </c>
      <c r="CR22" s="180">
        <v>61866</v>
      </c>
      <c r="CS22" s="180">
        <v>3216</v>
      </c>
      <c r="CT22" s="180">
        <v>490807</v>
      </c>
      <c r="CU22" s="180">
        <v>1019</v>
      </c>
      <c r="CV22" s="180">
        <v>130131</v>
      </c>
      <c r="CW22" s="180">
        <v>9075</v>
      </c>
      <c r="CX22" s="181">
        <v>1181442</v>
      </c>
      <c r="CY22" s="179">
        <v>74</v>
      </c>
      <c r="CZ22" s="180">
        <v>6455</v>
      </c>
      <c r="DA22" s="180">
        <v>616</v>
      </c>
      <c r="DB22" s="180">
        <v>49382</v>
      </c>
      <c r="DC22" s="180">
        <v>390</v>
      </c>
      <c r="DD22" s="180">
        <v>53234</v>
      </c>
      <c r="DE22" s="180">
        <v>2559</v>
      </c>
      <c r="DF22" s="180">
        <v>327629</v>
      </c>
      <c r="DG22" s="180">
        <v>482</v>
      </c>
      <c r="DH22" s="180">
        <v>61885</v>
      </c>
      <c r="DI22" s="180">
        <v>4087</v>
      </c>
      <c r="DJ22" s="180">
        <v>488930</v>
      </c>
      <c r="DK22" s="180">
        <v>586</v>
      </c>
      <c r="DL22" s="180">
        <v>87860</v>
      </c>
      <c r="DM22" s="180">
        <v>4055</v>
      </c>
      <c r="DN22" s="180">
        <v>617566</v>
      </c>
      <c r="DO22" s="180">
        <v>1532</v>
      </c>
      <c r="DP22" s="180">
        <v>209434</v>
      </c>
      <c r="DQ22" s="180">
        <v>11318</v>
      </c>
      <c r="DR22" s="181">
        <v>1483506</v>
      </c>
      <c r="DS22" s="179"/>
      <c r="DT22" s="180"/>
      <c r="DU22" s="180"/>
      <c r="DV22" s="180"/>
      <c r="DW22" s="180"/>
      <c r="DX22" s="180"/>
      <c r="DY22" s="180"/>
      <c r="DZ22" s="180"/>
      <c r="EA22" s="180"/>
      <c r="EB22" s="180"/>
      <c r="EC22" s="180"/>
      <c r="ED22" s="180"/>
      <c r="EE22" s="180"/>
      <c r="EF22" s="180"/>
      <c r="EG22" s="180"/>
      <c r="EH22" s="180"/>
      <c r="EI22" s="180"/>
      <c r="EJ22" s="180"/>
      <c r="EK22" s="180"/>
      <c r="EL22" s="181"/>
      <c r="EM22" s="179">
        <v>40</v>
      </c>
      <c r="EN22" s="180">
        <v>3792</v>
      </c>
      <c r="EO22" s="180">
        <v>847</v>
      </c>
      <c r="EP22" s="180">
        <v>69122</v>
      </c>
      <c r="EQ22" s="180">
        <v>232</v>
      </c>
      <c r="ER22" s="180">
        <v>25960</v>
      </c>
      <c r="ES22" s="180">
        <v>3435</v>
      </c>
      <c r="ET22" s="180">
        <v>436185</v>
      </c>
      <c r="EU22" s="180">
        <v>273</v>
      </c>
      <c r="EV22" s="180">
        <v>31908</v>
      </c>
      <c r="EW22" s="180">
        <v>5218</v>
      </c>
      <c r="EX22" s="180">
        <v>620316</v>
      </c>
      <c r="EY22" s="180">
        <v>465</v>
      </c>
      <c r="EZ22" s="180">
        <v>74091</v>
      </c>
      <c r="FA22" s="180">
        <v>5439</v>
      </c>
      <c r="FB22" s="180">
        <v>830916</v>
      </c>
      <c r="FC22" s="180">
        <v>1011</v>
      </c>
      <c r="FD22" s="180">
        <v>135750</v>
      </c>
      <c r="FE22" s="180">
        <v>14938</v>
      </c>
      <c r="FF22" s="181">
        <v>1956540</v>
      </c>
      <c r="FG22" s="179"/>
      <c r="FH22" s="180"/>
      <c r="FI22" s="180"/>
      <c r="FJ22" s="180"/>
      <c r="FK22" s="180"/>
      <c r="FL22" s="180"/>
      <c r="FM22" s="180"/>
      <c r="FN22" s="180"/>
      <c r="FO22" s="180"/>
      <c r="FP22" s="180"/>
      <c r="FQ22" s="180"/>
      <c r="FR22" s="180"/>
      <c r="FS22" s="180"/>
      <c r="FT22" s="180"/>
      <c r="FU22" s="180"/>
      <c r="FV22" s="180"/>
      <c r="FW22" s="180"/>
      <c r="FX22" s="180"/>
      <c r="FY22" s="180"/>
      <c r="FZ22" s="181"/>
      <c r="GA22" s="179">
        <v>99</v>
      </c>
      <c r="GB22" s="180">
        <v>7089</v>
      </c>
      <c r="GC22" s="180">
        <v>1164</v>
      </c>
      <c r="GD22" s="180">
        <v>93789</v>
      </c>
      <c r="GE22" s="180">
        <v>333</v>
      </c>
      <c r="GF22" s="180">
        <v>46276</v>
      </c>
      <c r="GG22" s="180">
        <v>4440</v>
      </c>
      <c r="GH22" s="180">
        <v>576372</v>
      </c>
      <c r="GI22" s="180">
        <v>466</v>
      </c>
      <c r="GJ22" s="180">
        <v>54308</v>
      </c>
      <c r="GK22" s="180">
        <v>6694</v>
      </c>
      <c r="GL22" s="180">
        <v>802269</v>
      </c>
      <c r="GM22" s="180">
        <v>419</v>
      </c>
      <c r="GN22" s="180">
        <v>64086</v>
      </c>
      <c r="GO22" s="180">
        <v>6742</v>
      </c>
      <c r="GP22" s="180">
        <v>1032264</v>
      </c>
      <c r="GQ22" s="180">
        <v>1316</v>
      </c>
      <c r="GR22" s="180">
        <v>171759</v>
      </c>
      <c r="GS22" s="180">
        <v>19041</v>
      </c>
      <c r="GT22" s="181">
        <v>2504693</v>
      </c>
      <c r="GU22" s="179">
        <v>87</v>
      </c>
      <c r="GV22" s="180">
        <v>5985</v>
      </c>
      <c r="GW22" s="180">
        <v>1302</v>
      </c>
      <c r="GX22" s="180">
        <v>103242</v>
      </c>
      <c r="GY22" s="180">
        <v>271</v>
      </c>
      <c r="GZ22" s="180">
        <v>30061</v>
      </c>
      <c r="HA22" s="180">
        <v>4894</v>
      </c>
      <c r="HB22" s="180">
        <v>629480</v>
      </c>
      <c r="HC22" s="180">
        <v>379</v>
      </c>
      <c r="HD22" s="180">
        <v>48831</v>
      </c>
      <c r="HE22" s="180">
        <v>7437</v>
      </c>
      <c r="HF22" s="180">
        <v>893513</v>
      </c>
      <c r="HG22" s="180">
        <v>453</v>
      </c>
      <c r="HH22" s="180">
        <v>69717</v>
      </c>
      <c r="HI22" s="180">
        <v>7471</v>
      </c>
      <c r="HJ22" s="180">
        <v>1148175</v>
      </c>
      <c r="HK22" s="180">
        <v>1189</v>
      </c>
      <c r="HL22" s="180">
        <v>154593</v>
      </c>
      <c r="HM22" s="180">
        <v>21104</v>
      </c>
      <c r="HN22" s="181">
        <v>2774411</v>
      </c>
      <c r="HO22" s="179"/>
      <c r="HP22" s="180"/>
      <c r="HQ22" s="180"/>
      <c r="HR22" s="180"/>
      <c r="HS22" s="180"/>
      <c r="HT22" s="180"/>
      <c r="HU22" s="180"/>
      <c r="HV22" s="180"/>
      <c r="HW22" s="180"/>
      <c r="HX22" s="180"/>
      <c r="HY22" s="180"/>
      <c r="HZ22" s="180"/>
      <c r="IA22" s="180"/>
      <c r="IB22" s="180"/>
      <c r="IC22" s="180"/>
      <c r="ID22" s="180"/>
      <c r="IE22" s="180"/>
      <c r="IF22" s="180"/>
      <c r="IG22" s="180"/>
      <c r="IH22" s="181"/>
    </row>
    <row r="23" spans="2:242">
      <c r="B23" s="175">
        <v>21</v>
      </c>
      <c r="C23" s="179">
        <v>55</v>
      </c>
      <c r="D23" s="180">
        <v>3808</v>
      </c>
      <c r="E23" s="180">
        <v>55</v>
      </c>
      <c r="F23" s="180">
        <v>3808</v>
      </c>
      <c r="G23" s="180">
        <v>284</v>
      </c>
      <c r="H23" s="180">
        <v>39042</v>
      </c>
      <c r="I23" s="180">
        <v>284</v>
      </c>
      <c r="J23" s="180">
        <v>39042</v>
      </c>
      <c r="K23" s="180">
        <v>296</v>
      </c>
      <c r="L23" s="180">
        <v>42785</v>
      </c>
      <c r="M23" s="180">
        <v>296</v>
      </c>
      <c r="N23" s="180">
        <v>42785</v>
      </c>
      <c r="O23" s="180">
        <v>476</v>
      </c>
      <c r="P23" s="180">
        <v>74224</v>
      </c>
      <c r="Q23" s="180">
        <v>476</v>
      </c>
      <c r="R23" s="180">
        <v>74224</v>
      </c>
      <c r="S23" s="180">
        <v>1112</v>
      </c>
      <c r="T23" s="180">
        <v>159860</v>
      </c>
      <c r="U23" s="180">
        <v>1112</v>
      </c>
      <c r="V23" s="181">
        <v>159860</v>
      </c>
      <c r="W23" s="179">
        <v>64</v>
      </c>
      <c r="X23" s="180">
        <v>4574</v>
      </c>
      <c r="Y23" s="180">
        <v>176</v>
      </c>
      <c r="Z23" s="180">
        <v>12770</v>
      </c>
      <c r="AA23" s="180">
        <v>265</v>
      </c>
      <c r="AB23" s="180">
        <v>32434</v>
      </c>
      <c r="AC23" s="180">
        <v>781</v>
      </c>
      <c r="AD23" s="180">
        <v>98703</v>
      </c>
      <c r="AE23" s="180">
        <v>491</v>
      </c>
      <c r="AF23" s="180">
        <v>61222</v>
      </c>
      <c r="AG23" s="180">
        <v>1262</v>
      </c>
      <c r="AH23" s="180">
        <v>154715</v>
      </c>
      <c r="AI23" s="180">
        <v>506</v>
      </c>
      <c r="AJ23" s="180">
        <v>76996</v>
      </c>
      <c r="AK23" s="180">
        <v>1181</v>
      </c>
      <c r="AL23" s="180">
        <v>181228</v>
      </c>
      <c r="AM23" s="180">
        <v>1325</v>
      </c>
      <c r="AN23" s="180">
        <v>175227</v>
      </c>
      <c r="AO23" s="180">
        <v>3399</v>
      </c>
      <c r="AP23" s="181">
        <v>447415</v>
      </c>
      <c r="AQ23" s="179">
        <v>91</v>
      </c>
      <c r="AR23" s="180">
        <v>8331</v>
      </c>
      <c r="AS23" s="180">
        <v>285</v>
      </c>
      <c r="AT23" s="180">
        <v>22149</v>
      </c>
      <c r="AU23" s="180">
        <v>320</v>
      </c>
      <c r="AV23" s="180">
        <v>46933</v>
      </c>
      <c r="AW23" s="180">
        <v>1201</v>
      </c>
      <c r="AX23" s="180">
        <v>158365</v>
      </c>
      <c r="AY23" s="180">
        <v>482</v>
      </c>
      <c r="AZ23" s="180">
        <v>55428</v>
      </c>
      <c r="BA23" s="180">
        <v>2097</v>
      </c>
      <c r="BB23" s="180">
        <v>248410</v>
      </c>
      <c r="BC23" s="180">
        <v>501</v>
      </c>
      <c r="BD23" s="180">
        <v>79729</v>
      </c>
      <c r="BE23" s="180">
        <v>1835</v>
      </c>
      <c r="BF23" s="180">
        <v>284187</v>
      </c>
      <c r="BG23" s="180">
        <v>1395</v>
      </c>
      <c r="BH23" s="180">
        <v>190422</v>
      </c>
      <c r="BI23" s="180">
        <v>5417</v>
      </c>
      <c r="BJ23" s="181">
        <v>713110</v>
      </c>
      <c r="BK23" s="179"/>
      <c r="BL23" s="180"/>
      <c r="BM23" s="180"/>
      <c r="BN23" s="180"/>
      <c r="BO23" s="180"/>
      <c r="BP23" s="180"/>
      <c r="BQ23" s="180"/>
      <c r="BR23" s="180"/>
      <c r="BS23" s="180"/>
      <c r="BT23" s="180"/>
      <c r="BU23" s="180"/>
      <c r="BV23" s="180"/>
      <c r="BW23" s="180"/>
      <c r="BX23" s="180"/>
      <c r="BY23" s="180"/>
      <c r="BZ23" s="180"/>
      <c r="CA23" s="180"/>
      <c r="CB23" s="180"/>
      <c r="CC23" s="180"/>
      <c r="CD23" s="181"/>
      <c r="CE23" s="179">
        <v>91</v>
      </c>
      <c r="CF23" s="180">
        <v>7253</v>
      </c>
      <c r="CG23" s="180">
        <v>492</v>
      </c>
      <c r="CH23" s="180">
        <v>38878</v>
      </c>
      <c r="CI23" s="180">
        <v>289</v>
      </c>
      <c r="CJ23" s="180">
        <v>35585</v>
      </c>
      <c r="CK23" s="180">
        <v>2016</v>
      </c>
      <c r="CL23" s="180">
        <v>256728</v>
      </c>
      <c r="CM23" s="180">
        <v>272</v>
      </c>
      <c r="CN23" s="180">
        <v>30933</v>
      </c>
      <c r="CO23" s="180">
        <v>3402</v>
      </c>
      <c r="CP23" s="180">
        <v>400537</v>
      </c>
      <c r="CQ23" s="180">
        <v>464</v>
      </c>
      <c r="CR23" s="180">
        <v>69190</v>
      </c>
      <c r="CS23" s="180">
        <v>3262</v>
      </c>
      <c r="CT23" s="180">
        <v>498130</v>
      </c>
      <c r="CU23" s="180">
        <v>1116</v>
      </c>
      <c r="CV23" s="180">
        <v>142961</v>
      </c>
      <c r="CW23" s="180">
        <v>9171</v>
      </c>
      <c r="CX23" s="181">
        <v>1194274</v>
      </c>
      <c r="CY23" s="179"/>
      <c r="CZ23" s="180"/>
      <c r="DA23" s="180"/>
      <c r="DB23" s="180"/>
      <c r="DC23" s="180"/>
      <c r="DD23" s="180"/>
      <c r="DE23" s="180"/>
      <c r="DF23" s="180"/>
      <c r="DG23" s="180"/>
      <c r="DH23" s="180"/>
      <c r="DI23" s="180"/>
      <c r="DJ23" s="180"/>
      <c r="DK23" s="180"/>
      <c r="DL23" s="180"/>
      <c r="DM23" s="180"/>
      <c r="DN23" s="180"/>
      <c r="DO23" s="180"/>
      <c r="DP23" s="180"/>
      <c r="DQ23" s="180"/>
      <c r="DR23" s="181"/>
      <c r="DS23" s="179">
        <v>84</v>
      </c>
      <c r="DT23" s="180">
        <v>6491</v>
      </c>
      <c r="DU23" s="180">
        <v>728</v>
      </c>
      <c r="DV23" s="180">
        <v>58147</v>
      </c>
      <c r="DW23" s="180">
        <v>374</v>
      </c>
      <c r="DX23" s="180">
        <v>49616</v>
      </c>
      <c r="DY23" s="180">
        <v>3059</v>
      </c>
      <c r="DZ23" s="180">
        <v>393585</v>
      </c>
      <c r="EA23" s="180">
        <v>408</v>
      </c>
      <c r="EB23" s="180">
        <v>49950</v>
      </c>
      <c r="EC23" s="180">
        <v>4697</v>
      </c>
      <c r="ED23" s="180">
        <v>563462</v>
      </c>
      <c r="EE23" s="180">
        <v>563</v>
      </c>
      <c r="EF23" s="180">
        <v>84816</v>
      </c>
      <c r="EG23" s="180">
        <v>4797</v>
      </c>
      <c r="EH23" s="180">
        <v>728734</v>
      </c>
      <c r="EI23" s="180">
        <v>1430</v>
      </c>
      <c r="EJ23" s="180">
        <v>190875</v>
      </c>
      <c r="EK23" s="180">
        <v>13282</v>
      </c>
      <c r="EL23" s="181">
        <v>1743928</v>
      </c>
      <c r="EM23" s="179">
        <v>43</v>
      </c>
      <c r="EN23" s="180">
        <v>4416</v>
      </c>
      <c r="EO23" s="180">
        <v>850</v>
      </c>
      <c r="EP23" s="180">
        <v>69747</v>
      </c>
      <c r="EQ23" s="180">
        <v>251</v>
      </c>
      <c r="ER23" s="180">
        <v>29054</v>
      </c>
      <c r="ES23" s="180">
        <v>3454</v>
      </c>
      <c r="ET23" s="180">
        <v>439279</v>
      </c>
      <c r="EU23" s="180">
        <v>336</v>
      </c>
      <c r="EV23" s="180">
        <v>40565</v>
      </c>
      <c r="EW23" s="180">
        <v>5281</v>
      </c>
      <c r="EX23" s="180">
        <v>628973</v>
      </c>
      <c r="EY23" s="180">
        <v>493</v>
      </c>
      <c r="EZ23" s="180">
        <v>78095</v>
      </c>
      <c r="FA23" s="180">
        <v>5466</v>
      </c>
      <c r="FB23" s="180">
        <v>834921</v>
      </c>
      <c r="FC23" s="180">
        <v>1123</v>
      </c>
      <c r="FD23" s="180">
        <v>152130</v>
      </c>
      <c r="FE23" s="180">
        <v>15050</v>
      </c>
      <c r="FF23" s="181">
        <v>1972918</v>
      </c>
      <c r="FG23" s="179"/>
      <c r="FH23" s="180"/>
      <c r="FI23" s="180"/>
      <c r="FJ23" s="180"/>
      <c r="FK23" s="180"/>
      <c r="FL23" s="180"/>
      <c r="FM23" s="180"/>
      <c r="FN23" s="180"/>
      <c r="FO23" s="180"/>
      <c r="FP23" s="180"/>
      <c r="FQ23" s="180"/>
      <c r="FR23" s="180"/>
      <c r="FS23" s="180"/>
      <c r="FT23" s="180"/>
      <c r="FU23" s="180"/>
      <c r="FV23" s="180"/>
      <c r="FW23" s="180"/>
      <c r="FX23" s="180"/>
      <c r="FY23" s="180"/>
      <c r="FZ23" s="181"/>
      <c r="GA23" s="179">
        <v>114</v>
      </c>
      <c r="GB23" s="180">
        <v>8139</v>
      </c>
      <c r="GC23" s="180">
        <v>1179</v>
      </c>
      <c r="GD23" s="180">
        <v>94838</v>
      </c>
      <c r="GE23" s="180">
        <v>376</v>
      </c>
      <c r="GF23" s="180">
        <v>52855</v>
      </c>
      <c r="GG23" s="180">
        <v>4483</v>
      </c>
      <c r="GH23" s="180">
        <v>582950</v>
      </c>
      <c r="GI23" s="180">
        <v>482</v>
      </c>
      <c r="GJ23" s="180">
        <v>56125</v>
      </c>
      <c r="GK23" s="180">
        <v>6709</v>
      </c>
      <c r="GL23" s="180">
        <v>804086</v>
      </c>
      <c r="GM23" s="180">
        <v>453</v>
      </c>
      <c r="GN23" s="180">
        <v>68841</v>
      </c>
      <c r="GO23" s="180">
        <v>6775</v>
      </c>
      <c r="GP23" s="180">
        <v>1037019</v>
      </c>
      <c r="GQ23" s="180">
        <v>1423</v>
      </c>
      <c r="GR23" s="180">
        <v>185958</v>
      </c>
      <c r="GS23" s="180">
        <v>19148</v>
      </c>
      <c r="GT23" s="181">
        <v>2518892</v>
      </c>
      <c r="GU23" s="179">
        <v>100</v>
      </c>
      <c r="GV23" s="180">
        <v>6788</v>
      </c>
      <c r="GW23" s="180">
        <v>1315</v>
      </c>
      <c r="GX23" s="180">
        <v>104045</v>
      </c>
      <c r="GY23" s="180">
        <v>297</v>
      </c>
      <c r="GZ23" s="180">
        <v>33567</v>
      </c>
      <c r="HA23" s="180">
        <v>4919</v>
      </c>
      <c r="HB23" s="180">
        <v>632986</v>
      </c>
      <c r="HC23" s="180">
        <v>408</v>
      </c>
      <c r="HD23" s="180">
        <v>51663</v>
      </c>
      <c r="HE23" s="180">
        <v>7467</v>
      </c>
      <c r="HF23" s="180">
        <v>896345</v>
      </c>
      <c r="HG23" s="180">
        <v>508</v>
      </c>
      <c r="HH23" s="180">
        <v>85741</v>
      </c>
      <c r="HI23" s="180">
        <v>7526</v>
      </c>
      <c r="HJ23" s="180">
        <v>1164199</v>
      </c>
      <c r="HK23" s="180">
        <v>1313</v>
      </c>
      <c r="HL23" s="180">
        <v>177757</v>
      </c>
      <c r="HM23" s="180">
        <v>21228</v>
      </c>
      <c r="HN23" s="181">
        <v>2797575</v>
      </c>
      <c r="HO23" s="179"/>
      <c r="HP23" s="180"/>
      <c r="HQ23" s="180"/>
      <c r="HR23" s="180"/>
      <c r="HS23" s="180"/>
      <c r="HT23" s="180"/>
      <c r="HU23" s="180"/>
      <c r="HV23" s="180"/>
      <c r="HW23" s="180"/>
      <c r="HX23" s="180"/>
      <c r="HY23" s="180"/>
      <c r="HZ23" s="180"/>
      <c r="IA23" s="180"/>
      <c r="IB23" s="180"/>
      <c r="IC23" s="180"/>
      <c r="ID23" s="180"/>
      <c r="IE23" s="180"/>
      <c r="IF23" s="180"/>
      <c r="IG23" s="180"/>
      <c r="IH23" s="181"/>
    </row>
    <row r="24" spans="2:242">
      <c r="B24" s="175">
        <v>22</v>
      </c>
      <c r="C24" s="179">
        <v>68</v>
      </c>
      <c r="D24" s="180">
        <v>4599</v>
      </c>
      <c r="E24" s="180">
        <v>68</v>
      </c>
      <c r="F24" s="180">
        <v>4599</v>
      </c>
      <c r="G24" s="180">
        <v>330</v>
      </c>
      <c r="H24" s="180">
        <v>43960</v>
      </c>
      <c r="I24" s="180">
        <v>330</v>
      </c>
      <c r="J24" s="180">
        <v>43960</v>
      </c>
      <c r="K24" s="180">
        <v>361</v>
      </c>
      <c r="L24" s="180">
        <v>48252</v>
      </c>
      <c r="M24" s="180">
        <v>361</v>
      </c>
      <c r="N24" s="180">
        <v>48252</v>
      </c>
      <c r="O24" s="180">
        <v>498</v>
      </c>
      <c r="P24" s="180">
        <v>77548</v>
      </c>
      <c r="Q24" s="180">
        <v>498</v>
      </c>
      <c r="R24" s="180">
        <v>77548</v>
      </c>
      <c r="S24" s="180">
        <v>1257</v>
      </c>
      <c r="T24" s="180">
        <v>174360</v>
      </c>
      <c r="U24" s="180">
        <v>1257</v>
      </c>
      <c r="V24" s="181">
        <v>174360</v>
      </c>
      <c r="W24" s="179"/>
      <c r="X24" s="180"/>
      <c r="Y24" s="180"/>
      <c r="Z24" s="180"/>
      <c r="AA24" s="180"/>
      <c r="AB24" s="180"/>
      <c r="AC24" s="180"/>
      <c r="AD24" s="180"/>
      <c r="AE24" s="180"/>
      <c r="AF24" s="180"/>
      <c r="AG24" s="180"/>
      <c r="AH24" s="180"/>
      <c r="AI24" s="180"/>
      <c r="AJ24" s="180"/>
      <c r="AK24" s="180"/>
      <c r="AL24" s="180"/>
      <c r="AM24" s="180"/>
      <c r="AN24" s="180"/>
      <c r="AO24" s="180"/>
      <c r="AP24" s="181"/>
      <c r="AQ24" s="179"/>
      <c r="AR24" s="180"/>
      <c r="AS24" s="180"/>
      <c r="AT24" s="180"/>
      <c r="AU24" s="180"/>
      <c r="AV24" s="180"/>
      <c r="AW24" s="180"/>
      <c r="AX24" s="180"/>
      <c r="AY24" s="180"/>
      <c r="AZ24" s="180"/>
      <c r="BA24" s="180"/>
      <c r="BB24" s="180"/>
      <c r="BC24" s="180"/>
      <c r="BD24" s="180"/>
      <c r="BE24" s="180"/>
      <c r="BF24" s="180"/>
      <c r="BG24" s="180"/>
      <c r="BH24" s="180"/>
      <c r="BI24" s="180"/>
      <c r="BJ24" s="181"/>
      <c r="BK24" s="179">
        <v>83</v>
      </c>
      <c r="BL24" s="180">
        <v>6483</v>
      </c>
      <c r="BM24" s="180">
        <v>388</v>
      </c>
      <c r="BN24" s="180">
        <v>30422</v>
      </c>
      <c r="BO24" s="180">
        <v>278</v>
      </c>
      <c r="BP24" s="180">
        <v>31826</v>
      </c>
      <c r="BQ24" s="180">
        <v>1568</v>
      </c>
      <c r="BR24" s="180">
        <v>200596</v>
      </c>
      <c r="BS24" s="180">
        <v>478</v>
      </c>
      <c r="BT24" s="180">
        <v>56220</v>
      </c>
      <c r="BU24" s="180">
        <v>2884</v>
      </c>
      <c r="BV24" s="180">
        <v>343192</v>
      </c>
      <c r="BW24" s="180">
        <v>626</v>
      </c>
      <c r="BX24" s="180">
        <v>95028</v>
      </c>
      <c r="BY24" s="180">
        <v>2629</v>
      </c>
      <c r="BZ24" s="180">
        <v>403945</v>
      </c>
      <c r="CA24" s="180">
        <v>1465</v>
      </c>
      <c r="CB24" s="180">
        <v>189557</v>
      </c>
      <c r="CC24" s="180">
        <v>7469</v>
      </c>
      <c r="CD24" s="181">
        <v>978153</v>
      </c>
      <c r="CE24" s="179">
        <v>93</v>
      </c>
      <c r="CF24" s="180">
        <v>7370</v>
      </c>
      <c r="CG24" s="180">
        <v>494</v>
      </c>
      <c r="CH24" s="180">
        <v>38996</v>
      </c>
      <c r="CI24" s="180">
        <v>301</v>
      </c>
      <c r="CJ24" s="180">
        <v>37463</v>
      </c>
      <c r="CK24" s="180">
        <v>2029</v>
      </c>
      <c r="CL24" s="180">
        <v>258605</v>
      </c>
      <c r="CM24" s="180">
        <v>280</v>
      </c>
      <c r="CN24" s="180">
        <v>31771</v>
      </c>
      <c r="CO24" s="180">
        <v>3410</v>
      </c>
      <c r="CP24" s="180">
        <v>401375</v>
      </c>
      <c r="CQ24" s="180">
        <v>506</v>
      </c>
      <c r="CR24" s="180">
        <v>76219</v>
      </c>
      <c r="CS24" s="180">
        <v>3305</v>
      </c>
      <c r="CT24" s="180">
        <v>505161</v>
      </c>
      <c r="CU24" s="180">
        <v>1182</v>
      </c>
      <c r="CV24" s="180">
        <v>152825</v>
      </c>
      <c r="CW24" s="180">
        <v>9238</v>
      </c>
      <c r="CX24" s="181">
        <v>1204136</v>
      </c>
      <c r="CY24" s="179"/>
      <c r="CZ24" s="180"/>
      <c r="DA24" s="180"/>
      <c r="DB24" s="180"/>
      <c r="DC24" s="180"/>
      <c r="DD24" s="180"/>
      <c r="DE24" s="180"/>
      <c r="DF24" s="180"/>
      <c r="DG24" s="180"/>
      <c r="DH24" s="180"/>
      <c r="DI24" s="180"/>
      <c r="DJ24" s="180"/>
      <c r="DK24" s="180"/>
      <c r="DL24" s="180"/>
      <c r="DM24" s="180"/>
      <c r="DN24" s="180"/>
      <c r="DO24" s="180"/>
      <c r="DP24" s="180"/>
      <c r="DQ24" s="180"/>
      <c r="DR24" s="181"/>
      <c r="DS24" s="179">
        <v>89</v>
      </c>
      <c r="DT24" s="180">
        <v>6938</v>
      </c>
      <c r="DU24" s="180">
        <v>733</v>
      </c>
      <c r="DV24" s="180">
        <v>58594</v>
      </c>
      <c r="DW24" s="180">
        <v>387</v>
      </c>
      <c r="DX24" s="180">
        <v>50753</v>
      </c>
      <c r="DY24" s="180">
        <v>3073</v>
      </c>
      <c r="DZ24" s="180">
        <v>394722</v>
      </c>
      <c r="EA24" s="180">
        <v>455</v>
      </c>
      <c r="EB24" s="180">
        <v>54268</v>
      </c>
      <c r="EC24" s="180">
        <v>4744</v>
      </c>
      <c r="ED24" s="180">
        <v>567780</v>
      </c>
      <c r="EE24" s="180">
        <v>598</v>
      </c>
      <c r="EF24" s="180">
        <v>90060</v>
      </c>
      <c r="EG24" s="180">
        <v>4832</v>
      </c>
      <c r="EH24" s="180">
        <v>733978</v>
      </c>
      <c r="EI24" s="180">
        <v>1530</v>
      </c>
      <c r="EJ24" s="180">
        <v>202020</v>
      </c>
      <c r="EK24" s="180">
        <v>13382</v>
      </c>
      <c r="EL24" s="181">
        <v>1755075</v>
      </c>
      <c r="EM24" s="179">
        <v>43</v>
      </c>
      <c r="EN24" s="180">
        <v>4416</v>
      </c>
      <c r="EO24" s="180">
        <v>850</v>
      </c>
      <c r="EP24" s="180">
        <v>69747</v>
      </c>
      <c r="EQ24" s="180">
        <v>280</v>
      </c>
      <c r="ER24" s="180">
        <v>33165</v>
      </c>
      <c r="ES24" s="180">
        <v>3483</v>
      </c>
      <c r="ET24" s="180">
        <v>443391</v>
      </c>
      <c r="EU24" s="180">
        <v>359</v>
      </c>
      <c r="EV24" s="180">
        <v>43575</v>
      </c>
      <c r="EW24" s="180">
        <v>5304</v>
      </c>
      <c r="EX24" s="180">
        <v>631983</v>
      </c>
      <c r="EY24" s="180">
        <v>530</v>
      </c>
      <c r="EZ24" s="180">
        <v>83844</v>
      </c>
      <c r="FA24" s="180">
        <v>5503</v>
      </c>
      <c r="FB24" s="180">
        <v>840668</v>
      </c>
      <c r="FC24" s="180">
        <v>1212</v>
      </c>
      <c r="FD24" s="180">
        <v>165001</v>
      </c>
      <c r="FE24" s="180">
        <v>15139</v>
      </c>
      <c r="FF24" s="181">
        <v>1985788</v>
      </c>
      <c r="FG24" s="179">
        <v>101</v>
      </c>
      <c r="FH24" s="180">
        <v>7541</v>
      </c>
      <c r="FI24" s="180">
        <v>1030</v>
      </c>
      <c r="FJ24" s="180">
        <v>83823</v>
      </c>
      <c r="FK24" s="180">
        <v>379</v>
      </c>
      <c r="FL24" s="180">
        <v>50598</v>
      </c>
      <c r="FM24" s="180">
        <v>3967</v>
      </c>
      <c r="FN24" s="180">
        <v>510064</v>
      </c>
      <c r="FO24" s="180">
        <v>494</v>
      </c>
      <c r="FP24" s="180">
        <v>56696</v>
      </c>
      <c r="FQ24" s="180">
        <v>5988</v>
      </c>
      <c r="FR24" s="180">
        <v>716180</v>
      </c>
      <c r="FS24" s="180">
        <v>524</v>
      </c>
      <c r="FT24" s="180">
        <v>82044</v>
      </c>
      <c r="FU24" s="180">
        <v>6141</v>
      </c>
      <c r="FV24" s="180">
        <v>940161</v>
      </c>
      <c r="FW24" s="180">
        <v>1499</v>
      </c>
      <c r="FX24" s="180">
        <v>196879</v>
      </c>
      <c r="FY24" s="180">
        <v>17126</v>
      </c>
      <c r="FZ24" s="181">
        <v>2250229</v>
      </c>
      <c r="GA24" s="179">
        <v>114</v>
      </c>
      <c r="GB24" s="180">
        <v>8139</v>
      </c>
      <c r="GC24" s="180">
        <v>1179</v>
      </c>
      <c r="GD24" s="180">
        <v>94838</v>
      </c>
      <c r="GE24" s="180">
        <v>388</v>
      </c>
      <c r="GF24" s="180">
        <v>54335</v>
      </c>
      <c r="GG24" s="180">
        <v>4496</v>
      </c>
      <c r="GH24" s="180">
        <v>584429</v>
      </c>
      <c r="GI24" s="180">
        <v>509</v>
      </c>
      <c r="GJ24" s="180">
        <v>58662</v>
      </c>
      <c r="GK24" s="180">
        <v>6736</v>
      </c>
      <c r="GL24" s="180">
        <v>806622</v>
      </c>
      <c r="GM24" s="180">
        <v>485</v>
      </c>
      <c r="GN24" s="180">
        <v>74612</v>
      </c>
      <c r="GO24" s="180">
        <v>6808</v>
      </c>
      <c r="GP24" s="180">
        <v>1042791</v>
      </c>
      <c r="GQ24" s="180">
        <v>1495</v>
      </c>
      <c r="GR24" s="180">
        <v>195748</v>
      </c>
      <c r="GS24" s="180">
        <v>19220</v>
      </c>
      <c r="GT24" s="181">
        <v>2528681</v>
      </c>
      <c r="GU24" s="179"/>
      <c r="GV24" s="180"/>
      <c r="GW24" s="180"/>
      <c r="GX24" s="180"/>
      <c r="GY24" s="180"/>
      <c r="GZ24" s="180"/>
      <c r="HA24" s="180"/>
      <c r="HB24" s="180"/>
      <c r="HC24" s="180"/>
      <c r="HD24" s="180"/>
      <c r="HE24" s="180"/>
      <c r="HF24" s="180"/>
      <c r="HG24" s="180"/>
      <c r="HH24" s="180"/>
      <c r="HI24" s="180"/>
      <c r="HJ24" s="180"/>
      <c r="HK24" s="180"/>
      <c r="HL24" s="180"/>
      <c r="HM24" s="180"/>
      <c r="HN24" s="181"/>
      <c r="HO24" s="179">
        <v>93</v>
      </c>
      <c r="HP24" s="180">
        <v>7074</v>
      </c>
      <c r="HQ24" s="180">
        <v>1428</v>
      </c>
      <c r="HR24" s="180">
        <v>112387</v>
      </c>
      <c r="HS24" s="180">
        <v>326</v>
      </c>
      <c r="HT24" s="180">
        <v>47306</v>
      </c>
      <c r="HU24" s="180">
        <v>5335</v>
      </c>
      <c r="HV24" s="180">
        <v>692841</v>
      </c>
      <c r="HW24" s="180">
        <v>479</v>
      </c>
      <c r="HX24" s="180">
        <v>55740</v>
      </c>
      <c r="HY24" s="180">
        <v>8211</v>
      </c>
      <c r="HZ24" s="180">
        <v>984528</v>
      </c>
      <c r="IA24" s="180">
        <v>546</v>
      </c>
      <c r="IB24" s="180">
        <v>85517</v>
      </c>
      <c r="IC24" s="180">
        <v>8219</v>
      </c>
      <c r="ID24" s="180">
        <v>1274823</v>
      </c>
      <c r="IE24" s="180">
        <v>1445</v>
      </c>
      <c r="IF24" s="180">
        <v>195640</v>
      </c>
      <c r="IG24" s="180">
        <v>23194</v>
      </c>
      <c r="IH24" s="181">
        <v>3064576</v>
      </c>
    </row>
    <row r="25" spans="2:242">
      <c r="B25" s="175">
        <v>23</v>
      </c>
      <c r="C25" s="179">
        <v>79</v>
      </c>
      <c r="D25" s="180">
        <v>5658</v>
      </c>
      <c r="E25" s="180">
        <v>79</v>
      </c>
      <c r="F25" s="180">
        <v>5658</v>
      </c>
      <c r="G25" s="180">
        <v>356</v>
      </c>
      <c r="H25" s="180">
        <v>46639</v>
      </c>
      <c r="I25" s="180">
        <v>356</v>
      </c>
      <c r="J25" s="180">
        <v>46639</v>
      </c>
      <c r="K25" s="180">
        <v>392</v>
      </c>
      <c r="L25" s="180">
        <v>55139</v>
      </c>
      <c r="M25" s="180">
        <v>392</v>
      </c>
      <c r="N25" s="180">
        <v>55139</v>
      </c>
      <c r="O25" s="180">
        <v>530</v>
      </c>
      <c r="P25" s="180">
        <v>82561</v>
      </c>
      <c r="Q25" s="180">
        <v>530</v>
      </c>
      <c r="R25" s="180">
        <v>82561</v>
      </c>
      <c r="S25" s="180">
        <v>1355</v>
      </c>
      <c r="T25" s="180">
        <v>189998</v>
      </c>
      <c r="U25" s="180">
        <v>1355</v>
      </c>
      <c r="V25" s="181">
        <v>189998</v>
      </c>
      <c r="W25" s="179"/>
      <c r="X25" s="180"/>
      <c r="Y25" s="180"/>
      <c r="Z25" s="180"/>
      <c r="AA25" s="180"/>
      <c r="AB25" s="180"/>
      <c r="AC25" s="180"/>
      <c r="AD25" s="180"/>
      <c r="AE25" s="180"/>
      <c r="AF25" s="180"/>
      <c r="AG25" s="180"/>
      <c r="AH25" s="180"/>
      <c r="AI25" s="180"/>
      <c r="AJ25" s="180"/>
      <c r="AK25" s="180"/>
      <c r="AL25" s="180"/>
      <c r="AM25" s="180"/>
      <c r="AN25" s="180"/>
      <c r="AO25" s="180"/>
      <c r="AP25" s="181"/>
      <c r="AQ25" s="179"/>
      <c r="AR25" s="180"/>
      <c r="AS25" s="180"/>
      <c r="AT25" s="180"/>
      <c r="AU25" s="180"/>
      <c r="AV25" s="180"/>
      <c r="AW25" s="180"/>
      <c r="AX25" s="180"/>
      <c r="AY25" s="180"/>
      <c r="AZ25" s="180"/>
      <c r="BA25" s="180"/>
      <c r="BB25" s="180"/>
      <c r="BC25" s="180"/>
      <c r="BD25" s="180"/>
      <c r="BE25" s="180"/>
      <c r="BF25" s="180"/>
      <c r="BG25" s="180"/>
      <c r="BH25" s="180"/>
      <c r="BI25" s="180"/>
      <c r="BJ25" s="181"/>
      <c r="BK25" s="179">
        <v>83</v>
      </c>
      <c r="BL25" s="180">
        <v>6483</v>
      </c>
      <c r="BM25" s="180">
        <v>388</v>
      </c>
      <c r="BN25" s="180">
        <v>30422</v>
      </c>
      <c r="BO25" s="180">
        <v>325</v>
      </c>
      <c r="BP25" s="180">
        <v>38738</v>
      </c>
      <c r="BQ25" s="180">
        <v>1615</v>
      </c>
      <c r="BR25" s="180">
        <v>207507</v>
      </c>
      <c r="BS25" s="180">
        <v>496</v>
      </c>
      <c r="BT25" s="180">
        <v>57993</v>
      </c>
      <c r="BU25" s="180">
        <v>2902</v>
      </c>
      <c r="BV25" s="180">
        <v>344965</v>
      </c>
      <c r="BW25" s="180">
        <v>649</v>
      </c>
      <c r="BX25" s="180">
        <v>97685</v>
      </c>
      <c r="BY25" s="180">
        <v>2652</v>
      </c>
      <c r="BZ25" s="180">
        <v>406601</v>
      </c>
      <c r="CA25" s="180">
        <v>1553</v>
      </c>
      <c r="CB25" s="180">
        <v>200899</v>
      </c>
      <c r="CC25" s="180">
        <v>7557</v>
      </c>
      <c r="CD25" s="181">
        <v>989496</v>
      </c>
      <c r="CE25" s="179">
        <v>96</v>
      </c>
      <c r="CF25" s="180">
        <v>7475</v>
      </c>
      <c r="CG25" s="180">
        <v>497</v>
      </c>
      <c r="CH25" s="180">
        <v>39101</v>
      </c>
      <c r="CI25" s="180">
        <v>311</v>
      </c>
      <c r="CJ25" s="180">
        <v>38861</v>
      </c>
      <c r="CK25" s="180">
        <v>2039</v>
      </c>
      <c r="CL25" s="180">
        <v>260002</v>
      </c>
      <c r="CM25" s="180">
        <v>376</v>
      </c>
      <c r="CN25" s="180">
        <v>40534</v>
      </c>
      <c r="CO25" s="180">
        <v>3506</v>
      </c>
      <c r="CP25" s="180">
        <v>410139</v>
      </c>
      <c r="CQ25" s="180">
        <v>551</v>
      </c>
      <c r="CR25" s="180">
        <v>83081</v>
      </c>
      <c r="CS25" s="180">
        <v>3350</v>
      </c>
      <c r="CT25" s="180">
        <v>512021</v>
      </c>
      <c r="CU25" s="180">
        <v>1335</v>
      </c>
      <c r="CV25" s="180">
        <v>169952</v>
      </c>
      <c r="CW25" s="180">
        <v>9391</v>
      </c>
      <c r="CX25" s="181">
        <v>1221264</v>
      </c>
      <c r="CY25" s="179">
        <v>83</v>
      </c>
      <c r="CZ25" s="180">
        <v>7112</v>
      </c>
      <c r="DA25" s="180">
        <v>624</v>
      </c>
      <c r="DB25" s="180">
        <v>50039</v>
      </c>
      <c r="DC25" s="180">
        <v>397</v>
      </c>
      <c r="DD25" s="180">
        <v>53775</v>
      </c>
      <c r="DE25" s="180">
        <v>2567</v>
      </c>
      <c r="DF25" s="180">
        <v>328170</v>
      </c>
      <c r="DG25" s="180">
        <v>507</v>
      </c>
      <c r="DH25" s="180">
        <v>65748</v>
      </c>
      <c r="DI25" s="180">
        <v>4112</v>
      </c>
      <c r="DJ25" s="180">
        <v>492792</v>
      </c>
      <c r="DK25" s="180">
        <v>617</v>
      </c>
      <c r="DL25" s="180">
        <v>92561</v>
      </c>
      <c r="DM25" s="180">
        <v>4086</v>
      </c>
      <c r="DN25" s="180">
        <v>622266</v>
      </c>
      <c r="DO25" s="180">
        <v>1603</v>
      </c>
      <c r="DP25" s="180">
        <v>219195</v>
      </c>
      <c r="DQ25" s="180">
        <v>11390</v>
      </c>
      <c r="DR25" s="181">
        <v>1493268</v>
      </c>
      <c r="DS25" s="179">
        <v>89</v>
      </c>
      <c r="DT25" s="180">
        <v>6938</v>
      </c>
      <c r="DU25" s="180">
        <v>733</v>
      </c>
      <c r="DV25" s="180">
        <v>58594</v>
      </c>
      <c r="DW25" s="180">
        <v>417</v>
      </c>
      <c r="DX25" s="180">
        <v>55082</v>
      </c>
      <c r="DY25" s="180">
        <v>3102</v>
      </c>
      <c r="DZ25" s="180">
        <v>399052</v>
      </c>
      <c r="EA25" s="180">
        <v>480</v>
      </c>
      <c r="EB25" s="180">
        <v>58474</v>
      </c>
      <c r="EC25" s="180">
        <v>4768</v>
      </c>
      <c r="ED25" s="180">
        <v>571985</v>
      </c>
      <c r="EE25" s="180">
        <v>623</v>
      </c>
      <c r="EF25" s="180">
        <v>94149</v>
      </c>
      <c r="EG25" s="180">
        <v>4857</v>
      </c>
      <c r="EH25" s="180">
        <v>738067</v>
      </c>
      <c r="EI25" s="180">
        <v>1609</v>
      </c>
      <c r="EJ25" s="180">
        <v>214641</v>
      </c>
      <c r="EK25" s="180">
        <v>13461</v>
      </c>
      <c r="EL25" s="181">
        <v>1767698</v>
      </c>
      <c r="EM25" s="179"/>
      <c r="EN25" s="180"/>
      <c r="EO25" s="180"/>
      <c r="EP25" s="180"/>
      <c r="EQ25" s="180"/>
      <c r="ER25" s="180"/>
      <c r="ES25" s="180"/>
      <c r="ET25" s="180"/>
      <c r="EU25" s="180"/>
      <c r="EV25" s="180"/>
      <c r="EW25" s="180"/>
      <c r="EX25" s="180"/>
      <c r="EY25" s="180"/>
      <c r="EZ25" s="180"/>
      <c r="FA25" s="180"/>
      <c r="FB25" s="180"/>
      <c r="FC25" s="180"/>
      <c r="FD25" s="180"/>
      <c r="FE25" s="180"/>
      <c r="FF25" s="181"/>
      <c r="FG25" s="179">
        <v>101</v>
      </c>
      <c r="FH25" s="180">
        <v>7541</v>
      </c>
      <c r="FI25" s="180">
        <v>1030</v>
      </c>
      <c r="FJ25" s="180">
        <v>83823</v>
      </c>
      <c r="FK25" s="180">
        <v>409</v>
      </c>
      <c r="FL25" s="180">
        <v>54293</v>
      </c>
      <c r="FM25" s="180">
        <v>3997</v>
      </c>
      <c r="FN25" s="180">
        <v>513757</v>
      </c>
      <c r="FO25" s="180">
        <v>523</v>
      </c>
      <c r="FP25" s="180">
        <v>59067</v>
      </c>
      <c r="FQ25" s="180">
        <v>6016</v>
      </c>
      <c r="FR25" s="180">
        <v>718551</v>
      </c>
      <c r="FS25" s="180">
        <v>552</v>
      </c>
      <c r="FT25" s="180">
        <v>86175</v>
      </c>
      <c r="FU25" s="180">
        <v>6170</v>
      </c>
      <c r="FV25" s="180">
        <v>944292</v>
      </c>
      <c r="FW25" s="180">
        <v>1586</v>
      </c>
      <c r="FX25" s="180">
        <v>207073</v>
      </c>
      <c r="FY25" s="180">
        <v>17213</v>
      </c>
      <c r="FZ25" s="181">
        <v>2260423</v>
      </c>
      <c r="GA25" s="179">
        <v>124</v>
      </c>
      <c r="GB25" s="180">
        <v>8878</v>
      </c>
      <c r="GC25" s="180">
        <v>1189</v>
      </c>
      <c r="GD25" s="180">
        <v>95577</v>
      </c>
      <c r="GE25" s="180">
        <v>402</v>
      </c>
      <c r="GF25" s="180">
        <v>56144</v>
      </c>
      <c r="GG25" s="180">
        <v>4510</v>
      </c>
      <c r="GH25" s="180">
        <v>586240</v>
      </c>
      <c r="GI25" s="180">
        <v>549</v>
      </c>
      <c r="GJ25" s="180">
        <v>63505</v>
      </c>
      <c r="GK25" s="180">
        <v>6777</v>
      </c>
      <c r="GL25" s="180">
        <v>811467</v>
      </c>
      <c r="GM25" s="180">
        <v>515</v>
      </c>
      <c r="GN25" s="180">
        <v>78981</v>
      </c>
      <c r="GO25" s="180">
        <v>6838</v>
      </c>
      <c r="GP25" s="180">
        <v>1047159</v>
      </c>
      <c r="GQ25" s="180">
        <v>1589</v>
      </c>
      <c r="GR25" s="180">
        <v>207509</v>
      </c>
      <c r="GS25" s="180">
        <v>19314</v>
      </c>
      <c r="GT25" s="181">
        <v>2540443</v>
      </c>
      <c r="GU25" s="179"/>
      <c r="GV25" s="180"/>
      <c r="GW25" s="180"/>
      <c r="GX25" s="180"/>
      <c r="GY25" s="180"/>
      <c r="GZ25" s="180"/>
      <c r="HA25" s="180"/>
      <c r="HB25" s="180"/>
      <c r="HC25" s="180"/>
      <c r="HD25" s="180"/>
      <c r="HE25" s="180"/>
      <c r="HF25" s="180"/>
      <c r="HG25" s="180"/>
      <c r="HH25" s="180"/>
      <c r="HI25" s="180"/>
      <c r="HJ25" s="180"/>
      <c r="HK25" s="180"/>
      <c r="HL25" s="180"/>
      <c r="HM25" s="180"/>
      <c r="HN25" s="181"/>
      <c r="HO25" s="179">
        <v>93</v>
      </c>
      <c r="HP25" s="180">
        <v>7074</v>
      </c>
      <c r="HQ25" s="180">
        <v>1428</v>
      </c>
      <c r="HR25" s="180">
        <v>112387</v>
      </c>
      <c r="HS25" s="180">
        <v>341</v>
      </c>
      <c r="HT25" s="180">
        <v>49148</v>
      </c>
      <c r="HU25" s="180">
        <v>5350</v>
      </c>
      <c r="HV25" s="180">
        <v>694684</v>
      </c>
      <c r="HW25" s="180">
        <v>491</v>
      </c>
      <c r="HX25" s="180">
        <v>57887</v>
      </c>
      <c r="HY25" s="180">
        <v>8223</v>
      </c>
      <c r="HZ25" s="180">
        <v>986675</v>
      </c>
      <c r="IA25" s="180">
        <v>584</v>
      </c>
      <c r="IB25" s="180">
        <v>91764</v>
      </c>
      <c r="IC25" s="180">
        <v>8258</v>
      </c>
      <c r="ID25" s="180">
        <v>1281068</v>
      </c>
      <c r="IE25" s="180">
        <v>1510</v>
      </c>
      <c r="IF25" s="180">
        <v>205874</v>
      </c>
      <c r="IG25" s="180">
        <v>23259</v>
      </c>
      <c r="IH25" s="181">
        <v>3074813</v>
      </c>
    </row>
    <row r="26" spans="2:242">
      <c r="B26" s="175">
        <v>24</v>
      </c>
      <c r="C26" s="179">
        <v>81</v>
      </c>
      <c r="D26" s="180">
        <v>5973</v>
      </c>
      <c r="E26" s="180">
        <v>81</v>
      </c>
      <c r="F26" s="180">
        <v>5973</v>
      </c>
      <c r="G26" s="180">
        <v>393</v>
      </c>
      <c r="H26" s="180">
        <v>51801</v>
      </c>
      <c r="I26" s="180">
        <v>393</v>
      </c>
      <c r="J26" s="180">
        <v>51801</v>
      </c>
      <c r="K26" s="180">
        <v>415</v>
      </c>
      <c r="L26" s="180">
        <v>56406</v>
      </c>
      <c r="M26" s="180">
        <v>415</v>
      </c>
      <c r="N26" s="180">
        <v>56406</v>
      </c>
      <c r="O26" s="180">
        <v>555</v>
      </c>
      <c r="P26" s="180">
        <v>86066</v>
      </c>
      <c r="Q26" s="180">
        <v>555</v>
      </c>
      <c r="R26" s="180">
        <v>86066</v>
      </c>
      <c r="S26" s="180">
        <v>1444</v>
      </c>
      <c r="T26" s="180">
        <v>200248</v>
      </c>
      <c r="U26" s="180">
        <v>1444</v>
      </c>
      <c r="V26" s="181">
        <v>200248</v>
      </c>
      <c r="W26" s="179">
        <v>64</v>
      </c>
      <c r="X26" s="180">
        <v>4574</v>
      </c>
      <c r="Y26" s="180">
        <v>176</v>
      </c>
      <c r="Z26" s="180">
        <v>12770</v>
      </c>
      <c r="AA26" s="180">
        <v>269</v>
      </c>
      <c r="AB26" s="180">
        <v>32955</v>
      </c>
      <c r="AC26" s="180">
        <v>784</v>
      </c>
      <c r="AD26" s="180">
        <v>99224</v>
      </c>
      <c r="AE26" s="180">
        <v>498</v>
      </c>
      <c r="AF26" s="180">
        <v>61909</v>
      </c>
      <c r="AG26" s="180">
        <v>1268</v>
      </c>
      <c r="AH26" s="180">
        <v>155400</v>
      </c>
      <c r="AI26" s="180">
        <v>541</v>
      </c>
      <c r="AJ26" s="180">
        <v>82410</v>
      </c>
      <c r="AK26" s="180">
        <v>1216</v>
      </c>
      <c r="AL26" s="180">
        <v>186642</v>
      </c>
      <c r="AM26" s="180">
        <v>1371</v>
      </c>
      <c r="AN26" s="180">
        <v>181848</v>
      </c>
      <c r="AO26" s="180">
        <v>3444</v>
      </c>
      <c r="AP26" s="181">
        <v>454036</v>
      </c>
      <c r="AQ26" s="179">
        <v>100</v>
      </c>
      <c r="AR26" s="180">
        <v>9142</v>
      </c>
      <c r="AS26" s="180">
        <v>293</v>
      </c>
      <c r="AT26" s="180">
        <v>22960</v>
      </c>
      <c r="AU26" s="180">
        <v>338</v>
      </c>
      <c r="AV26" s="180">
        <v>48639</v>
      </c>
      <c r="AW26" s="180">
        <v>1219</v>
      </c>
      <c r="AX26" s="180">
        <v>160070</v>
      </c>
      <c r="AY26" s="180">
        <v>482</v>
      </c>
      <c r="AZ26" s="180">
        <v>55388</v>
      </c>
      <c r="BA26" s="180">
        <v>2097</v>
      </c>
      <c r="BB26" s="180">
        <v>248370</v>
      </c>
      <c r="BC26" s="180">
        <v>524</v>
      </c>
      <c r="BD26" s="180">
        <v>83524</v>
      </c>
      <c r="BE26" s="180">
        <v>1859</v>
      </c>
      <c r="BF26" s="180">
        <v>287983</v>
      </c>
      <c r="BG26" s="180">
        <v>1444</v>
      </c>
      <c r="BH26" s="180">
        <v>196694</v>
      </c>
      <c r="BI26" s="180">
        <v>5468</v>
      </c>
      <c r="BJ26" s="181">
        <v>719384</v>
      </c>
      <c r="BK26" s="179">
        <v>83</v>
      </c>
      <c r="BL26" s="180">
        <v>6483</v>
      </c>
      <c r="BM26" s="180">
        <v>388</v>
      </c>
      <c r="BN26" s="180">
        <v>30422</v>
      </c>
      <c r="BO26" s="180">
        <v>340</v>
      </c>
      <c r="BP26" s="180">
        <v>40338</v>
      </c>
      <c r="BQ26" s="180">
        <v>1630</v>
      </c>
      <c r="BR26" s="180">
        <v>209107</v>
      </c>
      <c r="BS26" s="180">
        <v>525</v>
      </c>
      <c r="BT26" s="180">
        <v>61027</v>
      </c>
      <c r="BU26" s="180">
        <v>2931</v>
      </c>
      <c r="BV26" s="180">
        <v>348000</v>
      </c>
      <c r="BW26" s="180">
        <v>670</v>
      </c>
      <c r="BX26" s="180">
        <v>101364</v>
      </c>
      <c r="BY26" s="180">
        <v>2673</v>
      </c>
      <c r="BZ26" s="180">
        <v>410278</v>
      </c>
      <c r="CA26" s="180">
        <v>1618</v>
      </c>
      <c r="CB26" s="180">
        <v>209212</v>
      </c>
      <c r="CC26" s="180">
        <v>7622</v>
      </c>
      <c r="CD26" s="181">
        <v>997807</v>
      </c>
      <c r="CE26" s="179"/>
      <c r="CF26" s="180"/>
      <c r="CG26" s="180"/>
      <c r="CH26" s="180"/>
      <c r="CI26" s="180"/>
      <c r="CJ26" s="180"/>
      <c r="CK26" s="180"/>
      <c r="CL26" s="180"/>
      <c r="CM26" s="180"/>
      <c r="CN26" s="180"/>
      <c r="CO26" s="180"/>
      <c r="CP26" s="180"/>
      <c r="CQ26" s="180"/>
      <c r="CR26" s="180"/>
      <c r="CS26" s="180"/>
      <c r="CT26" s="180"/>
      <c r="CU26" s="180"/>
      <c r="CV26" s="180"/>
      <c r="CW26" s="180"/>
      <c r="CX26" s="181"/>
      <c r="CY26" s="179">
        <v>83</v>
      </c>
      <c r="CZ26" s="180">
        <v>7112</v>
      </c>
      <c r="DA26" s="180">
        <v>624</v>
      </c>
      <c r="DB26" s="180">
        <v>50039</v>
      </c>
      <c r="DC26" s="180">
        <v>413</v>
      </c>
      <c r="DD26" s="180">
        <v>55892</v>
      </c>
      <c r="DE26" s="180">
        <v>2583</v>
      </c>
      <c r="DF26" s="180">
        <v>330287</v>
      </c>
      <c r="DG26" s="180">
        <v>520</v>
      </c>
      <c r="DH26" s="180">
        <v>67635</v>
      </c>
      <c r="DI26" s="180">
        <v>4125</v>
      </c>
      <c r="DJ26" s="180">
        <v>494679</v>
      </c>
      <c r="DK26" s="180">
        <v>642</v>
      </c>
      <c r="DL26" s="180">
        <v>96330</v>
      </c>
      <c r="DM26" s="180">
        <v>4111</v>
      </c>
      <c r="DN26" s="180">
        <v>626036</v>
      </c>
      <c r="DO26" s="180">
        <v>1657</v>
      </c>
      <c r="DP26" s="180">
        <v>226969</v>
      </c>
      <c r="DQ26" s="180">
        <v>11444</v>
      </c>
      <c r="DR26" s="181">
        <v>1501041</v>
      </c>
      <c r="DS26" s="179">
        <v>91</v>
      </c>
      <c r="DT26" s="180">
        <v>7106</v>
      </c>
      <c r="DU26" s="180">
        <v>736</v>
      </c>
      <c r="DV26" s="180">
        <v>58763</v>
      </c>
      <c r="DW26" s="180">
        <v>446</v>
      </c>
      <c r="DX26" s="180">
        <v>58102</v>
      </c>
      <c r="DY26" s="180">
        <v>3131</v>
      </c>
      <c r="DZ26" s="180">
        <v>402071</v>
      </c>
      <c r="EA26" s="180">
        <v>533</v>
      </c>
      <c r="EB26" s="180">
        <v>62519</v>
      </c>
      <c r="EC26" s="180">
        <v>4822</v>
      </c>
      <c r="ED26" s="180">
        <v>576031</v>
      </c>
      <c r="EE26" s="180">
        <v>649</v>
      </c>
      <c r="EF26" s="180">
        <v>97868</v>
      </c>
      <c r="EG26" s="180">
        <v>4884</v>
      </c>
      <c r="EH26" s="180">
        <v>741785</v>
      </c>
      <c r="EI26" s="180">
        <v>1720</v>
      </c>
      <c r="EJ26" s="180">
        <v>225594</v>
      </c>
      <c r="EK26" s="180">
        <v>13572</v>
      </c>
      <c r="EL26" s="181">
        <v>1778649</v>
      </c>
      <c r="EM26" s="179"/>
      <c r="EN26" s="180"/>
      <c r="EO26" s="180"/>
      <c r="EP26" s="180"/>
      <c r="EQ26" s="180"/>
      <c r="ER26" s="180"/>
      <c r="ES26" s="180"/>
      <c r="ET26" s="180"/>
      <c r="EU26" s="180"/>
      <c r="EV26" s="180"/>
      <c r="EW26" s="180"/>
      <c r="EX26" s="180"/>
      <c r="EY26" s="180"/>
      <c r="EZ26" s="180"/>
      <c r="FA26" s="180"/>
      <c r="FB26" s="180"/>
      <c r="FC26" s="180"/>
      <c r="FD26" s="180"/>
      <c r="FE26" s="180"/>
      <c r="FF26" s="181"/>
      <c r="FG26" s="179">
        <v>104</v>
      </c>
      <c r="FH26" s="180">
        <v>7661</v>
      </c>
      <c r="FI26" s="180">
        <v>1032</v>
      </c>
      <c r="FJ26" s="180">
        <v>83942</v>
      </c>
      <c r="FK26" s="180">
        <v>421</v>
      </c>
      <c r="FL26" s="180">
        <v>55586</v>
      </c>
      <c r="FM26" s="180">
        <v>4009</v>
      </c>
      <c r="FN26" s="180">
        <v>515052</v>
      </c>
      <c r="FO26" s="180">
        <v>535</v>
      </c>
      <c r="FP26" s="180">
        <v>60315</v>
      </c>
      <c r="FQ26" s="180">
        <v>6028</v>
      </c>
      <c r="FR26" s="180">
        <v>719800</v>
      </c>
      <c r="FS26" s="180">
        <v>571</v>
      </c>
      <c r="FT26" s="180">
        <v>89271</v>
      </c>
      <c r="FU26" s="180">
        <v>6189</v>
      </c>
      <c r="FV26" s="180">
        <v>947388</v>
      </c>
      <c r="FW26" s="180">
        <v>1631</v>
      </c>
      <c r="FX26" s="180">
        <v>212833</v>
      </c>
      <c r="FY26" s="180">
        <v>17258</v>
      </c>
      <c r="FZ26" s="181">
        <v>2266182</v>
      </c>
      <c r="GA26" s="179">
        <v>132</v>
      </c>
      <c r="GB26" s="180">
        <v>9330</v>
      </c>
      <c r="GC26" s="180">
        <v>1197</v>
      </c>
      <c r="GD26" s="180">
        <v>96029</v>
      </c>
      <c r="GE26" s="180">
        <v>411</v>
      </c>
      <c r="GF26" s="180">
        <v>57333</v>
      </c>
      <c r="GG26" s="180">
        <v>4520</v>
      </c>
      <c r="GH26" s="180">
        <v>587428</v>
      </c>
      <c r="GI26" s="180">
        <v>591</v>
      </c>
      <c r="GJ26" s="180">
        <v>67324</v>
      </c>
      <c r="GK26" s="180">
        <v>6819</v>
      </c>
      <c r="GL26" s="180">
        <v>815285</v>
      </c>
      <c r="GM26" s="180">
        <v>548</v>
      </c>
      <c r="GN26" s="180">
        <v>84893</v>
      </c>
      <c r="GO26" s="180">
        <v>6871</v>
      </c>
      <c r="GP26" s="180">
        <v>1053070</v>
      </c>
      <c r="GQ26" s="180">
        <v>1683</v>
      </c>
      <c r="GR26" s="180">
        <v>218880</v>
      </c>
      <c r="GS26" s="180">
        <v>19408</v>
      </c>
      <c r="GT26" s="181">
        <v>2551812</v>
      </c>
      <c r="GU26" s="179">
        <v>101</v>
      </c>
      <c r="GV26" s="180">
        <v>6863</v>
      </c>
      <c r="GW26" s="180">
        <v>1316</v>
      </c>
      <c r="GX26" s="180">
        <v>104120</v>
      </c>
      <c r="GY26" s="180">
        <v>318</v>
      </c>
      <c r="GZ26" s="180">
        <v>35855</v>
      </c>
      <c r="HA26" s="180">
        <v>4941</v>
      </c>
      <c r="HB26" s="180">
        <v>635274</v>
      </c>
      <c r="HC26" s="180">
        <v>435</v>
      </c>
      <c r="HD26" s="180">
        <v>54945</v>
      </c>
      <c r="HE26" s="180">
        <v>7494</v>
      </c>
      <c r="HF26" s="180">
        <v>899628</v>
      </c>
      <c r="HG26" s="180">
        <v>544</v>
      </c>
      <c r="HH26" s="180">
        <v>92458</v>
      </c>
      <c r="HI26" s="180">
        <v>7563</v>
      </c>
      <c r="HJ26" s="180">
        <v>1170918</v>
      </c>
      <c r="HK26" s="180">
        <v>1399</v>
      </c>
      <c r="HL26" s="180">
        <v>190120</v>
      </c>
      <c r="HM26" s="180">
        <v>21314</v>
      </c>
      <c r="HN26" s="181">
        <v>2809938</v>
      </c>
      <c r="HO26" s="179">
        <v>96</v>
      </c>
      <c r="HP26" s="180">
        <v>7431</v>
      </c>
      <c r="HQ26" s="180">
        <v>1431</v>
      </c>
      <c r="HR26" s="180">
        <v>112744</v>
      </c>
      <c r="HS26" s="180">
        <v>352</v>
      </c>
      <c r="HT26" s="180">
        <v>50561</v>
      </c>
      <c r="HU26" s="180">
        <v>5361</v>
      </c>
      <c r="HV26" s="180">
        <v>696097</v>
      </c>
      <c r="HW26" s="180">
        <v>523</v>
      </c>
      <c r="HX26" s="180">
        <v>61716</v>
      </c>
      <c r="HY26" s="180">
        <v>8255</v>
      </c>
      <c r="HZ26" s="180">
        <v>990504</v>
      </c>
      <c r="IA26" s="180">
        <v>597</v>
      </c>
      <c r="IB26" s="180">
        <v>93648</v>
      </c>
      <c r="IC26" s="180">
        <v>8271</v>
      </c>
      <c r="ID26" s="180">
        <v>1282952</v>
      </c>
      <c r="IE26" s="180">
        <v>1568</v>
      </c>
      <c r="IF26" s="180">
        <v>213355</v>
      </c>
      <c r="IG26" s="180">
        <v>23318</v>
      </c>
      <c r="IH26" s="181">
        <v>3082293</v>
      </c>
    </row>
    <row r="27" spans="2:242">
      <c r="B27" s="175">
        <v>25</v>
      </c>
      <c r="C27" s="179"/>
      <c r="D27" s="180"/>
      <c r="E27" s="180"/>
      <c r="F27" s="180"/>
      <c r="G27" s="180"/>
      <c r="H27" s="180"/>
      <c r="I27" s="180"/>
      <c r="J27" s="180"/>
      <c r="K27" s="180"/>
      <c r="L27" s="180"/>
      <c r="M27" s="180"/>
      <c r="N27" s="180"/>
      <c r="O27" s="180"/>
      <c r="P27" s="180"/>
      <c r="Q27" s="180"/>
      <c r="R27" s="180"/>
      <c r="S27" s="180"/>
      <c r="T27" s="180"/>
      <c r="U27" s="180"/>
      <c r="V27" s="181"/>
      <c r="W27" s="179">
        <v>66</v>
      </c>
      <c r="X27" s="180">
        <v>4720</v>
      </c>
      <c r="Y27" s="180">
        <v>179</v>
      </c>
      <c r="Z27" s="180">
        <v>12916</v>
      </c>
      <c r="AA27" s="180">
        <v>305</v>
      </c>
      <c r="AB27" s="180">
        <v>37386</v>
      </c>
      <c r="AC27" s="180">
        <v>821</v>
      </c>
      <c r="AD27" s="180">
        <v>103654</v>
      </c>
      <c r="AE27" s="180">
        <v>573</v>
      </c>
      <c r="AF27" s="180">
        <v>68701</v>
      </c>
      <c r="AG27" s="180">
        <v>1344</v>
      </c>
      <c r="AH27" s="180">
        <v>162194</v>
      </c>
      <c r="AI27" s="180">
        <v>577</v>
      </c>
      <c r="AJ27" s="180">
        <v>87434</v>
      </c>
      <c r="AK27" s="180">
        <v>1251</v>
      </c>
      <c r="AL27" s="180">
        <v>191665</v>
      </c>
      <c r="AM27" s="180">
        <v>1521</v>
      </c>
      <c r="AN27" s="180">
        <v>198240</v>
      </c>
      <c r="AO27" s="180">
        <v>3595</v>
      </c>
      <c r="AP27" s="181">
        <v>470427</v>
      </c>
      <c r="AQ27" s="179">
        <v>100</v>
      </c>
      <c r="AR27" s="180">
        <v>9142</v>
      </c>
      <c r="AS27" s="180">
        <v>293</v>
      </c>
      <c r="AT27" s="180">
        <v>22960</v>
      </c>
      <c r="AU27" s="180">
        <v>351</v>
      </c>
      <c r="AV27" s="180">
        <v>50568</v>
      </c>
      <c r="AW27" s="180">
        <v>1231</v>
      </c>
      <c r="AX27" s="180">
        <v>161999</v>
      </c>
      <c r="AY27" s="180">
        <v>519</v>
      </c>
      <c r="AZ27" s="180">
        <v>60490</v>
      </c>
      <c r="BA27" s="180">
        <v>2134</v>
      </c>
      <c r="BB27" s="180">
        <v>253471</v>
      </c>
      <c r="BC27" s="180">
        <v>551</v>
      </c>
      <c r="BD27" s="180">
        <v>87209</v>
      </c>
      <c r="BE27" s="180">
        <v>1885</v>
      </c>
      <c r="BF27" s="180">
        <v>291667</v>
      </c>
      <c r="BG27" s="180">
        <v>1521</v>
      </c>
      <c r="BH27" s="180">
        <v>207408</v>
      </c>
      <c r="BI27" s="180">
        <v>5544</v>
      </c>
      <c r="BJ27" s="181">
        <v>730097</v>
      </c>
      <c r="BK27" s="179">
        <v>88</v>
      </c>
      <c r="BL27" s="180">
        <v>7147</v>
      </c>
      <c r="BM27" s="180">
        <v>394</v>
      </c>
      <c r="BN27" s="180">
        <v>31085</v>
      </c>
      <c r="BO27" s="180">
        <v>359</v>
      </c>
      <c r="BP27" s="180">
        <v>42649</v>
      </c>
      <c r="BQ27" s="180">
        <v>1649</v>
      </c>
      <c r="BR27" s="180">
        <v>211419</v>
      </c>
      <c r="BS27" s="180">
        <v>547</v>
      </c>
      <c r="BT27" s="180">
        <v>63905</v>
      </c>
      <c r="BU27" s="180">
        <v>2953</v>
      </c>
      <c r="BV27" s="180">
        <v>350877</v>
      </c>
      <c r="BW27" s="180">
        <v>695</v>
      </c>
      <c r="BX27" s="180">
        <v>104811</v>
      </c>
      <c r="BY27" s="180">
        <v>2698</v>
      </c>
      <c r="BZ27" s="180">
        <v>413728</v>
      </c>
      <c r="CA27" s="180">
        <v>1689</v>
      </c>
      <c r="CB27" s="180">
        <v>218512</v>
      </c>
      <c r="CC27" s="180">
        <v>7694</v>
      </c>
      <c r="CD27" s="181">
        <v>1007109</v>
      </c>
      <c r="CE27" s="179"/>
      <c r="CF27" s="180"/>
      <c r="CG27" s="180"/>
      <c r="CH27" s="180"/>
      <c r="CI27" s="180"/>
      <c r="CJ27" s="180"/>
      <c r="CK27" s="180"/>
      <c r="CL27" s="180"/>
      <c r="CM27" s="180"/>
      <c r="CN27" s="180"/>
      <c r="CO27" s="180"/>
      <c r="CP27" s="180"/>
      <c r="CQ27" s="180"/>
      <c r="CR27" s="180"/>
      <c r="CS27" s="180"/>
      <c r="CT27" s="180"/>
      <c r="CU27" s="180"/>
      <c r="CV27" s="180"/>
      <c r="CW27" s="180"/>
      <c r="CX27" s="181"/>
      <c r="CY27" s="179">
        <v>87</v>
      </c>
      <c r="CZ27" s="180">
        <v>7395</v>
      </c>
      <c r="DA27" s="180">
        <v>629</v>
      </c>
      <c r="DB27" s="180">
        <v>50323</v>
      </c>
      <c r="DC27" s="180">
        <v>429</v>
      </c>
      <c r="DD27" s="180">
        <v>58163</v>
      </c>
      <c r="DE27" s="180">
        <v>2598</v>
      </c>
      <c r="DF27" s="180">
        <v>332558</v>
      </c>
      <c r="DG27" s="180">
        <v>561</v>
      </c>
      <c r="DH27" s="180">
        <v>72587</v>
      </c>
      <c r="DI27" s="180">
        <v>4167</v>
      </c>
      <c r="DJ27" s="180">
        <v>499632</v>
      </c>
      <c r="DK27" s="180">
        <v>678</v>
      </c>
      <c r="DL27" s="180">
        <v>101248</v>
      </c>
      <c r="DM27" s="180">
        <v>4147</v>
      </c>
      <c r="DN27" s="180">
        <v>630951</v>
      </c>
      <c r="DO27" s="180">
        <v>1755</v>
      </c>
      <c r="DP27" s="180">
        <v>239392</v>
      </c>
      <c r="DQ27" s="180">
        <v>11541</v>
      </c>
      <c r="DR27" s="181">
        <v>1513465</v>
      </c>
      <c r="DS27" s="179">
        <v>91</v>
      </c>
      <c r="DT27" s="180">
        <v>7106</v>
      </c>
      <c r="DU27" s="180">
        <v>736</v>
      </c>
      <c r="DV27" s="180">
        <v>58763</v>
      </c>
      <c r="DW27" s="180">
        <v>468</v>
      </c>
      <c r="DX27" s="180">
        <v>60440</v>
      </c>
      <c r="DY27" s="180">
        <v>3153</v>
      </c>
      <c r="DZ27" s="180">
        <v>404410</v>
      </c>
      <c r="EA27" s="180">
        <v>567</v>
      </c>
      <c r="EB27" s="180">
        <v>66608</v>
      </c>
      <c r="EC27" s="180">
        <v>4855</v>
      </c>
      <c r="ED27" s="180">
        <v>580119</v>
      </c>
      <c r="EE27" s="180">
        <v>671</v>
      </c>
      <c r="EF27" s="180">
        <v>101862</v>
      </c>
      <c r="EG27" s="180">
        <v>4905</v>
      </c>
      <c r="EH27" s="180">
        <v>745780</v>
      </c>
      <c r="EI27" s="180">
        <v>1797</v>
      </c>
      <c r="EJ27" s="180">
        <v>236016</v>
      </c>
      <c r="EK27" s="180">
        <v>13650</v>
      </c>
      <c r="EL27" s="181">
        <v>1789070</v>
      </c>
      <c r="EM27" s="179">
        <v>58</v>
      </c>
      <c r="EN27" s="180">
        <v>5816</v>
      </c>
      <c r="EO27" s="180">
        <v>865</v>
      </c>
      <c r="EP27" s="180">
        <v>71147</v>
      </c>
      <c r="EQ27" s="180">
        <v>287</v>
      </c>
      <c r="ER27" s="180">
        <v>33919</v>
      </c>
      <c r="ES27" s="180">
        <v>3490</v>
      </c>
      <c r="ET27" s="180">
        <v>444144</v>
      </c>
      <c r="EU27" s="180">
        <v>372</v>
      </c>
      <c r="EV27" s="180">
        <v>45903</v>
      </c>
      <c r="EW27" s="180">
        <v>5317</v>
      </c>
      <c r="EX27" s="180">
        <v>634311</v>
      </c>
      <c r="EY27" s="180">
        <v>553</v>
      </c>
      <c r="EZ27" s="180">
        <v>87053</v>
      </c>
      <c r="FA27" s="180">
        <v>5527</v>
      </c>
      <c r="FB27" s="180">
        <v>843878</v>
      </c>
      <c r="FC27" s="180">
        <v>1271</v>
      </c>
      <c r="FD27" s="180">
        <v>172693</v>
      </c>
      <c r="FE27" s="180">
        <v>15198</v>
      </c>
      <c r="FF27" s="181">
        <v>1993479</v>
      </c>
      <c r="FG27" s="179">
        <v>106</v>
      </c>
      <c r="FH27" s="180">
        <v>7841</v>
      </c>
      <c r="FI27" s="180">
        <v>1035</v>
      </c>
      <c r="FJ27" s="180">
        <v>84122</v>
      </c>
      <c r="FK27" s="180">
        <v>441</v>
      </c>
      <c r="FL27" s="180">
        <v>58176</v>
      </c>
      <c r="FM27" s="180">
        <v>4030</v>
      </c>
      <c r="FN27" s="180">
        <v>517640</v>
      </c>
      <c r="FO27" s="180">
        <v>573</v>
      </c>
      <c r="FP27" s="180">
        <v>65320</v>
      </c>
      <c r="FQ27" s="180">
        <v>6067</v>
      </c>
      <c r="FR27" s="180">
        <v>724806</v>
      </c>
      <c r="FS27" s="180">
        <v>611</v>
      </c>
      <c r="FT27" s="180">
        <v>94828</v>
      </c>
      <c r="FU27" s="180">
        <v>6229</v>
      </c>
      <c r="FV27" s="180">
        <v>952945</v>
      </c>
      <c r="FW27" s="180">
        <v>1733</v>
      </c>
      <c r="FX27" s="180">
        <v>226164</v>
      </c>
      <c r="FY27" s="180">
        <v>17360</v>
      </c>
      <c r="FZ27" s="181">
        <v>2279514</v>
      </c>
      <c r="GA27" s="179"/>
      <c r="GB27" s="180"/>
      <c r="GC27" s="180"/>
      <c r="GD27" s="180"/>
      <c r="GE27" s="180"/>
      <c r="GF27" s="180"/>
      <c r="GG27" s="180"/>
      <c r="GH27" s="180"/>
      <c r="GI27" s="180"/>
      <c r="GJ27" s="180"/>
      <c r="GK27" s="180"/>
      <c r="GL27" s="180"/>
      <c r="GM27" s="180"/>
      <c r="GN27" s="180"/>
      <c r="GO27" s="180"/>
      <c r="GP27" s="180"/>
      <c r="GQ27" s="180"/>
      <c r="GR27" s="180"/>
      <c r="GS27" s="180"/>
      <c r="GT27" s="181"/>
      <c r="GU27" s="179">
        <v>112</v>
      </c>
      <c r="GV27" s="180">
        <v>7615</v>
      </c>
      <c r="GW27" s="180">
        <v>1327</v>
      </c>
      <c r="GX27" s="180">
        <v>104872</v>
      </c>
      <c r="GY27" s="180">
        <v>333</v>
      </c>
      <c r="GZ27" s="180">
        <v>38880</v>
      </c>
      <c r="HA27" s="180">
        <v>4956</v>
      </c>
      <c r="HB27" s="180">
        <v>638298</v>
      </c>
      <c r="HC27" s="180">
        <v>483</v>
      </c>
      <c r="HD27" s="180">
        <v>60974</v>
      </c>
      <c r="HE27" s="180">
        <v>7541</v>
      </c>
      <c r="HF27" s="180">
        <v>905657</v>
      </c>
      <c r="HG27" s="180">
        <v>581</v>
      </c>
      <c r="HH27" s="180">
        <v>98184</v>
      </c>
      <c r="HI27" s="180">
        <v>7599</v>
      </c>
      <c r="HJ27" s="180">
        <v>1176642</v>
      </c>
      <c r="HK27" s="180">
        <v>1509</v>
      </c>
      <c r="HL27" s="180">
        <v>205653</v>
      </c>
      <c r="HM27" s="180">
        <v>21424</v>
      </c>
      <c r="HN27" s="181">
        <v>2825471</v>
      </c>
      <c r="HO27" s="179"/>
      <c r="HP27" s="180"/>
      <c r="HQ27" s="180"/>
      <c r="HR27" s="180"/>
      <c r="HS27" s="180"/>
      <c r="HT27" s="180"/>
      <c r="HU27" s="180"/>
      <c r="HV27" s="180"/>
      <c r="HW27" s="180"/>
      <c r="HX27" s="180"/>
      <c r="HY27" s="180"/>
      <c r="HZ27" s="180"/>
      <c r="IA27" s="180"/>
      <c r="IB27" s="180"/>
      <c r="IC27" s="180"/>
      <c r="ID27" s="180"/>
      <c r="IE27" s="180"/>
      <c r="IF27" s="180"/>
      <c r="IG27" s="180"/>
      <c r="IH27" s="181"/>
    </row>
    <row r="28" spans="2:242">
      <c r="B28" s="175">
        <v>26</v>
      </c>
      <c r="C28" s="179"/>
      <c r="D28" s="180"/>
      <c r="E28" s="180"/>
      <c r="F28" s="180"/>
      <c r="G28" s="180"/>
      <c r="H28" s="180"/>
      <c r="I28" s="180"/>
      <c r="J28" s="180"/>
      <c r="K28" s="180"/>
      <c r="L28" s="180"/>
      <c r="M28" s="180"/>
      <c r="N28" s="180"/>
      <c r="O28" s="180"/>
      <c r="P28" s="180"/>
      <c r="Q28" s="180"/>
      <c r="R28" s="180"/>
      <c r="S28" s="180"/>
      <c r="T28" s="180"/>
      <c r="U28" s="180"/>
      <c r="V28" s="181"/>
      <c r="W28" s="179">
        <v>66</v>
      </c>
      <c r="X28" s="180">
        <v>4720</v>
      </c>
      <c r="Y28" s="180">
        <v>179</v>
      </c>
      <c r="Z28" s="180">
        <v>12916</v>
      </c>
      <c r="AA28" s="180">
        <v>330</v>
      </c>
      <c r="AB28" s="180">
        <v>40327</v>
      </c>
      <c r="AC28" s="180">
        <v>846</v>
      </c>
      <c r="AD28" s="180">
        <v>106595</v>
      </c>
      <c r="AE28" s="180">
        <v>650</v>
      </c>
      <c r="AF28" s="180">
        <v>77038</v>
      </c>
      <c r="AG28" s="180">
        <v>1421</v>
      </c>
      <c r="AH28" s="180">
        <v>170530</v>
      </c>
      <c r="AI28" s="180">
        <v>616</v>
      </c>
      <c r="AJ28" s="180">
        <v>93211</v>
      </c>
      <c r="AK28" s="180">
        <v>1290</v>
      </c>
      <c r="AL28" s="180">
        <v>197442</v>
      </c>
      <c r="AM28" s="180">
        <v>1662</v>
      </c>
      <c r="AN28" s="180">
        <v>215294</v>
      </c>
      <c r="AO28" s="180">
        <v>3735</v>
      </c>
      <c r="AP28" s="181">
        <v>487483</v>
      </c>
      <c r="AQ28" s="179">
        <v>103</v>
      </c>
      <c r="AR28" s="180">
        <v>9388</v>
      </c>
      <c r="AS28" s="180">
        <v>296</v>
      </c>
      <c r="AT28" s="180">
        <v>23206</v>
      </c>
      <c r="AU28" s="180">
        <v>378</v>
      </c>
      <c r="AV28" s="180">
        <v>52697</v>
      </c>
      <c r="AW28" s="180">
        <v>1258</v>
      </c>
      <c r="AX28" s="180">
        <v>164129</v>
      </c>
      <c r="AY28" s="180">
        <v>602</v>
      </c>
      <c r="AZ28" s="180">
        <v>70406</v>
      </c>
      <c r="BA28" s="180">
        <v>2217</v>
      </c>
      <c r="BB28" s="180">
        <v>263388</v>
      </c>
      <c r="BC28" s="180">
        <v>582</v>
      </c>
      <c r="BD28" s="180">
        <v>91357</v>
      </c>
      <c r="BE28" s="180">
        <v>1917</v>
      </c>
      <c r="BF28" s="180">
        <v>295816</v>
      </c>
      <c r="BG28" s="180">
        <v>1665</v>
      </c>
      <c r="BH28" s="180">
        <v>223850</v>
      </c>
      <c r="BI28" s="180">
        <v>5688</v>
      </c>
      <c r="BJ28" s="181">
        <v>746540</v>
      </c>
      <c r="BK28" s="179"/>
      <c r="BL28" s="180"/>
      <c r="BM28" s="180"/>
      <c r="BN28" s="180"/>
      <c r="BO28" s="180"/>
      <c r="BP28" s="180"/>
      <c r="BQ28" s="180"/>
      <c r="BR28" s="180"/>
      <c r="BS28" s="180"/>
      <c r="BT28" s="180"/>
      <c r="BU28" s="180"/>
      <c r="BV28" s="180"/>
      <c r="BW28" s="180"/>
      <c r="BX28" s="180"/>
      <c r="BY28" s="180"/>
      <c r="BZ28" s="180"/>
      <c r="CA28" s="180"/>
      <c r="CB28" s="180"/>
      <c r="CC28" s="180"/>
      <c r="CD28" s="181"/>
      <c r="CE28" s="179">
        <v>110</v>
      </c>
      <c r="CF28" s="180">
        <v>8882</v>
      </c>
      <c r="CG28" s="180">
        <v>511</v>
      </c>
      <c r="CH28" s="180">
        <v>40506</v>
      </c>
      <c r="CI28" s="180">
        <v>323</v>
      </c>
      <c r="CJ28" s="180">
        <v>40900</v>
      </c>
      <c r="CK28" s="180">
        <v>2051</v>
      </c>
      <c r="CL28" s="180">
        <v>262041</v>
      </c>
      <c r="CM28" s="180">
        <v>379</v>
      </c>
      <c r="CN28" s="180">
        <v>40955</v>
      </c>
      <c r="CO28" s="180">
        <v>3509</v>
      </c>
      <c r="CP28" s="180">
        <v>410560</v>
      </c>
      <c r="CQ28" s="180">
        <v>576</v>
      </c>
      <c r="CR28" s="180">
        <v>86300</v>
      </c>
      <c r="CS28" s="180">
        <v>3374</v>
      </c>
      <c r="CT28" s="180">
        <v>515240</v>
      </c>
      <c r="CU28" s="180">
        <v>1389</v>
      </c>
      <c r="CV28" s="180">
        <v>177037</v>
      </c>
      <c r="CW28" s="180">
        <v>9445</v>
      </c>
      <c r="CX28" s="181">
        <v>1228349</v>
      </c>
      <c r="CY28" s="179">
        <v>95</v>
      </c>
      <c r="CZ28" s="180">
        <v>8059</v>
      </c>
      <c r="DA28" s="180">
        <v>636</v>
      </c>
      <c r="DB28" s="180">
        <v>50986</v>
      </c>
      <c r="DC28" s="180">
        <v>451</v>
      </c>
      <c r="DD28" s="180">
        <v>60927</v>
      </c>
      <c r="DE28" s="180">
        <v>2620</v>
      </c>
      <c r="DF28" s="180">
        <v>335322</v>
      </c>
      <c r="DG28" s="180">
        <v>566</v>
      </c>
      <c r="DH28" s="180">
        <v>73270</v>
      </c>
      <c r="DI28" s="180">
        <v>4172</v>
      </c>
      <c r="DJ28" s="180">
        <v>500315</v>
      </c>
      <c r="DK28" s="180">
        <v>708</v>
      </c>
      <c r="DL28" s="180">
        <v>105867</v>
      </c>
      <c r="DM28" s="180">
        <v>4177</v>
      </c>
      <c r="DN28" s="180">
        <v>635570</v>
      </c>
      <c r="DO28" s="180">
        <v>1820</v>
      </c>
      <c r="DP28" s="180">
        <v>248121</v>
      </c>
      <c r="DQ28" s="180">
        <v>11606</v>
      </c>
      <c r="DR28" s="181">
        <v>1522193</v>
      </c>
      <c r="DS28" s="179"/>
      <c r="DT28" s="180"/>
      <c r="DU28" s="180"/>
      <c r="DV28" s="180"/>
      <c r="DW28" s="180"/>
      <c r="DX28" s="180"/>
      <c r="DY28" s="180"/>
      <c r="DZ28" s="180"/>
      <c r="EA28" s="180"/>
      <c r="EB28" s="180"/>
      <c r="EC28" s="180"/>
      <c r="ED28" s="180"/>
      <c r="EE28" s="180"/>
      <c r="EF28" s="180"/>
      <c r="EG28" s="180"/>
      <c r="EH28" s="180"/>
      <c r="EI28" s="180"/>
      <c r="EJ28" s="180"/>
      <c r="EK28" s="180"/>
      <c r="EL28" s="181"/>
      <c r="EM28" s="179">
        <v>86</v>
      </c>
      <c r="EN28" s="180">
        <v>8558</v>
      </c>
      <c r="EO28" s="180">
        <v>893</v>
      </c>
      <c r="EP28" s="180">
        <v>73888</v>
      </c>
      <c r="EQ28" s="180">
        <v>321</v>
      </c>
      <c r="ER28" s="180">
        <v>38327</v>
      </c>
      <c r="ES28" s="180">
        <v>3524</v>
      </c>
      <c r="ET28" s="180">
        <v>448552</v>
      </c>
      <c r="EU28" s="180">
        <v>415</v>
      </c>
      <c r="EV28" s="180">
        <v>53213</v>
      </c>
      <c r="EW28" s="180">
        <v>5360</v>
      </c>
      <c r="EX28" s="180">
        <v>641621</v>
      </c>
      <c r="EY28" s="180">
        <v>575</v>
      </c>
      <c r="EZ28" s="180">
        <v>90032</v>
      </c>
      <c r="FA28" s="180">
        <v>5549</v>
      </c>
      <c r="FB28" s="180">
        <v>846857</v>
      </c>
      <c r="FC28" s="180">
        <v>1398</v>
      </c>
      <c r="FD28" s="180">
        <v>190131</v>
      </c>
      <c r="FE28" s="180">
        <v>15324</v>
      </c>
      <c r="FF28" s="181">
        <v>2010918</v>
      </c>
      <c r="FG28" s="179">
        <v>110</v>
      </c>
      <c r="FH28" s="180">
        <v>8258</v>
      </c>
      <c r="FI28" s="180">
        <v>1039</v>
      </c>
      <c r="FJ28" s="180">
        <v>84539</v>
      </c>
      <c r="FK28" s="180">
        <v>458</v>
      </c>
      <c r="FL28" s="180">
        <v>60621</v>
      </c>
      <c r="FM28" s="180">
        <v>4046</v>
      </c>
      <c r="FN28" s="180">
        <v>520087</v>
      </c>
      <c r="FO28" s="180">
        <v>636</v>
      </c>
      <c r="FP28" s="180">
        <v>71735</v>
      </c>
      <c r="FQ28" s="180">
        <v>6130</v>
      </c>
      <c r="FR28" s="180">
        <v>731221</v>
      </c>
      <c r="FS28" s="180">
        <v>634</v>
      </c>
      <c r="FT28" s="180">
        <v>99239</v>
      </c>
      <c r="FU28" s="180">
        <v>6252</v>
      </c>
      <c r="FV28" s="180">
        <v>957356</v>
      </c>
      <c r="FW28" s="180">
        <v>1838</v>
      </c>
      <c r="FX28" s="180">
        <v>239853</v>
      </c>
      <c r="FY28" s="180">
        <v>17466</v>
      </c>
      <c r="FZ28" s="181">
        <v>2293202</v>
      </c>
      <c r="GA28" s="179"/>
      <c r="GB28" s="180"/>
      <c r="GC28" s="180"/>
      <c r="GD28" s="180"/>
      <c r="GE28" s="180"/>
      <c r="GF28" s="180"/>
      <c r="GG28" s="180"/>
      <c r="GH28" s="180"/>
      <c r="GI28" s="180"/>
      <c r="GJ28" s="180"/>
      <c r="GK28" s="180"/>
      <c r="GL28" s="180"/>
      <c r="GM28" s="180"/>
      <c r="GN28" s="180"/>
      <c r="GO28" s="180"/>
      <c r="GP28" s="180"/>
      <c r="GQ28" s="180"/>
      <c r="GR28" s="180"/>
      <c r="GS28" s="180"/>
      <c r="GT28" s="181"/>
      <c r="GU28" s="179">
        <v>114</v>
      </c>
      <c r="GV28" s="180">
        <v>7805</v>
      </c>
      <c r="GW28" s="180">
        <v>1330</v>
      </c>
      <c r="GX28" s="180">
        <v>105062</v>
      </c>
      <c r="GY28" s="180">
        <v>350</v>
      </c>
      <c r="GZ28" s="180">
        <v>42504</v>
      </c>
      <c r="HA28" s="180">
        <v>4973</v>
      </c>
      <c r="HB28" s="180">
        <v>641922</v>
      </c>
      <c r="HC28" s="180">
        <v>540</v>
      </c>
      <c r="HD28" s="180">
        <v>67786</v>
      </c>
      <c r="HE28" s="180">
        <v>7599</v>
      </c>
      <c r="HF28" s="180">
        <v>912469</v>
      </c>
      <c r="HG28" s="180">
        <v>603</v>
      </c>
      <c r="HH28" s="180">
        <v>102563</v>
      </c>
      <c r="HI28" s="180">
        <v>7622</v>
      </c>
      <c r="HJ28" s="180">
        <v>1181023</v>
      </c>
      <c r="HK28" s="180">
        <v>1609</v>
      </c>
      <c r="HL28" s="180">
        <v>220658</v>
      </c>
      <c r="HM28" s="180">
        <v>21523</v>
      </c>
      <c r="HN28" s="181">
        <v>2840476</v>
      </c>
      <c r="HO28" s="179">
        <v>118</v>
      </c>
      <c r="HP28" s="180">
        <v>9384</v>
      </c>
      <c r="HQ28" s="180">
        <v>1453</v>
      </c>
      <c r="HR28" s="180">
        <v>114696</v>
      </c>
      <c r="HS28" s="180">
        <v>393</v>
      </c>
      <c r="HT28" s="180">
        <v>56689</v>
      </c>
      <c r="HU28" s="180">
        <v>5402</v>
      </c>
      <c r="HV28" s="180">
        <v>702223</v>
      </c>
      <c r="HW28" s="180">
        <v>523</v>
      </c>
      <c r="HX28" s="180">
        <v>61716</v>
      </c>
      <c r="HY28" s="180">
        <v>8255</v>
      </c>
      <c r="HZ28" s="180">
        <v>990504</v>
      </c>
      <c r="IA28" s="180">
        <v>615</v>
      </c>
      <c r="IB28" s="180">
        <v>96947</v>
      </c>
      <c r="IC28" s="180">
        <v>8288</v>
      </c>
      <c r="ID28" s="180">
        <v>1286251</v>
      </c>
      <c r="IE28" s="180">
        <v>1650</v>
      </c>
      <c r="IF28" s="180">
        <v>224735</v>
      </c>
      <c r="IG28" s="180">
        <v>23399</v>
      </c>
      <c r="IH28" s="181">
        <v>3093673</v>
      </c>
    </row>
    <row r="29" spans="2:242">
      <c r="B29" s="175">
        <v>27</v>
      </c>
      <c r="C29" s="179">
        <v>81</v>
      </c>
      <c r="D29" s="180">
        <v>5973</v>
      </c>
      <c r="E29" s="180">
        <v>81</v>
      </c>
      <c r="F29" s="180">
        <v>5973</v>
      </c>
      <c r="G29" s="180">
        <v>404</v>
      </c>
      <c r="H29" s="180">
        <v>53056</v>
      </c>
      <c r="I29" s="180">
        <v>404</v>
      </c>
      <c r="J29" s="180">
        <v>53056</v>
      </c>
      <c r="K29" s="180">
        <v>456</v>
      </c>
      <c r="L29" s="180">
        <v>59903</v>
      </c>
      <c r="M29" s="180">
        <v>456</v>
      </c>
      <c r="N29" s="180">
        <v>59903</v>
      </c>
      <c r="O29" s="180">
        <v>574</v>
      </c>
      <c r="P29" s="180">
        <v>89664</v>
      </c>
      <c r="Q29" s="180">
        <v>574</v>
      </c>
      <c r="R29" s="180">
        <v>89664</v>
      </c>
      <c r="S29" s="180">
        <v>1515</v>
      </c>
      <c r="T29" s="180">
        <v>208594</v>
      </c>
      <c r="U29" s="180">
        <v>1515</v>
      </c>
      <c r="V29" s="181">
        <v>208594</v>
      </c>
      <c r="W29" s="179">
        <v>66</v>
      </c>
      <c r="X29" s="180">
        <v>4720</v>
      </c>
      <c r="Y29" s="180">
        <v>179</v>
      </c>
      <c r="Z29" s="180">
        <v>12916</v>
      </c>
      <c r="AA29" s="180">
        <v>347</v>
      </c>
      <c r="AB29" s="180">
        <v>42627</v>
      </c>
      <c r="AC29" s="180">
        <v>863</v>
      </c>
      <c r="AD29" s="180">
        <v>108895</v>
      </c>
      <c r="AE29" s="180">
        <v>696</v>
      </c>
      <c r="AF29" s="180">
        <v>81872</v>
      </c>
      <c r="AG29" s="180">
        <v>1467</v>
      </c>
      <c r="AH29" s="180">
        <v>175363</v>
      </c>
      <c r="AI29" s="180">
        <v>628</v>
      </c>
      <c r="AJ29" s="180">
        <v>95280</v>
      </c>
      <c r="AK29" s="180">
        <v>1302</v>
      </c>
      <c r="AL29" s="180">
        <v>199510</v>
      </c>
      <c r="AM29" s="180">
        <v>1737</v>
      </c>
      <c r="AN29" s="180">
        <v>224497</v>
      </c>
      <c r="AO29" s="180">
        <v>3811</v>
      </c>
      <c r="AP29" s="181">
        <v>496685</v>
      </c>
      <c r="AQ29" s="179">
        <v>103</v>
      </c>
      <c r="AR29" s="180">
        <v>9388</v>
      </c>
      <c r="AS29" s="180">
        <v>296</v>
      </c>
      <c r="AT29" s="180">
        <v>23206</v>
      </c>
      <c r="AU29" s="180">
        <v>390</v>
      </c>
      <c r="AV29" s="180">
        <v>54066</v>
      </c>
      <c r="AW29" s="180">
        <v>1271</v>
      </c>
      <c r="AX29" s="180">
        <v>165497</v>
      </c>
      <c r="AY29" s="180">
        <v>673</v>
      </c>
      <c r="AZ29" s="180">
        <v>78694</v>
      </c>
      <c r="BA29" s="180">
        <v>2287</v>
      </c>
      <c r="BB29" s="180">
        <v>271675</v>
      </c>
      <c r="BC29" s="180">
        <v>602</v>
      </c>
      <c r="BD29" s="180">
        <v>95151</v>
      </c>
      <c r="BE29" s="180">
        <v>1935</v>
      </c>
      <c r="BF29" s="180">
        <v>299610</v>
      </c>
      <c r="BG29" s="180">
        <v>1767</v>
      </c>
      <c r="BH29" s="180">
        <v>237300</v>
      </c>
      <c r="BI29" s="180">
        <v>5790</v>
      </c>
      <c r="BJ29" s="181">
        <v>759991</v>
      </c>
      <c r="BK29" s="179"/>
      <c r="BL29" s="180"/>
      <c r="BM29" s="180"/>
      <c r="BN29" s="180"/>
      <c r="BO29" s="180"/>
      <c r="BP29" s="180"/>
      <c r="BQ29" s="180"/>
      <c r="BR29" s="180"/>
      <c r="BS29" s="180"/>
      <c r="BT29" s="180"/>
      <c r="BU29" s="180"/>
      <c r="BV29" s="180"/>
      <c r="BW29" s="180"/>
      <c r="BX29" s="180"/>
      <c r="BY29" s="180"/>
      <c r="BZ29" s="180"/>
      <c r="CA29" s="180"/>
      <c r="CB29" s="180"/>
      <c r="CC29" s="180"/>
      <c r="CD29" s="181"/>
      <c r="CE29" s="179">
        <v>110</v>
      </c>
      <c r="CF29" s="180">
        <v>8882</v>
      </c>
      <c r="CG29" s="180">
        <v>511</v>
      </c>
      <c r="CH29" s="180">
        <v>40506</v>
      </c>
      <c r="CI29" s="180">
        <v>327</v>
      </c>
      <c r="CJ29" s="180">
        <v>41240</v>
      </c>
      <c r="CK29" s="180">
        <v>2055</v>
      </c>
      <c r="CL29" s="180">
        <v>262380</v>
      </c>
      <c r="CM29" s="180">
        <v>392</v>
      </c>
      <c r="CN29" s="180">
        <v>43200</v>
      </c>
      <c r="CO29" s="180">
        <v>3522</v>
      </c>
      <c r="CP29" s="180">
        <v>412806</v>
      </c>
      <c r="CQ29" s="180">
        <v>619</v>
      </c>
      <c r="CR29" s="180">
        <v>92804</v>
      </c>
      <c r="CS29" s="180">
        <v>3417</v>
      </c>
      <c r="CT29" s="180">
        <v>521744</v>
      </c>
      <c r="CU29" s="180">
        <v>1449</v>
      </c>
      <c r="CV29" s="180">
        <v>186125</v>
      </c>
      <c r="CW29" s="180">
        <v>9504</v>
      </c>
      <c r="CX29" s="181">
        <v>1237436</v>
      </c>
      <c r="CY29" s="179">
        <v>96</v>
      </c>
      <c r="CZ29" s="180">
        <v>8310</v>
      </c>
      <c r="DA29" s="180">
        <v>637</v>
      </c>
      <c r="DB29" s="180">
        <v>51237</v>
      </c>
      <c r="DC29" s="180">
        <v>483</v>
      </c>
      <c r="DD29" s="180">
        <v>65598</v>
      </c>
      <c r="DE29" s="180">
        <v>2652</v>
      </c>
      <c r="DF29" s="180">
        <v>339993</v>
      </c>
      <c r="DG29" s="180">
        <v>661</v>
      </c>
      <c r="DH29" s="180">
        <v>83565</v>
      </c>
      <c r="DI29" s="180">
        <v>4267</v>
      </c>
      <c r="DJ29" s="180">
        <v>510609</v>
      </c>
      <c r="DK29" s="180">
        <v>733</v>
      </c>
      <c r="DL29" s="180">
        <v>109515</v>
      </c>
      <c r="DM29" s="180">
        <v>4202</v>
      </c>
      <c r="DN29" s="180">
        <v>639219</v>
      </c>
      <c r="DO29" s="180">
        <v>1973</v>
      </c>
      <c r="DP29" s="180">
        <v>266985</v>
      </c>
      <c r="DQ29" s="180">
        <v>11758</v>
      </c>
      <c r="DR29" s="181">
        <v>1541056</v>
      </c>
      <c r="DS29" s="179"/>
      <c r="DT29" s="180"/>
      <c r="DU29" s="180"/>
      <c r="DV29" s="180"/>
      <c r="DW29" s="180"/>
      <c r="DX29" s="180"/>
      <c r="DY29" s="180"/>
      <c r="DZ29" s="180"/>
      <c r="EA29" s="180"/>
      <c r="EB29" s="180"/>
      <c r="EC29" s="180"/>
      <c r="ED29" s="180"/>
      <c r="EE29" s="180"/>
      <c r="EF29" s="180"/>
      <c r="EG29" s="180"/>
      <c r="EH29" s="180"/>
      <c r="EI29" s="180"/>
      <c r="EJ29" s="180"/>
      <c r="EK29" s="180"/>
      <c r="EL29" s="181"/>
      <c r="EM29" s="179">
        <v>86</v>
      </c>
      <c r="EN29" s="180">
        <v>8558</v>
      </c>
      <c r="EO29" s="180">
        <v>893</v>
      </c>
      <c r="EP29" s="180">
        <v>73888</v>
      </c>
      <c r="EQ29" s="180">
        <v>338</v>
      </c>
      <c r="ER29" s="180">
        <v>40375</v>
      </c>
      <c r="ES29" s="180">
        <v>3541</v>
      </c>
      <c r="ET29" s="180">
        <v>450599</v>
      </c>
      <c r="EU29" s="180">
        <v>439</v>
      </c>
      <c r="EV29" s="180">
        <v>55997</v>
      </c>
      <c r="EW29" s="180">
        <v>5384</v>
      </c>
      <c r="EX29" s="180">
        <v>644405</v>
      </c>
      <c r="EY29" s="180">
        <v>595</v>
      </c>
      <c r="EZ29" s="180">
        <v>93325</v>
      </c>
      <c r="FA29" s="180">
        <v>5569</v>
      </c>
      <c r="FB29" s="180">
        <v>850149</v>
      </c>
      <c r="FC29" s="180">
        <v>1459</v>
      </c>
      <c r="FD29" s="180">
        <v>198255</v>
      </c>
      <c r="FE29" s="180">
        <v>15386</v>
      </c>
      <c r="FF29" s="181">
        <v>2019042</v>
      </c>
      <c r="FG29" s="179"/>
      <c r="FH29" s="180"/>
      <c r="FI29" s="180"/>
      <c r="FJ29" s="180"/>
      <c r="FK29" s="180"/>
      <c r="FL29" s="180"/>
      <c r="FM29" s="180"/>
      <c r="FN29" s="180"/>
      <c r="FO29" s="180"/>
      <c r="FP29" s="180"/>
      <c r="FQ29" s="180"/>
      <c r="FR29" s="180"/>
      <c r="FS29" s="180"/>
      <c r="FT29" s="180"/>
      <c r="FU29" s="180"/>
      <c r="FV29" s="180"/>
      <c r="FW29" s="180"/>
      <c r="FX29" s="180"/>
      <c r="FY29" s="180"/>
      <c r="FZ29" s="181"/>
      <c r="GA29" s="179">
        <v>146</v>
      </c>
      <c r="GB29" s="180">
        <v>10364</v>
      </c>
      <c r="GC29" s="180">
        <v>1212</v>
      </c>
      <c r="GD29" s="180">
        <v>97062</v>
      </c>
      <c r="GE29" s="180">
        <v>438</v>
      </c>
      <c r="GF29" s="180">
        <v>61666</v>
      </c>
      <c r="GG29" s="180">
        <v>4546</v>
      </c>
      <c r="GH29" s="180">
        <v>591761</v>
      </c>
      <c r="GI29" s="180">
        <v>605</v>
      </c>
      <c r="GJ29" s="180">
        <v>68770</v>
      </c>
      <c r="GK29" s="180">
        <v>6833</v>
      </c>
      <c r="GL29" s="180">
        <v>816732</v>
      </c>
      <c r="GM29" s="180">
        <v>578</v>
      </c>
      <c r="GN29" s="180">
        <v>90679</v>
      </c>
      <c r="GO29" s="180">
        <v>6901</v>
      </c>
      <c r="GP29" s="180">
        <v>1058857</v>
      </c>
      <c r="GQ29" s="180">
        <v>1766</v>
      </c>
      <c r="GR29" s="180">
        <v>231478</v>
      </c>
      <c r="GS29" s="180">
        <v>19491</v>
      </c>
      <c r="GT29" s="181">
        <v>2564411</v>
      </c>
      <c r="GU29" s="179">
        <v>114</v>
      </c>
      <c r="GV29" s="180">
        <v>7805</v>
      </c>
      <c r="GW29" s="180">
        <v>1330</v>
      </c>
      <c r="GX29" s="180">
        <v>105062</v>
      </c>
      <c r="GY29" s="180">
        <v>360</v>
      </c>
      <c r="GZ29" s="180">
        <v>43375</v>
      </c>
      <c r="HA29" s="180">
        <v>4983</v>
      </c>
      <c r="HB29" s="180">
        <v>642793</v>
      </c>
      <c r="HC29" s="180">
        <v>567</v>
      </c>
      <c r="HD29" s="180">
        <v>70961</v>
      </c>
      <c r="HE29" s="180">
        <v>7626</v>
      </c>
      <c r="HF29" s="180">
        <v>915644</v>
      </c>
      <c r="HG29" s="180">
        <v>620</v>
      </c>
      <c r="HH29" s="180">
        <v>106061</v>
      </c>
      <c r="HI29" s="180">
        <v>7639</v>
      </c>
      <c r="HJ29" s="180">
        <v>1184521</v>
      </c>
      <c r="HK29" s="180">
        <v>1662</v>
      </c>
      <c r="HL29" s="180">
        <v>228201</v>
      </c>
      <c r="HM29" s="180">
        <v>21577</v>
      </c>
      <c r="HN29" s="181">
        <v>2848019</v>
      </c>
      <c r="HO29" s="179"/>
      <c r="HP29" s="180"/>
      <c r="HQ29" s="180"/>
      <c r="HR29" s="180"/>
      <c r="HS29" s="180"/>
      <c r="HT29" s="180"/>
      <c r="HU29" s="180"/>
      <c r="HV29" s="180"/>
      <c r="HW29" s="180"/>
      <c r="HX29" s="180"/>
      <c r="HY29" s="180"/>
      <c r="HZ29" s="180"/>
      <c r="IA29" s="180"/>
      <c r="IB29" s="180"/>
      <c r="IC29" s="180"/>
      <c r="ID29" s="180"/>
      <c r="IE29" s="180"/>
      <c r="IF29" s="180"/>
      <c r="IG29" s="180"/>
      <c r="IH29" s="181"/>
    </row>
    <row r="30" spans="2:242">
      <c r="B30" s="175">
        <v>28</v>
      </c>
      <c r="C30" s="179">
        <v>103</v>
      </c>
      <c r="D30" s="180">
        <v>7596</v>
      </c>
      <c r="E30" s="180">
        <v>103</v>
      </c>
      <c r="F30" s="180">
        <v>7596</v>
      </c>
      <c r="G30" s="180">
        <v>432</v>
      </c>
      <c r="H30" s="180">
        <v>55192</v>
      </c>
      <c r="I30" s="180">
        <v>432</v>
      </c>
      <c r="J30" s="180">
        <v>55192</v>
      </c>
      <c r="K30" s="180">
        <v>470</v>
      </c>
      <c r="L30" s="180">
        <v>62334</v>
      </c>
      <c r="M30" s="180">
        <v>470</v>
      </c>
      <c r="N30" s="180">
        <v>62334</v>
      </c>
      <c r="O30" s="180">
        <v>601</v>
      </c>
      <c r="P30" s="180">
        <v>93916</v>
      </c>
      <c r="Q30" s="180">
        <v>601</v>
      </c>
      <c r="R30" s="180">
        <v>93916</v>
      </c>
      <c r="S30" s="180">
        <v>1605</v>
      </c>
      <c r="T30" s="180">
        <v>219040</v>
      </c>
      <c r="U30" s="180">
        <v>1605</v>
      </c>
      <c r="V30" s="181">
        <v>219040</v>
      </c>
      <c r="W30" s="179">
        <v>81</v>
      </c>
      <c r="X30" s="180">
        <v>5622</v>
      </c>
      <c r="Y30" s="180">
        <v>193</v>
      </c>
      <c r="Z30" s="180">
        <v>13818</v>
      </c>
      <c r="AA30" s="180">
        <v>365</v>
      </c>
      <c r="AB30" s="180">
        <v>45163</v>
      </c>
      <c r="AC30" s="180">
        <v>881</v>
      </c>
      <c r="AD30" s="180">
        <v>111430</v>
      </c>
      <c r="AE30" s="180">
        <v>844</v>
      </c>
      <c r="AF30" s="180">
        <v>99490</v>
      </c>
      <c r="AG30" s="180">
        <v>1615</v>
      </c>
      <c r="AH30" s="180">
        <v>192981</v>
      </c>
      <c r="AI30" s="180">
        <v>659</v>
      </c>
      <c r="AJ30" s="180">
        <v>100227</v>
      </c>
      <c r="AK30" s="180">
        <v>1333</v>
      </c>
      <c r="AL30" s="180">
        <v>204459</v>
      </c>
      <c r="AM30" s="180">
        <v>1950</v>
      </c>
      <c r="AN30" s="180">
        <v>250502</v>
      </c>
      <c r="AO30" s="180">
        <v>4022</v>
      </c>
      <c r="AP30" s="181">
        <v>522689</v>
      </c>
      <c r="AQ30" s="179">
        <v>108</v>
      </c>
      <c r="AR30" s="180">
        <v>9822</v>
      </c>
      <c r="AS30" s="180">
        <v>301</v>
      </c>
      <c r="AT30" s="180">
        <v>23640</v>
      </c>
      <c r="AU30" s="180">
        <v>395</v>
      </c>
      <c r="AV30" s="180">
        <v>55196</v>
      </c>
      <c r="AW30" s="180">
        <v>1276</v>
      </c>
      <c r="AX30" s="180">
        <v>166627</v>
      </c>
      <c r="AY30" s="180">
        <v>678</v>
      </c>
      <c r="AZ30" s="180">
        <v>79226</v>
      </c>
      <c r="BA30" s="180">
        <v>2292</v>
      </c>
      <c r="BB30" s="180">
        <v>272207</v>
      </c>
      <c r="BC30" s="180">
        <v>627</v>
      </c>
      <c r="BD30" s="180">
        <v>98638</v>
      </c>
      <c r="BE30" s="180">
        <v>1960</v>
      </c>
      <c r="BF30" s="180">
        <v>303096</v>
      </c>
      <c r="BG30" s="180">
        <v>1807</v>
      </c>
      <c r="BH30" s="180">
        <v>242882</v>
      </c>
      <c r="BI30" s="180">
        <v>5829</v>
      </c>
      <c r="BJ30" s="181">
        <v>765573</v>
      </c>
      <c r="BK30" s="179">
        <v>93</v>
      </c>
      <c r="BL30" s="180">
        <v>7535</v>
      </c>
      <c r="BM30" s="180">
        <v>399</v>
      </c>
      <c r="BN30" s="180">
        <v>31473</v>
      </c>
      <c r="BO30" s="180">
        <v>372</v>
      </c>
      <c r="BP30" s="180">
        <v>44108</v>
      </c>
      <c r="BQ30" s="180">
        <v>1663</v>
      </c>
      <c r="BR30" s="180">
        <v>212878</v>
      </c>
      <c r="BS30" s="180">
        <v>583</v>
      </c>
      <c r="BT30" s="180">
        <v>67938</v>
      </c>
      <c r="BU30" s="180">
        <v>2990</v>
      </c>
      <c r="BV30" s="180">
        <v>354910</v>
      </c>
      <c r="BW30" s="180">
        <v>732</v>
      </c>
      <c r="BX30" s="180">
        <v>110895</v>
      </c>
      <c r="BY30" s="180">
        <v>2735</v>
      </c>
      <c r="BZ30" s="180">
        <v>419811</v>
      </c>
      <c r="CA30" s="180">
        <v>1782</v>
      </c>
      <c r="CB30" s="180">
        <v>230476</v>
      </c>
      <c r="CC30" s="180">
        <v>7786</v>
      </c>
      <c r="CD30" s="181">
        <v>1019073</v>
      </c>
      <c r="CE30" s="179">
        <v>111</v>
      </c>
      <c r="CF30" s="180">
        <v>9010</v>
      </c>
      <c r="CG30" s="180">
        <v>512</v>
      </c>
      <c r="CH30" s="180">
        <v>40635</v>
      </c>
      <c r="CI30" s="180">
        <v>363</v>
      </c>
      <c r="CJ30" s="180">
        <v>45350</v>
      </c>
      <c r="CK30" s="180">
        <v>2091</v>
      </c>
      <c r="CL30" s="180">
        <v>266492</v>
      </c>
      <c r="CM30" s="180">
        <v>438</v>
      </c>
      <c r="CN30" s="180">
        <v>51966</v>
      </c>
      <c r="CO30" s="180">
        <v>3568</v>
      </c>
      <c r="CP30" s="180">
        <v>421571</v>
      </c>
      <c r="CQ30" s="180">
        <v>641</v>
      </c>
      <c r="CR30" s="180">
        <v>95646</v>
      </c>
      <c r="CS30" s="180">
        <v>3439</v>
      </c>
      <c r="CT30" s="180">
        <v>524587</v>
      </c>
      <c r="CU30" s="180">
        <v>1554</v>
      </c>
      <c r="CV30" s="180">
        <v>201971</v>
      </c>
      <c r="CW30" s="180">
        <v>9610</v>
      </c>
      <c r="CX30" s="181">
        <v>1253283</v>
      </c>
      <c r="CY30" s="179"/>
      <c r="CZ30" s="180"/>
      <c r="DA30" s="180"/>
      <c r="DB30" s="180"/>
      <c r="DC30" s="180"/>
      <c r="DD30" s="180"/>
      <c r="DE30" s="180"/>
      <c r="DF30" s="180"/>
      <c r="DG30" s="180"/>
      <c r="DH30" s="180"/>
      <c r="DI30" s="180"/>
      <c r="DJ30" s="180"/>
      <c r="DK30" s="180"/>
      <c r="DL30" s="180"/>
      <c r="DM30" s="180"/>
      <c r="DN30" s="180"/>
      <c r="DO30" s="180"/>
      <c r="DP30" s="180"/>
      <c r="DQ30" s="180"/>
      <c r="DR30" s="181"/>
      <c r="DS30" s="179">
        <v>106</v>
      </c>
      <c r="DT30" s="180">
        <v>8393</v>
      </c>
      <c r="DU30" s="180">
        <v>750</v>
      </c>
      <c r="DV30" s="180">
        <v>60049</v>
      </c>
      <c r="DW30" s="180">
        <v>475</v>
      </c>
      <c r="DX30" s="180">
        <v>61082</v>
      </c>
      <c r="DY30" s="180">
        <v>3160</v>
      </c>
      <c r="DZ30" s="180">
        <v>405051</v>
      </c>
      <c r="EA30" s="180">
        <v>569</v>
      </c>
      <c r="EB30" s="180">
        <v>66781</v>
      </c>
      <c r="EC30" s="180">
        <v>4857</v>
      </c>
      <c r="ED30" s="180">
        <v>580294</v>
      </c>
      <c r="EE30" s="180">
        <v>695</v>
      </c>
      <c r="EF30" s="180">
        <v>106281</v>
      </c>
      <c r="EG30" s="180">
        <v>4930</v>
      </c>
      <c r="EH30" s="180">
        <v>750199</v>
      </c>
      <c r="EI30" s="180">
        <v>1845</v>
      </c>
      <c r="EJ30" s="180">
        <v>242539</v>
      </c>
      <c r="EK30" s="180">
        <v>13698</v>
      </c>
      <c r="EL30" s="181">
        <v>1795594</v>
      </c>
      <c r="EM30" s="179">
        <v>86</v>
      </c>
      <c r="EN30" s="180">
        <v>8558</v>
      </c>
      <c r="EO30" s="180">
        <v>893</v>
      </c>
      <c r="EP30" s="180">
        <v>73888</v>
      </c>
      <c r="EQ30" s="180">
        <v>353</v>
      </c>
      <c r="ER30" s="180">
        <v>41776</v>
      </c>
      <c r="ES30" s="180">
        <v>3555</v>
      </c>
      <c r="ET30" s="180">
        <v>452001</v>
      </c>
      <c r="EU30" s="180">
        <v>471</v>
      </c>
      <c r="EV30" s="180">
        <v>60313</v>
      </c>
      <c r="EW30" s="180">
        <v>5416</v>
      </c>
      <c r="EX30" s="180">
        <v>648721</v>
      </c>
      <c r="EY30" s="180">
        <v>616</v>
      </c>
      <c r="EZ30" s="180">
        <v>96538</v>
      </c>
      <c r="FA30" s="180">
        <v>5590</v>
      </c>
      <c r="FB30" s="180">
        <v>853362</v>
      </c>
      <c r="FC30" s="180">
        <v>1526</v>
      </c>
      <c r="FD30" s="180">
        <v>207185</v>
      </c>
      <c r="FE30" s="180">
        <v>15453</v>
      </c>
      <c r="FF30" s="181">
        <v>2027973</v>
      </c>
      <c r="FG30" s="179"/>
      <c r="FH30" s="180"/>
      <c r="FI30" s="180"/>
      <c r="FJ30" s="180"/>
      <c r="FK30" s="180"/>
      <c r="FL30" s="180"/>
      <c r="FM30" s="180"/>
      <c r="FN30" s="180"/>
      <c r="FO30" s="180"/>
      <c r="FP30" s="180"/>
      <c r="FQ30" s="180"/>
      <c r="FR30" s="180"/>
      <c r="FS30" s="180"/>
      <c r="FT30" s="180"/>
      <c r="FU30" s="180"/>
      <c r="FV30" s="180"/>
      <c r="FW30" s="180"/>
      <c r="FX30" s="180"/>
      <c r="FY30" s="180"/>
      <c r="FZ30" s="181"/>
      <c r="GA30" s="179">
        <v>146</v>
      </c>
      <c r="GB30" s="180">
        <v>10364</v>
      </c>
      <c r="GC30" s="180">
        <v>1212</v>
      </c>
      <c r="GD30" s="180">
        <v>97062</v>
      </c>
      <c r="GE30" s="180">
        <v>449</v>
      </c>
      <c r="GF30" s="180">
        <v>62654</v>
      </c>
      <c r="GG30" s="180">
        <v>4557</v>
      </c>
      <c r="GH30" s="180">
        <v>592750</v>
      </c>
      <c r="GI30" s="180">
        <v>605</v>
      </c>
      <c r="GJ30" s="180">
        <v>68819</v>
      </c>
      <c r="GK30" s="180">
        <v>6833</v>
      </c>
      <c r="GL30" s="180">
        <v>816781</v>
      </c>
      <c r="GM30" s="180">
        <v>603</v>
      </c>
      <c r="GN30" s="180">
        <v>95189</v>
      </c>
      <c r="GO30" s="180">
        <v>6926</v>
      </c>
      <c r="GP30" s="180">
        <v>1063366</v>
      </c>
      <c r="GQ30" s="180">
        <v>1803</v>
      </c>
      <c r="GR30" s="180">
        <v>237026</v>
      </c>
      <c r="GS30" s="180">
        <v>19528</v>
      </c>
      <c r="GT30" s="181">
        <v>2569959</v>
      </c>
      <c r="GU30" s="179">
        <v>119</v>
      </c>
      <c r="GV30" s="180">
        <v>8056</v>
      </c>
      <c r="GW30" s="180">
        <v>1335</v>
      </c>
      <c r="GX30" s="180">
        <v>105313</v>
      </c>
      <c r="GY30" s="180">
        <v>386</v>
      </c>
      <c r="GZ30" s="180">
        <v>46116</v>
      </c>
      <c r="HA30" s="180">
        <v>5009</v>
      </c>
      <c r="HB30" s="180">
        <v>645534</v>
      </c>
      <c r="HC30" s="180">
        <v>673</v>
      </c>
      <c r="HD30" s="180">
        <v>84104</v>
      </c>
      <c r="HE30" s="180">
        <v>7731</v>
      </c>
      <c r="HF30" s="180">
        <v>928786</v>
      </c>
      <c r="HG30" s="180">
        <v>655</v>
      </c>
      <c r="HH30" s="180">
        <v>110846</v>
      </c>
      <c r="HI30" s="180">
        <v>7674</v>
      </c>
      <c r="HJ30" s="180">
        <v>1189305</v>
      </c>
      <c r="HK30" s="180">
        <v>1833</v>
      </c>
      <c r="HL30" s="180">
        <v>249118</v>
      </c>
      <c r="HM30" s="180">
        <v>21748</v>
      </c>
      <c r="HN30" s="181">
        <v>2868938</v>
      </c>
      <c r="HO30" s="179"/>
      <c r="HP30" s="180"/>
      <c r="HQ30" s="180"/>
      <c r="HR30" s="180"/>
      <c r="HS30" s="180"/>
      <c r="HT30" s="180"/>
      <c r="HU30" s="180"/>
      <c r="HV30" s="180"/>
      <c r="HW30" s="180"/>
      <c r="HX30" s="180"/>
      <c r="HY30" s="180"/>
      <c r="HZ30" s="180"/>
      <c r="IA30" s="180"/>
      <c r="IB30" s="180"/>
      <c r="IC30" s="180"/>
      <c r="ID30" s="180"/>
      <c r="IE30" s="180"/>
      <c r="IF30" s="180"/>
      <c r="IG30" s="180"/>
      <c r="IH30" s="181"/>
    </row>
    <row r="31" spans="2:242">
      <c r="B31" s="175">
        <v>29</v>
      </c>
      <c r="C31" s="179">
        <v>104</v>
      </c>
      <c r="D31" s="180">
        <v>7660</v>
      </c>
      <c r="E31" s="180">
        <v>104</v>
      </c>
      <c r="F31" s="180">
        <v>7660</v>
      </c>
      <c r="G31" s="180">
        <v>442</v>
      </c>
      <c r="H31" s="180">
        <v>55945</v>
      </c>
      <c r="I31" s="180">
        <v>442</v>
      </c>
      <c r="J31" s="180">
        <v>55945</v>
      </c>
      <c r="K31" s="180">
        <v>537</v>
      </c>
      <c r="L31" s="180">
        <v>68394</v>
      </c>
      <c r="M31" s="180">
        <v>537</v>
      </c>
      <c r="N31" s="180">
        <v>68394</v>
      </c>
      <c r="O31" s="180">
        <v>625</v>
      </c>
      <c r="P31" s="180">
        <v>97563</v>
      </c>
      <c r="Q31" s="180">
        <v>625</v>
      </c>
      <c r="R31" s="180">
        <v>97563</v>
      </c>
      <c r="S31" s="180">
        <v>1708</v>
      </c>
      <c r="T31" s="180">
        <v>229563</v>
      </c>
      <c r="U31" s="180">
        <v>1708</v>
      </c>
      <c r="V31" s="181">
        <v>229563</v>
      </c>
      <c r="W31" s="179"/>
      <c r="X31" s="180"/>
      <c r="Y31" s="180"/>
      <c r="Z31" s="180"/>
      <c r="AA31" s="180"/>
      <c r="AB31" s="180"/>
      <c r="AC31" s="180"/>
      <c r="AD31" s="180"/>
      <c r="AE31" s="180"/>
      <c r="AF31" s="180"/>
      <c r="AG31" s="180"/>
      <c r="AH31" s="180"/>
      <c r="AI31" s="180"/>
      <c r="AJ31" s="180"/>
      <c r="AK31" s="180"/>
      <c r="AL31" s="180"/>
      <c r="AM31" s="180"/>
      <c r="AN31" s="180"/>
      <c r="AO31" s="180"/>
      <c r="AP31" s="181"/>
      <c r="AQ31" s="179"/>
      <c r="AR31" s="180"/>
      <c r="AS31" s="180"/>
      <c r="AT31" s="180"/>
      <c r="AU31" s="180"/>
      <c r="AV31" s="180"/>
      <c r="AW31" s="180"/>
      <c r="AX31" s="180"/>
      <c r="AY31" s="180"/>
      <c r="AZ31" s="180"/>
      <c r="BA31" s="180"/>
      <c r="BB31" s="180"/>
      <c r="BC31" s="180"/>
      <c r="BD31" s="180"/>
      <c r="BE31" s="180"/>
      <c r="BF31" s="180"/>
      <c r="BG31" s="180"/>
      <c r="BH31" s="180"/>
      <c r="BI31" s="180"/>
      <c r="BJ31" s="181"/>
      <c r="BK31" s="179">
        <v>96</v>
      </c>
      <c r="BL31" s="180">
        <v>7687</v>
      </c>
      <c r="BM31" s="180">
        <v>401</v>
      </c>
      <c r="BN31" s="180">
        <v>31626</v>
      </c>
      <c r="BO31" s="180">
        <v>396</v>
      </c>
      <c r="BP31" s="180">
        <v>46350</v>
      </c>
      <c r="BQ31" s="180">
        <v>1687</v>
      </c>
      <c r="BR31" s="180">
        <v>215122</v>
      </c>
      <c r="BS31" s="180">
        <v>619</v>
      </c>
      <c r="BT31" s="180">
        <v>71635</v>
      </c>
      <c r="BU31" s="180">
        <v>3025</v>
      </c>
      <c r="BV31" s="180">
        <v>358607</v>
      </c>
      <c r="BW31" s="180">
        <v>756</v>
      </c>
      <c r="BX31" s="180">
        <v>115044</v>
      </c>
      <c r="BY31" s="180">
        <v>2758</v>
      </c>
      <c r="BZ31" s="180">
        <v>423961</v>
      </c>
      <c r="CA31" s="180">
        <v>1867</v>
      </c>
      <c r="CB31" s="180">
        <v>240718</v>
      </c>
      <c r="CC31" s="180">
        <v>7871</v>
      </c>
      <c r="CD31" s="181">
        <v>1029314</v>
      </c>
      <c r="CE31" s="179"/>
      <c r="CF31" s="180"/>
      <c r="CG31" s="180"/>
      <c r="CH31" s="180"/>
      <c r="CI31" s="180"/>
      <c r="CJ31" s="180"/>
      <c r="CK31" s="180"/>
      <c r="CL31" s="180"/>
      <c r="CM31" s="180"/>
      <c r="CN31" s="180"/>
      <c r="CO31" s="180"/>
      <c r="CP31" s="180"/>
      <c r="CQ31" s="180"/>
      <c r="CR31" s="180"/>
      <c r="CS31" s="180"/>
      <c r="CT31" s="180"/>
      <c r="CU31" s="180"/>
      <c r="CV31" s="180"/>
      <c r="CW31" s="180"/>
      <c r="CX31" s="181"/>
      <c r="CY31" s="179"/>
      <c r="CZ31" s="180"/>
      <c r="DA31" s="180"/>
      <c r="DB31" s="180"/>
      <c r="DC31" s="180"/>
      <c r="DD31" s="180"/>
      <c r="DE31" s="180"/>
      <c r="DF31" s="180"/>
      <c r="DG31" s="180"/>
      <c r="DH31" s="180"/>
      <c r="DI31" s="180"/>
      <c r="DJ31" s="180"/>
      <c r="DK31" s="180"/>
      <c r="DL31" s="180"/>
      <c r="DM31" s="180"/>
      <c r="DN31" s="180"/>
      <c r="DO31" s="180"/>
      <c r="DP31" s="180"/>
      <c r="DQ31" s="180"/>
      <c r="DR31" s="181"/>
      <c r="DS31" s="179">
        <v>134</v>
      </c>
      <c r="DT31" s="180">
        <v>11042</v>
      </c>
      <c r="DU31" s="180">
        <v>778</v>
      </c>
      <c r="DV31" s="180">
        <v>62698</v>
      </c>
      <c r="DW31" s="180">
        <v>491</v>
      </c>
      <c r="DX31" s="180">
        <v>62996</v>
      </c>
      <c r="DY31" s="180">
        <v>3176</v>
      </c>
      <c r="DZ31" s="180">
        <v>406965</v>
      </c>
      <c r="EA31" s="180">
        <v>602</v>
      </c>
      <c r="EB31" s="180">
        <v>69090</v>
      </c>
      <c r="EC31" s="180">
        <v>4891</v>
      </c>
      <c r="ED31" s="180">
        <v>582601</v>
      </c>
      <c r="EE31" s="180">
        <v>713</v>
      </c>
      <c r="EF31" s="180">
        <v>109729</v>
      </c>
      <c r="EG31" s="180">
        <v>4948</v>
      </c>
      <c r="EH31" s="180">
        <v>753647</v>
      </c>
      <c r="EI31" s="180">
        <v>1940</v>
      </c>
      <c r="EJ31" s="180">
        <v>252856</v>
      </c>
      <c r="EK31" s="180">
        <v>13792</v>
      </c>
      <c r="EL31" s="181">
        <v>1805911</v>
      </c>
      <c r="EM31" s="179">
        <v>122</v>
      </c>
      <c r="EN31" s="180">
        <v>10951</v>
      </c>
      <c r="EO31" s="180">
        <v>929</v>
      </c>
      <c r="EP31" s="180">
        <v>76281</v>
      </c>
      <c r="EQ31" s="180">
        <v>385</v>
      </c>
      <c r="ER31" s="180">
        <v>49241</v>
      </c>
      <c r="ES31" s="180">
        <v>3588</v>
      </c>
      <c r="ET31" s="180">
        <v>459466</v>
      </c>
      <c r="EU31" s="180">
        <v>549</v>
      </c>
      <c r="EV31" s="180">
        <v>71078</v>
      </c>
      <c r="EW31" s="180">
        <v>5494</v>
      </c>
      <c r="EX31" s="180">
        <v>659485</v>
      </c>
      <c r="EY31" s="180">
        <v>644</v>
      </c>
      <c r="EZ31" s="180">
        <v>101293</v>
      </c>
      <c r="FA31" s="180">
        <v>5618</v>
      </c>
      <c r="FB31" s="180">
        <v>858117</v>
      </c>
      <c r="FC31" s="180">
        <v>1700</v>
      </c>
      <c r="FD31" s="180">
        <v>232562</v>
      </c>
      <c r="FE31" s="180">
        <v>15628</v>
      </c>
      <c r="FF31" s="181">
        <v>2053351</v>
      </c>
      <c r="FG31" s="179">
        <v>131</v>
      </c>
      <c r="FH31" s="180">
        <v>9951</v>
      </c>
      <c r="FI31" s="180">
        <v>1060</v>
      </c>
      <c r="FJ31" s="180">
        <v>86233</v>
      </c>
      <c r="FK31" s="180">
        <v>469</v>
      </c>
      <c r="FL31" s="180">
        <v>61822</v>
      </c>
      <c r="FM31" s="180">
        <v>4057</v>
      </c>
      <c r="FN31" s="180">
        <v>521287</v>
      </c>
      <c r="FO31" s="180">
        <v>651</v>
      </c>
      <c r="FP31" s="180">
        <v>75984</v>
      </c>
      <c r="FQ31" s="180">
        <v>6145</v>
      </c>
      <c r="FR31" s="180">
        <v>735469</v>
      </c>
      <c r="FS31" s="180">
        <v>662</v>
      </c>
      <c r="FT31" s="180">
        <v>103709</v>
      </c>
      <c r="FU31" s="180">
        <v>6280</v>
      </c>
      <c r="FV31" s="180">
        <v>961827</v>
      </c>
      <c r="FW31" s="180">
        <v>1914</v>
      </c>
      <c r="FX31" s="180">
        <v>251464</v>
      </c>
      <c r="FY31" s="180">
        <v>17541</v>
      </c>
      <c r="FZ31" s="181">
        <v>2304815</v>
      </c>
      <c r="GA31" s="179">
        <v>146</v>
      </c>
      <c r="GB31" s="180">
        <v>10364</v>
      </c>
      <c r="GC31" s="180">
        <v>1212</v>
      </c>
      <c r="GD31" s="180">
        <v>97062</v>
      </c>
      <c r="GE31" s="180">
        <v>455</v>
      </c>
      <c r="GF31" s="180">
        <v>63097</v>
      </c>
      <c r="GG31" s="180">
        <v>4564</v>
      </c>
      <c r="GH31" s="180">
        <v>593192</v>
      </c>
      <c r="GI31" s="180">
        <v>656</v>
      </c>
      <c r="GJ31" s="180">
        <v>74010</v>
      </c>
      <c r="GK31" s="180">
        <v>6885</v>
      </c>
      <c r="GL31" s="180">
        <v>821972</v>
      </c>
      <c r="GM31" s="180">
        <v>628</v>
      </c>
      <c r="GN31" s="180">
        <v>99374</v>
      </c>
      <c r="GO31" s="180">
        <v>6951</v>
      </c>
      <c r="GP31" s="180">
        <v>1067552</v>
      </c>
      <c r="GQ31" s="180">
        <v>1886</v>
      </c>
      <c r="GR31" s="180">
        <v>246843</v>
      </c>
      <c r="GS31" s="180">
        <v>19610</v>
      </c>
      <c r="GT31" s="181">
        <v>2579777</v>
      </c>
      <c r="GU31" s="179"/>
      <c r="GV31" s="180"/>
      <c r="GW31" s="180"/>
      <c r="GX31" s="180"/>
      <c r="GY31" s="180"/>
      <c r="GZ31" s="180"/>
      <c r="HA31" s="180"/>
      <c r="HB31" s="180"/>
      <c r="HC31" s="180"/>
      <c r="HD31" s="180"/>
      <c r="HE31" s="180"/>
      <c r="HF31" s="180"/>
      <c r="HG31" s="180"/>
      <c r="HH31" s="180"/>
      <c r="HI31" s="180"/>
      <c r="HJ31" s="180"/>
      <c r="HK31" s="180"/>
      <c r="HL31" s="180"/>
      <c r="HM31" s="180"/>
      <c r="HN31" s="181"/>
      <c r="HO31" s="179">
        <v>144</v>
      </c>
      <c r="HP31" s="180">
        <v>11099</v>
      </c>
      <c r="HQ31" s="180">
        <v>1479</v>
      </c>
      <c r="HR31" s="180">
        <v>116412</v>
      </c>
      <c r="HS31" s="180">
        <v>399</v>
      </c>
      <c r="HT31" s="180">
        <v>57318</v>
      </c>
      <c r="HU31" s="180">
        <v>5408</v>
      </c>
      <c r="HV31" s="180">
        <v>702853</v>
      </c>
      <c r="HW31" s="180">
        <v>550</v>
      </c>
      <c r="HX31" s="180">
        <v>63998</v>
      </c>
      <c r="HY31" s="180">
        <v>8281</v>
      </c>
      <c r="HZ31" s="180">
        <v>992786</v>
      </c>
      <c r="IA31" s="180">
        <v>654</v>
      </c>
      <c r="IB31" s="180">
        <v>104115</v>
      </c>
      <c r="IC31" s="180">
        <v>8328</v>
      </c>
      <c r="ID31" s="180">
        <v>1293421</v>
      </c>
      <c r="IE31" s="180">
        <v>1747</v>
      </c>
      <c r="IF31" s="180">
        <v>236532</v>
      </c>
      <c r="IG31" s="180">
        <v>23496</v>
      </c>
      <c r="IH31" s="181">
        <v>3105470</v>
      </c>
    </row>
    <row r="32" spans="2:242">
      <c r="B32" s="175">
        <v>30</v>
      </c>
      <c r="C32" s="179">
        <v>109</v>
      </c>
      <c r="D32" s="180">
        <v>7951</v>
      </c>
      <c r="E32" s="180">
        <v>109</v>
      </c>
      <c r="F32" s="180">
        <v>7951</v>
      </c>
      <c r="G32" s="180">
        <v>495</v>
      </c>
      <c r="H32" s="180">
        <v>64233</v>
      </c>
      <c r="I32" s="180">
        <v>495</v>
      </c>
      <c r="J32" s="180">
        <v>64233</v>
      </c>
      <c r="K32" s="180">
        <v>595</v>
      </c>
      <c r="L32" s="180">
        <v>76634</v>
      </c>
      <c r="M32" s="180">
        <v>595</v>
      </c>
      <c r="N32" s="180">
        <v>76634</v>
      </c>
      <c r="O32" s="180">
        <v>648</v>
      </c>
      <c r="P32" s="180">
        <v>100433</v>
      </c>
      <c r="Q32" s="180">
        <v>648</v>
      </c>
      <c r="R32" s="180">
        <v>100433</v>
      </c>
      <c r="S32" s="180">
        <v>1847</v>
      </c>
      <c r="T32" s="180">
        <v>249251</v>
      </c>
      <c r="U32" s="180">
        <v>1847</v>
      </c>
      <c r="V32" s="181">
        <v>249251</v>
      </c>
      <c r="W32" s="179"/>
      <c r="X32" s="180"/>
      <c r="Y32" s="180"/>
      <c r="Z32" s="180"/>
      <c r="AA32" s="180"/>
      <c r="AB32" s="180"/>
      <c r="AC32" s="180"/>
      <c r="AD32" s="180"/>
      <c r="AE32" s="180"/>
      <c r="AF32" s="180"/>
      <c r="AG32" s="180"/>
      <c r="AH32" s="180"/>
      <c r="AI32" s="180"/>
      <c r="AJ32" s="180"/>
      <c r="AK32" s="180"/>
      <c r="AL32" s="180"/>
      <c r="AM32" s="180"/>
      <c r="AN32" s="180"/>
      <c r="AO32" s="180"/>
      <c r="AP32" s="181"/>
      <c r="AQ32" s="179"/>
      <c r="AR32" s="180"/>
      <c r="AS32" s="180"/>
      <c r="AT32" s="180"/>
      <c r="AU32" s="180"/>
      <c r="AV32" s="180"/>
      <c r="AW32" s="180"/>
      <c r="AX32" s="180"/>
      <c r="AY32" s="180"/>
      <c r="AZ32" s="180"/>
      <c r="BA32" s="180"/>
      <c r="BB32" s="180"/>
      <c r="BC32" s="180"/>
      <c r="BD32" s="180"/>
      <c r="BE32" s="180"/>
      <c r="BF32" s="180"/>
      <c r="BG32" s="180"/>
      <c r="BH32" s="180"/>
      <c r="BI32" s="180"/>
      <c r="BJ32" s="181"/>
      <c r="BK32" s="179">
        <v>96</v>
      </c>
      <c r="BL32" s="180">
        <v>7687</v>
      </c>
      <c r="BM32" s="180">
        <v>401</v>
      </c>
      <c r="BN32" s="180">
        <v>31626</v>
      </c>
      <c r="BO32" s="180">
        <v>437</v>
      </c>
      <c r="BP32" s="180">
        <v>52372</v>
      </c>
      <c r="BQ32" s="180">
        <v>1728</v>
      </c>
      <c r="BR32" s="180">
        <v>221143</v>
      </c>
      <c r="BS32" s="180">
        <v>723</v>
      </c>
      <c r="BT32" s="180">
        <v>82632</v>
      </c>
      <c r="BU32" s="180">
        <v>3129</v>
      </c>
      <c r="BV32" s="180">
        <v>369603</v>
      </c>
      <c r="BW32" s="180">
        <v>795</v>
      </c>
      <c r="BX32" s="180">
        <v>120024</v>
      </c>
      <c r="BY32" s="180">
        <v>2798</v>
      </c>
      <c r="BZ32" s="180">
        <v>428940</v>
      </c>
      <c r="CA32" s="180">
        <v>2051</v>
      </c>
      <c r="CB32" s="180">
        <v>262715</v>
      </c>
      <c r="CC32" s="180">
        <v>8056</v>
      </c>
      <c r="CD32" s="181">
        <v>1051312</v>
      </c>
      <c r="CE32" s="179">
        <v>140</v>
      </c>
      <c r="CF32" s="180">
        <v>11303</v>
      </c>
      <c r="CG32" s="180">
        <v>541</v>
      </c>
      <c r="CH32" s="180">
        <v>42927</v>
      </c>
      <c r="CI32" s="180">
        <v>442</v>
      </c>
      <c r="CJ32" s="180">
        <v>53253</v>
      </c>
      <c r="CK32" s="180">
        <v>2169</v>
      </c>
      <c r="CL32" s="180">
        <v>274395</v>
      </c>
      <c r="CM32" s="180">
        <v>474</v>
      </c>
      <c r="CN32" s="180">
        <v>57044</v>
      </c>
      <c r="CO32" s="180">
        <v>3604</v>
      </c>
      <c r="CP32" s="180">
        <v>426649</v>
      </c>
      <c r="CQ32" s="180">
        <v>672</v>
      </c>
      <c r="CR32" s="180">
        <v>100765</v>
      </c>
      <c r="CS32" s="180">
        <v>3469</v>
      </c>
      <c r="CT32" s="180">
        <v>529705</v>
      </c>
      <c r="CU32" s="180">
        <v>1728</v>
      </c>
      <c r="CV32" s="180">
        <v>222362</v>
      </c>
      <c r="CW32" s="180">
        <v>9783</v>
      </c>
      <c r="CX32" s="181">
        <v>1273673</v>
      </c>
      <c r="CY32" s="179">
        <v>103</v>
      </c>
      <c r="CZ32" s="180">
        <v>8729</v>
      </c>
      <c r="DA32" s="180">
        <v>644</v>
      </c>
      <c r="DB32" s="180">
        <v>51656</v>
      </c>
      <c r="DC32" s="180">
        <v>516</v>
      </c>
      <c r="DD32" s="180">
        <v>69574</v>
      </c>
      <c r="DE32" s="180">
        <v>2686</v>
      </c>
      <c r="DF32" s="180">
        <v>343969</v>
      </c>
      <c r="DG32" s="180">
        <v>682</v>
      </c>
      <c r="DH32" s="180">
        <v>86467</v>
      </c>
      <c r="DI32" s="180">
        <v>4288</v>
      </c>
      <c r="DJ32" s="180">
        <v>513512</v>
      </c>
      <c r="DK32" s="180">
        <v>765</v>
      </c>
      <c r="DL32" s="180">
        <v>114213</v>
      </c>
      <c r="DM32" s="180">
        <v>4234</v>
      </c>
      <c r="DN32" s="180">
        <v>643918</v>
      </c>
      <c r="DO32" s="180">
        <v>2066</v>
      </c>
      <c r="DP32" s="180">
        <v>278984</v>
      </c>
      <c r="DQ32" s="180">
        <v>11852</v>
      </c>
      <c r="DR32" s="181">
        <v>1553056</v>
      </c>
      <c r="DS32" s="179">
        <v>158</v>
      </c>
      <c r="DT32" s="180">
        <v>13249</v>
      </c>
      <c r="DU32" s="180">
        <v>802</v>
      </c>
      <c r="DV32" s="180">
        <v>64906</v>
      </c>
      <c r="DW32" s="180">
        <v>501</v>
      </c>
      <c r="DX32" s="180">
        <v>63712</v>
      </c>
      <c r="DY32" s="180">
        <v>3186</v>
      </c>
      <c r="DZ32" s="180">
        <v>407681</v>
      </c>
      <c r="EA32" s="180">
        <v>610</v>
      </c>
      <c r="EB32" s="180">
        <v>69904</v>
      </c>
      <c r="EC32" s="180">
        <v>4898</v>
      </c>
      <c r="ED32" s="180">
        <v>583416</v>
      </c>
      <c r="EE32" s="180">
        <v>727</v>
      </c>
      <c r="EF32" s="180">
        <v>111421</v>
      </c>
      <c r="EG32" s="180">
        <v>4961</v>
      </c>
      <c r="EH32" s="180">
        <v>755339</v>
      </c>
      <c r="EI32" s="180">
        <v>1996</v>
      </c>
      <c r="EJ32" s="180">
        <v>258286</v>
      </c>
      <c r="EK32" s="180">
        <v>13848</v>
      </c>
      <c r="EL32" s="181">
        <v>1811341</v>
      </c>
      <c r="EM32" s="179"/>
      <c r="EN32" s="180"/>
      <c r="EO32" s="180"/>
      <c r="EP32" s="180"/>
      <c r="EQ32" s="180"/>
      <c r="ER32" s="180"/>
      <c r="ES32" s="180"/>
      <c r="ET32" s="180"/>
      <c r="EU32" s="180"/>
      <c r="EV32" s="180"/>
      <c r="EW32" s="180"/>
      <c r="EX32" s="180"/>
      <c r="EY32" s="180"/>
      <c r="EZ32" s="180"/>
      <c r="FA32" s="180"/>
      <c r="FB32" s="180"/>
      <c r="FC32" s="180"/>
      <c r="FD32" s="180"/>
      <c r="FE32" s="180"/>
      <c r="FF32" s="181"/>
      <c r="FG32" s="179">
        <v>137</v>
      </c>
      <c r="FH32" s="180">
        <v>10418</v>
      </c>
      <c r="FI32" s="180">
        <v>1066</v>
      </c>
      <c r="FJ32" s="180">
        <v>86699</v>
      </c>
      <c r="FK32" s="180">
        <v>520</v>
      </c>
      <c r="FL32" s="180">
        <v>70630</v>
      </c>
      <c r="FM32" s="180">
        <v>4109</v>
      </c>
      <c r="FN32" s="180">
        <v>530094</v>
      </c>
      <c r="FO32" s="180">
        <v>735</v>
      </c>
      <c r="FP32" s="180">
        <v>88476</v>
      </c>
      <c r="FQ32" s="180">
        <v>6228</v>
      </c>
      <c r="FR32" s="180">
        <v>747960</v>
      </c>
      <c r="FS32" s="180">
        <v>705</v>
      </c>
      <c r="FT32" s="180">
        <v>110060</v>
      </c>
      <c r="FU32" s="180">
        <v>6323</v>
      </c>
      <c r="FV32" s="180">
        <v>968177</v>
      </c>
      <c r="FW32" s="180">
        <v>2097</v>
      </c>
      <c r="FX32" s="180">
        <v>279582</v>
      </c>
      <c r="FY32" s="180">
        <v>17725</v>
      </c>
      <c r="FZ32" s="181">
        <v>2332934</v>
      </c>
      <c r="GA32" s="179">
        <v>146</v>
      </c>
      <c r="GB32" s="180">
        <v>10364</v>
      </c>
      <c r="GC32" s="180">
        <v>1212</v>
      </c>
      <c r="GD32" s="180">
        <v>97062</v>
      </c>
      <c r="GE32" s="180">
        <v>486</v>
      </c>
      <c r="GF32" s="180">
        <v>66470</v>
      </c>
      <c r="GG32" s="180">
        <v>4594</v>
      </c>
      <c r="GH32" s="180">
        <v>596565</v>
      </c>
      <c r="GI32" s="180">
        <v>711</v>
      </c>
      <c r="GJ32" s="180">
        <v>80060</v>
      </c>
      <c r="GK32" s="180">
        <v>6940</v>
      </c>
      <c r="GL32" s="180">
        <v>828021</v>
      </c>
      <c r="GM32" s="180">
        <v>648</v>
      </c>
      <c r="GN32" s="180">
        <v>102036</v>
      </c>
      <c r="GO32" s="180">
        <v>6971</v>
      </c>
      <c r="GP32" s="180">
        <v>1070213</v>
      </c>
      <c r="GQ32" s="180">
        <v>1992</v>
      </c>
      <c r="GR32" s="180">
        <v>258928</v>
      </c>
      <c r="GS32" s="180">
        <v>19716</v>
      </c>
      <c r="GT32" s="181">
        <v>2591861</v>
      </c>
      <c r="GU32" s="179"/>
      <c r="GV32" s="180"/>
      <c r="GW32" s="180"/>
      <c r="GX32" s="180"/>
      <c r="GY32" s="180"/>
      <c r="GZ32" s="180"/>
      <c r="HA32" s="180"/>
      <c r="HB32" s="180"/>
      <c r="HC32" s="180"/>
      <c r="HD32" s="180"/>
      <c r="HE32" s="180"/>
      <c r="HF32" s="180"/>
      <c r="HG32" s="180"/>
      <c r="HH32" s="180"/>
      <c r="HI32" s="180"/>
      <c r="HJ32" s="180"/>
      <c r="HK32" s="180"/>
      <c r="HL32" s="180"/>
      <c r="HM32" s="180"/>
      <c r="HN32" s="181"/>
      <c r="HO32" s="179">
        <v>155</v>
      </c>
      <c r="HP32" s="180">
        <v>11644</v>
      </c>
      <c r="HQ32" s="180">
        <v>1490</v>
      </c>
      <c r="HR32" s="180">
        <v>116957</v>
      </c>
      <c r="HS32" s="180">
        <v>412</v>
      </c>
      <c r="HT32" s="180">
        <v>59162</v>
      </c>
      <c r="HU32" s="180">
        <v>5420</v>
      </c>
      <c r="HV32" s="180">
        <v>704697</v>
      </c>
      <c r="HW32" s="180">
        <v>552</v>
      </c>
      <c r="HX32" s="180">
        <v>64113</v>
      </c>
      <c r="HY32" s="180">
        <v>8283</v>
      </c>
      <c r="HZ32" s="180">
        <v>992901</v>
      </c>
      <c r="IA32" s="180">
        <v>677</v>
      </c>
      <c r="IB32" s="180">
        <v>108149</v>
      </c>
      <c r="IC32" s="180">
        <v>8350</v>
      </c>
      <c r="ID32" s="180">
        <v>1297453</v>
      </c>
      <c r="IE32" s="180">
        <v>1796</v>
      </c>
      <c r="IF32" s="180">
        <v>243069</v>
      </c>
      <c r="IG32" s="180">
        <v>23544</v>
      </c>
      <c r="IH32" s="181">
        <v>3112008</v>
      </c>
    </row>
    <row r="33" spans="2:242" ht="13" thickBot="1">
      <c r="B33" s="182">
        <v>31</v>
      </c>
      <c r="C33" s="183">
        <v>112</v>
      </c>
      <c r="D33" s="184">
        <v>8196</v>
      </c>
      <c r="E33" s="184">
        <v>112</v>
      </c>
      <c r="F33" s="184">
        <v>8196</v>
      </c>
      <c r="G33" s="184">
        <v>516</v>
      </c>
      <c r="H33" s="184">
        <v>66269</v>
      </c>
      <c r="I33" s="184">
        <v>516</v>
      </c>
      <c r="J33" s="184">
        <v>66269</v>
      </c>
      <c r="K33" s="184">
        <v>771</v>
      </c>
      <c r="L33" s="184">
        <v>93492</v>
      </c>
      <c r="M33" s="184">
        <v>771</v>
      </c>
      <c r="N33" s="184">
        <v>93492</v>
      </c>
      <c r="O33" s="184">
        <v>675</v>
      </c>
      <c r="P33" s="184">
        <v>104230</v>
      </c>
      <c r="Q33" s="184">
        <v>675</v>
      </c>
      <c r="R33" s="184">
        <v>104230</v>
      </c>
      <c r="S33" s="184">
        <v>2074</v>
      </c>
      <c r="T33" s="184">
        <v>272186</v>
      </c>
      <c r="U33" s="184">
        <v>2074</v>
      </c>
      <c r="V33" s="185">
        <v>272186</v>
      </c>
      <c r="W33" s="183"/>
      <c r="X33" s="184"/>
      <c r="Y33" s="184"/>
      <c r="Z33" s="184"/>
      <c r="AA33" s="184"/>
      <c r="AB33" s="184"/>
      <c r="AC33" s="184"/>
      <c r="AD33" s="184"/>
      <c r="AE33" s="184"/>
      <c r="AF33" s="184"/>
      <c r="AG33" s="184"/>
      <c r="AH33" s="184"/>
      <c r="AI33" s="184"/>
      <c r="AJ33" s="184"/>
      <c r="AK33" s="184"/>
      <c r="AL33" s="184"/>
      <c r="AM33" s="184"/>
      <c r="AN33" s="184"/>
      <c r="AO33" s="184"/>
      <c r="AP33" s="185"/>
      <c r="AQ33" s="183">
        <v>112</v>
      </c>
      <c r="AR33" s="184">
        <v>10120</v>
      </c>
      <c r="AS33" s="184">
        <v>305</v>
      </c>
      <c r="AT33" s="184">
        <v>23939</v>
      </c>
      <c r="AU33" s="184">
        <v>410</v>
      </c>
      <c r="AV33" s="184">
        <v>57338</v>
      </c>
      <c r="AW33" s="184">
        <v>1290</v>
      </c>
      <c r="AX33" s="184">
        <v>168770</v>
      </c>
      <c r="AY33" s="184">
        <v>792</v>
      </c>
      <c r="AZ33" s="184">
        <v>93991</v>
      </c>
      <c r="BA33" s="184">
        <v>2406</v>
      </c>
      <c r="BB33" s="184">
        <v>286972</v>
      </c>
      <c r="BC33" s="184">
        <v>668</v>
      </c>
      <c r="BD33" s="184">
        <v>104459</v>
      </c>
      <c r="BE33" s="184">
        <v>2003</v>
      </c>
      <c r="BF33" s="184">
        <v>308917</v>
      </c>
      <c r="BG33" s="184">
        <v>1982</v>
      </c>
      <c r="BH33" s="184">
        <v>265908</v>
      </c>
      <c r="BI33" s="184">
        <v>6005</v>
      </c>
      <c r="BJ33" s="185">
        <v>788597</v>
      </c>
      <c r="BK33" s="183"/>
      <c r="BL33" s="184"/>
      <c r="BM33" s="184"/>
      <c r="BN33" s="184"/>
      <c r="BO33" s="184"/>
      <c r="BP33" s="184"/>
      <c r="BQ33" s="184"/>
      <c r="BR33" s="184"/>
      <c r="BS33" s="184"/>
      <c r="BT33" s="184"/>
      <c r="BU33" s="184"/>
      <c r="BV33" s="184"/>
      <c r="BW33" s="184"/>
      <c r="BX33" s="184"/>
      <c r="BY33" s="184"/>
      <c r="BZ33" s="184"/>
      <c r="CA33" s="184"/>
      <c r="CB33" s="184"/>
      <c r="CC33" s="184"/>
      <c r="CD33" s="185"/>
      <c r="CE33" s="183"/>
      <c r="CF33" s="184"/>
      <c r="CG33" s="184"/>
      <c r="CH33" s="184"/>
      <c r="CI33" s="184"/>
      <c r="CJ33" s="184"/>
      <c r="CK33" s="184"/>
      <c r="CL33" s="184"/>
      <c r="CM33" s="184"/>
      <c r="CN33" s="184"/>
      <c r="CO33" s="184"/>
      <c r="CP33" s="184"/>
      <c r="CQ33" s="184"/>
      <c r="CR33" s="184"/>
      <c r="CS33" s="184"/>
      <c r="CT33" s="184"/>
      <c r="CU33" s="184"/>
      <c r="CV33" s="184"/>
      <c r="CW33" s="184"/>
      <c r="CX33" s="185"/>
      <c r="CY33" s="183"/>
      <c r="CZ33" s="184"/>
      <c r="DA33" s="184"/>
      <c r="DB33" s="184"/>
      <c r="DC33" s="184"/>
      <c r="DD33" s="184"/>
      <c r="DE33" s="184"/>
      <c r="DF33" s="184"/>
      <c r="DG33" s="184"/>
      <c r="DH33" s="184"/>
      <c r="DI33" s="184"/>
      <c r="DJ33" s="184"/>
      <c r="DK33" s="184"/>
      <c r="DL33" s="184"/>
      <c r="DM33" s="184"/>
      <c r="DN33" s="184"/>
      <c r="DO33" s="184"/>
      <c r="DP33" s="184"/>
      <c r="DQ33" s="184"/>
      <c r="DR33" s="185"/>
      <c r="DS33" s="183">
        <v>162</v>
      </c>
      <c r="DT33" s="184">
        <v>13674</v>
      </c>
      <c r="DU33" s="184">
        <v>807</v>
      </c>
      <c r="DV33" s="184">
        <v>65330</v>
      </c>
      <c r="DW33" s="184">
        <v>517</v>
      </c>
      <c r="DX33" s="184">
        <v>66255</v>
      </c>
      <c r="DY33" s="184">
        <v>3202</v>
      </c>
      <c r="DZ33" s="184">
        <v>410224</v>
      </c>
      <c r="EA33" s="184">
        <v>658</v>
      </c>
      <c r="EB33" s="184">
        <v>74897</v>
      </c>
      <c r="EC33" s="184">
        <v>4945</v>
      </c>
      <c r="ED33" s="184">
        <v>588408</v>
      </c>
      <c r="EE33" s="184">
        <v>738</v>
      </c>
      <c r="EF33" s="184">
        <v>112906</v>
      </c>
      <c r="EG33" s="184">
        <v>4973</v>
      </c>
      <c r="EH33" s="184">
        <v>756824</v>
      </c>
      <c r="EI33" s="184">
        <v>2075</v>
      </c>
      <c r="EJ33" s="184">
        <v>267732</v>
      </c>
      <c r="EK33" s="184">
        <v>13928</v>
      </c>
      <c r="EL33" s="185">
        <v>1820787</v>
      </c>
      <c r="EM33" s="183"/>
      <c r="EN33" s="184"/>
      <c r="EO33" s="184"/>
      <c r="EP33" s="184"/>
      <c r="EQ33" s="184"/>
      <c r="ER33" s="184"/>
      <c r="ES33" s="184"/>
      <c r="ET33" s="184"/>
      <c r="EU33" s="184"/>
      <c r="EV33" s="184"/>
      <c r="EW33" s="184"/>
      <c r="EX33" s="184"/>
      <c r="EY33" s="184"/>
      <c r="EZ33" s="184"/>
      <c r="FA33" s="184"/>
      <c r="FB33" s="184"/>
      <c r="FC33" s="184"/>
      <c r="FD33" s="184"/>
      <c r="FE33" s="184"/>
      <c r="FF33" s="185"/>
      <c r="FG33" s="183"/>
      <c r="FH33" s="184"/>
      <c r="FI33" s="184"/>
      <c r="FJ33" s="184"/>
      <c r="FK33" s="184"/>
      <c r="FL33" s="184"/>
      <c r="FM33" s="184"/>
      <c r="FN33" s="184"/>
      <c r="FO33" s="184"/>
      <c r="FP33" s="184"/>
      <c r="FQ33" s="184"/>
      <c r="FR33" s="184"/>
      <c r="FS33" s="184"/>
      <c r="FT33" s="184"/>
      <c r="FU33" s="184"/>
      <c r="FV33" s="184"/>
      <c r="FW33" s="184"/>
      <c r="FX33" s="184"/>
      <c r="FY33" s="184"/>
      <c r="FZ33" s="185"/>
      <c r="GA33" s="183">
        <v>150</v>
      </c>
      <c r="GB33" s="184">
        <v>10559</v>
      </c>
      <c r="GC33" s="184">
        <v>1215</v>
      </c>
      <c r="GD33" s="184">
        <v>97257</v>
      </c>
      <c r="GE33" s="184">
        <v>514</v>
      </c>
      <c r="GF33" s="184">
        <v>69324</v>
      </c>
      <c r="GG33" s="184">
        <v>4623</v>
      </c>
      <c r="GH33" s="184">
        <v>599419</v>
      </c>
      <c r="GI33" s="184">
        <v>831</v>
      </c>
      <c r="GJ33" s="184">
        <v>96723</v>
      </c>
      <c r="GK33" s="184">
        <v>7058</v>
      </c>
      <c r="GL33" s="184">
        <v>844684</v>
      </c>
      <c r="GM33" s="184">
        <v>695</v>
      </c>
      <c r="GN33" s="184">
        <v>110281</v>
      </c>
      <c r="GO33" s="184">
        <v>7018</v>
      </c>
      <c r="GP33" s="184">
        <v>1078459</v>
      </c>
      <c r="GQ33" s="184">
        <v>2190</v>
      </c>
      <c r="GR33" s="184">
        <v>286885</v>
      </c>
      <c r="GS33" s="184">
        <v>19915</v>
      </c>
      <c r="GT33" s="185">
        <v>2619818</v>
      </c>
      <c r="GU33" s="183"/>
      <c r="GV33" s="184"/>
      <c r="GW33" s="184"/>
      <c r="GX33" s="184"/>
      <c r="GY33" s="184"/>
      <c r="GZ33" s="184"/>
      <c r="HA33" s="184"/>
      <c r="HB33" s="184"/>
      <c r="HC33" s="184"/>
      <c r="HD33" s="184"/>
      <c r="HE33" s="184"/>
      <c r="HF33" s="184"/>
      <c r="HG33" s="184"/>
      <c r="HH33" s="184"/>
      <c r="HI33" s="184"/>
      <c r="HJ33" s="184"/>
      <c r="HK33" s="184"/>
      <c r="HL33" s="184"/>
      <c r="HM33" s="184"/>
      <c r="HN33" s="185"/>
      <c r="HO33" s="183">
        <v>158</v>
      </c>
      <c r="HP33" s="184">
        <v>11763</v>
      </c>
      <c r="HQ33" s="184">
        <v>1492</v>
      </c>
      <c r="HR33" s="184">
        <v>117076</v>
      </c>
      <c r="HS33" s="184">
        <v>426</v>
      </c>
      <c r="HT33" s="184">
        <v>60948</v>
      </c>
      <c r="HU33" s="184">
        <v>5435</v>
      </c>
      <c r="HV33" s="184">
        <v>706484</v>
      </c>
      <c r="HW33" s="184">
        <v>582</v>
      </c>
      <c r="HX33" s="184">
        <v>68199</v>
      </c>
      <c r="HY33" s="184">
        <v>8314</v>
      </c>
      <c r="HZ33" s="184">
        <v>996989</v>
      </c>
      <c r="IA33" s="184">
        <v>712</v>
      </c>
      <c r="IB33" s="184">
        <v>114927</v>
      </c>
      <c r="IC33" s="184">
        <v>8386</v>
      </c>
      <c r="ID33" s="184">
        <v>1304233</v>
      </c>
      <c r="IE33" s="184">
        <v>1880</v>
      </c>
      <c r="IF33" s="184">
        <v>255841</v>
      </c>
      <c r="IG33" s="184">
        <v>23628</v>
      </c>
      <c r="IH33" s="185">
        <v>3124779</v>
      </c>
    </row>
    <row r="34" spans="2:242">
      <c r="C34" s="168">
        <f t="shared" ref="C34:BN34" si="0">MAX(C3:C33)</f>
        <v>112</v>
      </c>
      <c r="D34" s="168">
        <f t="shared" si="0"/>
        <v>8196</v>
      </c>
      <c r="E34" s="168">
        <f t="shared" si="0"/>
        <v>112</v>
      </c>
      <c r="F34" s="168">
        <f t="shared" si="0"/>
        <v>8196</v>
      </c>
      <c r="G34" s="168">
        <f t="shared" si="0"/>
        <v>516</v>
      </c>
      <c r="H34" s="168">
        <f t="shared" si="0"/>
        <v>66269</v>
      </c>
      <c r="I34" s="168">
        <f t="shared" si="0"/>
        <v>516</v>
      </c>
      <c r="J34" s="168">
        <f t="shared" si="0"/>
        <v>66269</v>
      </c>
      <c r="K34" s="168">
        <f t="shared" si="0"/>
        <v>771</v>
      </c>
      <c r="L34" s="168">
        <f t="shared" si="0"/>
        <v>93492</v>
      </c>
      <c r="M34" s="168">
        <f t="shared" si="0"/>
        <v>771</v>
      </c>
      <c r="N34" s="168">
        <f t="shared" si="0"/>
        <v>93492</v>
      </c>
      <c r="O34" s="168">
        <f t="shared" si="0"/>
        <v>675</v>
      </c>
      <c r="P34" s="168">
        <f t="shared" si="0"/>
        <v>104230</v>
      </c>
      <c r="Q34" s="168">
        <f t="shared" si="0"/>
        <v>675</v>
      </c>
      <c r="R34" s="168">
        <f t="shared" si="0"/>
        <v>104230</v>
      </c>
      <c r="S34" s="168">
        <f t="shared" si="0"/>
        <v>2074</v>
      </c>
      <c r="T34" s="168">
        <f t="shared" si="0"/>
        <v>272186</v>
      </c>
      <c r="U34" s="168">
        <f t="shared" si="0"/>
        <v>2074</v>
      </c>
      <c r="V34" s="168">
        <f t="shared" si="0"/>
        <v>272186</v>
      </c>
      <c r="W34" s="168">
        <f t="shared" si="0"/>
        <v>81</v>
      </c>
      <c r="X34" s="168">
        <f t="shared" si="0"/>
        <v>5622</v>
      </c>
      <c r="Y34" s="168">
        <f t="shared" si="0"/>
        <v>193</v>
      </c>
      <c r="Z34" s="168">
        <f t="shared" si="0"/>
        <v>13818</v>
      </c>
      <c r="AA34" s="168">
        <f t="shared" si="0"/>
        <v>365</v>
      </c>
      <c r="AB34" s="168">
        <f t="shared" si="0"/>
        <v>45163</v>
      </c>
      <c r="AC34" s="168">
        <f t="shared" si="0"/>
        <v>881</v>
      </c>
      <c r="AD34" s="168">
        <f t="shared" si="0"/>
        <v>111430</v>
      </c>
      <c r="AE34" s="168">
        <f t="shared" si="0"/>
        <v>844</v>
      </c>
      <c r="AF34" s="168">
        <f t="shared" si="0"/>
        <v>99490</v>
      </c>
      <c r="AG34" s="168">
        <f t="shared" si="0"/>
        <v>1615</v>
      </c>
      <c r="AH34" s="168">
        <f t="shared" si="0"/>
        <v>192981</v>
      </c>
      <c r="AI34" s="168">
        <f t="shared" si="0"/>
        <v>659</v>
      </c>
      <c r="AJ34" s="168">
        <f t="shared" si="0"/>
        <v>100227</v>
      </c>
      <c r="AK34" s="168">
        <f t="shared" si="0"/>
        <v>1333</v>
      </c>
      <c r="AL34" s="168">
        <f t="shared" si="0"/>
        <v>204459</v>
      </c>
      <c r="AM34" s="168">
        <f t="shared" si="0"/>
        <v>1950</v>
      </c>
      <c r="AN34" s="168">
        <f t="shared" si="0"/>
        <v>250502</v>
      </c>
      <c r="AO34" s="168">
        <f t="shared" si="0"/>
        <v>4022</v>
      </c>
      <c r="AP34" s="168">
        <f t="shared" si="0"/>
        <v>522689</v>
      </c>
      <c r="AQ34" s="168">
        <f t="shared" si="0"/>
        <v>112</v>
      </c>
      <c r="AR34" s="168">
        <f t="shared" si="0"/>
        <v>10120</v>
      </c>
      <c r="AS34" s="168">
        <f t="shared" si="0"/>
        <v>305</v>
      </c>
      <c r="AT34" s="168">
        <f t="shared" si="0"/>
        <v>23939</v>
      </c>
      <c r="AU34" s="168">
        <f t="shared" si="0"/>
        <v>410</v>
      </c>
      <c r="AV34" s="168">
        <f t="shared" si="0"/>
        <v>57338</v>
      </c>
      <c r="AW34" s="168">
        <f t="shared" si="0"/>
        <v>1290</v>
      </c>
      <c r="AX34" s="168">
        <f t="shared" si="0"/>
        <v>168770</v>
      </c>
      <c r="AY34" s="168">
        <f t="shared" si="0"/>
        <v>792</v>
      </c>
      <c r="AZ34" s="168">
        <f t="shared" si="0"/>
        <v>93991</v>
      </c>
      <c r="BA34" s="168">
        <f t="shared" si="0"/>
        <v>2406</v>
      </c>
      <c r="BB34" s="168">
        <f t="shared" si="0"/>
        <v>286972</v>
      </c>
      <c r="BC34" s="168">
        <f t="shared" si="0"/>
        <v>668</v>
      </c>
      <c r="BD34" s="168">
        <f t="shared" si="0"/>
        <v>104459</v>
      </c>
      <c r="BE34" s="168">
        <f t="shared" si="0"/>
        <v>2003</v>
      </c>
      <c r="BF34" s="168">
        <f t="shared" si="0"/>
        <v>308917</v>
      </c>
      <c r="BG34" s="168">
        <f t="shared" si="0"/>
        <v>1982</v>
      </c>
      <c r="BH34" s="168">
        <f t="shared" si="0"/>
        <v>265908</v>
      </c>
      <c r="BI34" s="168">
        <f t="shared" si="0"/>
        <v>6005</v>
      </c>
      <c r="BJ34" s="168">
        <f t="shared" si="0"/>
        <v>788597</v>
      </c>
      <c r="BK34" s="168">
        <f t="shared" si="0"/>
        <v>96</v>
      </c>
      <c r="BL34" s="168">
        <f t="shared" si="0"/>
        <v>7687</v>
      </c>
      <c r="BM34" s="168">
        <f t="shared" si="0"/>
        <v>401</v>
      </c>
      <c r="BN34" s="168">
        <f t="shared" si="0"/>
        <v>31626</v>
      </c>
      <c r="BO34" s="168">
        <f t="shared" ref="BO34:DZ34" si="1">MAX(BO3:BO33)</f>
        <v>437</v>
      </c>
      <c r="BP34" s="168">
        <f t="shared" si="1"/>
        <v>52372</v>
      </c>
      <c r="BQ34" s="168">
        <f t="shared" si="1"/>
        <v>1728</v>
      </c>
      <c r="BR34" s="168">
        <f t="shared" si="1"/>
        <v>221143</v>
      </c>
      <c r="BS34" s="168">
        <f t="shared" si="1"/>
        <v>723</v>
      </c>
      <c r="BT34" s="168">
        <f t="shared" si="1"/>
        <v>82632</v>
      </c>
      <c r="BU34" s="168">
        <f t="shared" si="1"/>
        <v>3129</v>
      </c>
      <c r="BV34" s="168">
        <f t="shared" si="1"/>
        <v>369603</v>
      </c>
      <c r="BW34" s="168">
        <f t="shared" si="1"/>
        <v>795</v>
      </c>
      <c r="BX34" s="168">
        <f t="shared" si="1"/>
        <v>120024</v>
      </c>
      <c r="BY34" s="168">
        <f t="shared" si="1"/>
        <v>2798</v>
      </c>
      <c r="BZ34" s="168">
        <f t="shared" si="1"/>
        <v>428940</v>
      </c>
      <c r="CA34" s="168">
        <f t="shared" si="1"/>
        <v>2051</v>
      </c>
      <c r="CB34" s="168">
        <f t="shared" si="1"/>
        <v>262715</v>
      </c>
      <c r="CC34" s="168">
        <f t="shared" si="1"/>
        <v>8056</v>
      </c>
      <c r="CD34" s="168">
        <f t="shared" si="1"/>
        <v>1051312</v>
      </c>
      <c r="CE34" s="168">
        <f t="shared" si="1"/>
        <v>140</v>
      </c>
      <c r="CF34" s="168">
        <f t="shared" si="1"/>
        <v>11303</v>
      </c>
      <c r="CG34" s="168">
        <f t="shared" si="1"/>
        <v>541</v>
      </c>
      <c r="CH34" s="168">
        <f t="shared" si="1"/>
        <v>42927</v>
      </c>
      <c r="CI34" s="168">
        <f t="shared" si="1"/>
        <v>442</v>
      </c>
      <c r="CJ34" s="168">
        <f t="shared" si="1"/>
        <v>53253</v>
      </c>
      <c r="CK34" s="168">
        <f t="shared" si="1"/>
        <v>2169</v>
      </c>
      <c r="CL34" s="168">
        <f t="shared" si="1"/>
        <v>274395</v>
      </c>
      <c r="CM34" s="168">
        <f t="shared" si="1"/>
        <v>474</v>
      </c>
      <c r="CN34" s="168">
        <f t="shared" si="1"/>
        <v>57044</v>
      </c>
      <c r="CO34" s="168">
        <f t="shared" si="1"/>
        <v>3604</v>
      </c>
      <c r="CP34" s="168">
        <f t="shared" si="1"/>
        <v>426649</v>
      </c>
      <c r="CQ34" s="168">
        <f t="shared" si="1"/>
        <v>672</v>
      </c>
      <c r="CR34" s="168">
        <f t="shared" si="1"/>
        <v>100765</v>
      </c>
      <c r="CS34" s="168">
        <f t="shared" si="1"/>
        <v>3469</v>
      </c>
      <c r="CT34" s="168">
        <f t="shared" si="1"/>
        <v>529705</v>
      </c>
      <c r="CU34" s="168">
        <f t="shared" si="1"/>
        <v>1728</v>
      </c>
      <c r="CV34" s="168">
        <f t="shared" si="1"/>
        <v>222362</v>
      </c>
      <c r="CW34" s="168">
        <f t="shared" si="1"/>
        <v>9783</v>
      </c>
      <c r="CX34" s="168">
        <f t="shared" si="1"/>
        <v>1273673</v>
      </c>
      <c r="CY34" s="168">
        <f t="shared" si="1"/>
        <v>103</v>
      </c>
      <c r="CZ34" s="168">
        <f t="shared" si="1"/>
        <v>8729</v>
      </c>
      <c r="DA34" s="168">
        <f t="shared" si="1"/>
        <v>644</v>
      </c>
      <c r="DB34" s="168">
        <f t="shared" si="1"/>
        <v>51656</v>
      </c>
      <c r="DC34" s="168">
        <f t="shared" si="1"/>
        <v>516</v>
      </c>
      <c r="DD34" s="168">
        <f t="shared" si="1"/>
        <v>69574</v>
      </c>
      <c r="DE34" s="168">
        <f t="shared" si="1"/>
        <v>2686</v>
      </c>
      <c r="DF34" s="168">
        <f t="shared" si="1"/>
        <v>343969</v>
      </c>
      <c r="DG34" s="168">
        <f t="shared" si="1"/>
        <v>682</v>
      </c>
      <c r="DH34" s="168">
        <f t="shared" si="1"/>
        <v>86467</v>
      </c>
      <c r="DI34" s="168">
        <f t="shared" si="1"/>
        <v>4288</v>
      </c>
      <c r="DJ34" s="168">
        <f t="shared" si="1"/>
        <v>513512</v>
      </c>
      <c r="DK34" s="168">
        <f t="shared" si="1"/>
        <v>765</v>
      </c>
      <c r="DL34" s="168">
        <f t="shared" si="1"/>
        <v>114213</v>
      </c>
      <c r="DM34" s="168">
        <f t="shared" si="1"/>
        <v>4234</v>
      </c>
      <c r="DN34" s="168">
        <f t="shared" si="1"/>
        <v>643918</v>
      </c>
      <c r="DO34" s="168">
        <f t="shared" si="1"/>
        <v>2066</v>
      </c>
      <c r="DP34" s="168">
        <f t="shared" si="1"/>
        <v>278984</v>
      </c>
      <c r="DQ34" s="168">
        <f t="shared" si="1"/>
        <v>11852</v>
      </c>
      <c r="DR34" s="168">
        <f t="shared" si="1"/>
        <v>1553056</v>
      </c>
      <c r="DS34" s="168">
        <f t="shared" si="1"/>
        <v>162</v>
      </c>
      <c r="DT34" s="168">
        <f t="shared" si="1"/>
        <v>13674</v>
      </c>
      <c r="DU34" s="168">
        <f t="shared" si="1"/>
        <v>807</v>
      </c>
      <c r="DV34" s="168">
        <f t="shared" si="1"/>
        <v>65330</v>
      </c>
      <c r="DW34" s="168">
        <f t="shared" si="1"/>
        <v>517</v>
      </c>
      <c r="DX34" s="168">
        <f t="shared" si="1"/>
        <v>66255</v>
      </c>
      <c r="DY34" s="168">
        <f t="shared" si="1"/>
        <v>3202</v>
      </c>
      <c r="DZ34" s="168">
        <f t="shared" si="1"/>
        <v>410224</v>
      </c>
      <c r="EA34" s="168">
        <f t="shared" ref="EA34:GL34" si="2">MAX(EA3:EA33)</f>
        <v>658</v>
      </c>
      <c r="EB34" s="168">
        <f t="shared" si="2"/>
        <v>74897</v>
      </c>
      <c r="EC34" s="168">
        <f t="shared" si="2"/>
        <v>4945</v>
      </c>
      <c r="ED34" s="168">
        <f t="shared" si="2"/>
        <v>588408</v>
      </c>
      <c r="EE34" s="168">
        <f t="shared" si="2"/>
        <v>738</v>
      </c>
      <c r="EF34" s="168">
        <f t="shared" si="2"/>
        <v>112906</v>
      </c>
      <c r="EG34" s="168">
        <f t="shared" si="2"/>
        <v>4973</v>
      </c>
      <c r="EH34" s="168">
        <f t="shared" si="2"/>
        <v>756824</v>
      </c>
      <c r="EI34" s="168">
        <f t="shared" si="2"/>
        <v>2075</v>
      </c>
      <c r="EJ34" s="168">
        <f t="shared" si="2"/>
        <v>267732</v>
      </c>
      <c r="EK34" s="168">
        <f t="shared" si="2"/>
        <v>13928</v>
      </c>
      <c r="EL34" s="168">
        <f t="shared" si="2"/>
        <v>1820787</v>
      </c>
      <c r="EM34" s="168">
        <f t="shared" si="2"/>
        <v>122</v>
      </c>
      <c r="EN34" s="168">
        <f t="shared" si="2"/>
        <v>10951</v>
      </c>
      <c r="EO34" s="168">
        <f t="shared" si="2"/>
        <v>929</v>
      </c>
      <c r="EP34" s="168">
        <f t="shared" si="2"/>
        <v>76281</v>
      </c>
      <c r="EQ34" s="168">
        <f t="shared" si="2"/>
        <v>385</v>
      </c>
      <c r="ER34" s="168">
        <f t="shared" si="2"/>
        <v>49241</v>
      </c>
      <c r="ES34" s="168">
        <f t="shared" si="2"/>
        <v>3588</v>
      </c>
      <c r="ET34" s="168">
        <f t="shared" si="2"/>
        <v>459466</v>
      </c>
      <c r="EU34" s="168">
        <f t="shared" si="2"/>
        <v>549</v>
      </c>
      <c r="EV34" s="168">
        <f t="shared" si="2"/>
        <v>71078</v>
      </c>
      <c r="EW34" s="168">
        <f t="shared" si="2"/>
        <v>5494</v>
      </c>
      <c r="EX34" s="168">
        <f t="shared" si="2"/>
        <v>659485</v>
      </c>
      <c r="EY34" s="168">
        <f t="shared" si="2"/>
        <v>644</v>
      </c>
      <c r="EZ34" s="168">
        <f t="shared" si="2"/>
        <v>101293</v>
      </c>
      <c r="FA34" s="168">
        <f t="shared" si="2"/>
        <v>5618</v>
      </c>
      <c r="FB34" s="168">
        <f t="shared" si="2"/>
        <v>858117</v>
      </c>
      <c r="FC34" s="168">
        <f t="shared" si="2"/>
        <v>1700</v>
      </c>
      <c r="FD34" s="168">
        <f t="shared" si="2"/>
        <v>232562</v>
      </c>
      <c r="FE34" s="168">
        <f t="shared" si="2"/>
        <v>15628</v>
      </c>
      <c r="FF34" s="168">
        <f t="shared" si="2"/>
        <v>2053351</v>
      </c>
      <c r="FG34" s="168">
        <f t="shared" si="2"/>
        <v>137</v>
      </c>
      <c r="FH34" s="168">
        <f t="shared" si="2"/>
        <v>10418</v>
      </c>
      <c r="FI34" s="168">
        <f t="shared" si="2"/>
        <v>1066</v>
      </c>
      <c r="FJ34" s="168">
        <f t="shared" si="2"/>
        <v>86699</v>
      </c>
      <c r="FK34" s="168">
        <f t="shared" si="2"/>
        <v>520</v>
      </c>
      <c r="FL34" s="168">
        <f t="shared" si="2"/>
        <v>70630</v>
      </c>
      <c r="FM34" s="168">
        <f t="shared" si="2"/>
        <v>4109</v>
      </c>
      <c r="FN34" s="168">
        <f t="shared" si="2"/>
        <v>530094</v>
      </c>
      <c r="FO34" s="168">
        <f t="shared" si="2"/>
        <v>735</v>
      </c>
      <c r="FP34" s="168">
        <f t="shared" si="2"/>
        <v>88476</v>
      </c>
      <c r="FQ34" s="168">
        <f t="shared" si="2"/>
        <v>6228</v>
      </c>
      <c r="FR34" s="168">
        <f t="shared" si="2"/>
        <v>747960</v>
      </c>
      <c r="FS34" s="168">
        <f t="shared" si="2"/>
        <v>705</v>
      </c>
      <c r="FT34" s="168">
        <f t="shared" si="2"/>
        <v>110060</v>
      </c>
      <c r="FU34" s="168">
        <f t="shared" si="2"/>
        <v>6323</v>
      </c>
      <c r="FV34" s="168">
        <f t="shared" si="2"/>
        <v>968177</v>
      </c>
      <c r="FW34" s="168">
        <f t="shared" si="2"/>
        <v>2097</v>
      </c>
      <c r="FX34" s="168">
        <f t="shared" si="2"/>
        <v>279582</v>
      </c>
      <c r="FY34" s="168">
        <f t="shared" si="2"/>
        <v>17725</v>
      </c>
      <c r="FZ34" s="168">
        <f t="shared" si="2"/>
        <v>2332934</v>
      </c>
      <c r="GA34" s="168">
        <f t="shared" si="2"/>
        <v>150</v>
      </c>
      <c r="GB34" s="168">
        <f t="shared" si="2"/>
        <v>10559</v>
      </c>
      <c r="GC34" s="168">
        <f t="shared" si="2"/>
        <v>1215</v>
      </c>
      <c r="GD34" s="168">
        <f t="shared" si="2"/>
        <v>97257</v>
      </c>
      <c r="GE34" s="168">
        <f t="shared" si="2"/>
        <v>514</v>
      </c>
      <c r="GF34" s="168">
        <f t="shared" si="2"/>
        <v>69324</v>
      </c>
      <c r="GG34" s="168">
        <f t="shared" si="2"/>
        <v>4623</v>
      </c>
      <c r="GH34" s="168">
        <f t="shared" si="2"/>
        <v>599419</v>
      </c>
      <c r="GI34" s="168">
        <f t="shared" si="2"/>
        <v>831</v>
      </c>
      <c r="GJ34" s="168">
        <f t="shared" si="2"/>
        <v>96723</v>
      </c>
      <c r="GK34" s="168">
        <f t="shared" si="2"/>
        <v>7058</v>
      </c>
      <c r="GL34" s="168">
        <f t="shared" si="2"/>
        <v>844684</v>
      </c>
      <c r="GM34" s="168">
        <f t="shared" ref="GM34:IH34" si="3">MAX(GM3:GM33)</f>
        <v>695</v>
      </c>
      <c r="GN34" s="168">
        <f t="shared" si="3"/>
        <v>110281</v>
      </c>
      <c r="GO34" s="168">
        <f t="shared" si="3"/>
        <v>7018</v>
      </c>
      <c r="GP34" s="168">
        <f t="shared" si="3"/>
        <v>1078459</v>
      </c>
      <c r="GQ34" s="168">
        <f t="shared" si="3"/>
        <v>2190</v>
      </c>
      <c r="GR34" s="168">
        <f t="shared" si="3"/>
        <v>286885</v>
      </c>
      <c r="GS34" s="168">
        <f t="shared" si="3"/>
        <v>19915</v>
      </c>
      <c r="GT34" s="168">
        <f t="shared" si="3"/>
        <v>2619818</v>
      </c>
      <c r="GU34" s="168">
        <f t="shared" si="3"/>
        <v>119</v>
      </c>
      <c r="GV34" s="168">
        <f t="shared" si="3"/>
        <v>8056</v>
      </c>
      <c r="GW34" s="168">
        <f t="shared" si="3"/>
        <v>1335</v>
      </c>
      <c r="GX34" s="168">
        <f t="shared" si="3"/>
        <v>105313</v>
      </c>
      <c r="GY34" s="168">
        <f t="shared" si="3"/>
        <v>386</v>
      </c>
      <c r="GZ34" s="168">
        <f t="shared" si="3"/>
        <v>46116</v>
      </c>
      <c r="HA34" s="168">
        <f t="shared" si="3"/>
        <v>5009</v>
      </c>
      <c r="HB34" s="168">
        <f t="shared" si="3"/>
        <v>645534</v>
      </c>
      <c r="HC34" s="168">
        <f t="shared" si="3"/>
        <v>673</v>
      </c>
      <c r="HD34" s="168">
        <f t="shared" si="3"/>
        <v>84104</v>
      </c>
      <c r="HE34" s="168">
        <f t="shared" si="3"/>
        <v>7731</v>
      </c>
      <c r="HF34" s="168">
        <f t="shared" si="3"/>
        <v>928786</v>
      </c>
      <c r="HG34" s="168">
        <f t="shared" si="3"/>
        <v>655</v>
      </c>
      <c r="HH34" s="168">
        <f t="shared" si="3"/>
        <v>110846</v>
      </c>
      <c r="HI34" s="168">
        <f t="shared" si="3"/>
        <v>7674</v>
      </c>
      <c r="HJ34" s="168">
        <f t="shared" si="3"/>
        <v>1189305</v>
      </c>
      <c r="HK34" s="168">
        <f t="shared" si="3"/>
        <v>1833</v>
      </c>
      <c r="HL34" s="168">
        <f t="shared" si="3"/>
        <v>249118</v>
      </c>
      <c r="HM34" s="168">
        <f t="shared" si="3"/>
        <v>21748</v>
      </c>
      <c r="HN34" s="168">
        <f t="shared" si="3"/>
        <v>2868938</v>
      </c>
      <c r="HO34" s="168">
        <f t="shared" si="3"/>
        <v>158</v>
      </c>
      <c r="HP34" s="168">
        <f t="shared" si="3"/>
        <v>11763</v>
      </c>
      <c r="HQ34" s="168">
        <f t="shared" si="3"/>
        <v>1492</v>
      </c>
      <c r="HR34" s="168">
        <f t="shared" si="3"/>
        <v>117076</v>
      </c>
      <c r="HS34" s="168">
        <f t="shared" si="3"/>
        <v>426</v>
      </c>
      <c r="HT34" s="168">
        <f t="shared" si="3"/>
        <v>60948</v>
      </c>
      <c r="HU34" s="168">
        <f t="shared" si="3"/>
        <v>5435</v>
      </c>
      <c r="HV34" s="168">
        <f t="shared" si="3"/>
        <v>706484</v>
      </c>
      <c r="HW34" s="168">
        <f t="shared" si="3"/>
        <v>582</v>
      </c>
      <c r="HX34" s="168">
        <f t="shared" si="3"/>
        <v>68199</v>
      </c>
      <c r="HY34" s="168">
        <f t="shared" si="3"/>
        <v>8314</v>
      </c>
      <c r="HZ34" s="168">
        <f t="shared" si="3"/>
        <v>996989</v>
      </c>
      <c r="IA34" s="168">
        <f t="shared" si="3"/>
        <v>712</v>
      </c>
      <c r="IB34" s="168">
        <f t="shared" si="3"/>
        <v>114927</v>
      </c>
      <c r="IC34" s="168">
        <f t="shared" si="3"/>
        <v>8386</v>
      </c>
      <c r="ID34" s="168">
        <f t="shared" si="3"/>
        <v>1304233</v>
      </c>
      <c r="IE34" s="168">
        <f t="shared" si="3"/>
        <v>1880</v>
      </c>
      <c r="IF34" s="168">
        <f t="shared" si="3"/>
        <v>255841</v>
      </c>
      <c r="IG34" s="168">
        <f t="shared" si="3"/>
        <v>23628</v>
      </c>
      <c r="IH34" s="168">
        <f t="shared" si="3"/>
        <v>3124779</v>
      </c>
    </row>
  </sheetData>
  <mergeCells count="12">
    <mergeCell ref="HO1:IH1"/>
    <mergeCell ref="C1:V1"/>
    <mergeCell ref="W1:AP1"/>
    <mergeCell ref="AQ1:BJ1"/>
    <mergeCell ref="BK1:CD1"/>
    <mergeCell ref="CE1:CX1"/>
    <mergeCell ref="CY1:DR1"/>
    <mergeCell ref="DS1:EL1"/>
    <mergeCell ref="EM1:FF1"/>
    <mergeCell ref="FG1:FZ1"/>
    <mergeCell ref="GA1:GT1"/>
    <mergeCell ref="GU1:HN1"/>
  </mergeCells>
  <pageMargins left="0.78740157499999996" right="0.78740157499999996" top="0.984251969" bottom="0.984251969" header="0.4921259845" footer="0.4921259845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 enableFormatConditionsCalculation="0"/>
  <dimension ref="A1:IH34"/>
  <sheetViews>
    <sheetView showGridLines="0" zoomScale="80" zoomScaleNormal="80" zoomScalePageLayoutView="80" workbookViewId="0">
      <pane xSplit="2" ySplit="1" topLeftCell="HQ2" activePane="bottomRight" state="frozen"/>
      <selection activeCell="A17" sqref="A17"/>
      <selection pane="topRight" activeCell="A17" sqref="A17"/>
      <selection pane="bottomLeft" activeCell="A17" sqref="A17"/>
      <selection pane="bottomRight" activeCell="P23" sqref="P23"/>
    </sheetView>
  </sheetViews>
  <sheetFormatPr baseColWidth="10" defaultColWidth="10.83203125" defaultRowHeight="12" x14ac:dyDescent="0"/>
  <cols>
    <col min="1" max="16384" width="10.83203125" style="168"/>
  </cols>
  <sheetData>
    <row r="1" spans="1:242" ht="13" thickBot="1">
      <c r="A1" s="167"/>
      <c r="C1" s="332" t="s">
        <v>26</v>
      </c>
      <c r="D1" s="333"/>
      <c r="E1" s="333"/>
      <c r="F1" s="333"/>
      <c r="G1" s="333"/>
      <c r="H1" s="333"/>
      <c r="I1" s="333"/>
      <c r="J1" s="333"/>
      <c r="K1" s="333"/>
      <c r="L1" s="333"/>
      <c r="M1" s="333"/>
      <c r="N1" s="333"/>
      <c r="O1" s="333"/>
      <c r="P1" s="333"/>
      <c r="Q1" s="333"/>
      <c r="R1" s="333"/>
      <c r="S1" s="333"/>
      <c r="T1" s="333"/>
      <c r="U1" s="333"/>
      <c r="V1" s="334"/>
      <c r="W1" s="332" t="s">
        <v>27</v>
      </c>
      <c r="X1" s="333"/>
      <c r="Y1" s="333"/>
      <c r="Z1" s="333"/>
      <c r="AA1" s="333"/>
      <c r="AB1" s="333"/>
      <c r="AC1" s="333"/>
      <c r="AD1" s="333"/>
      <c r="AE1" s="333"/>
      <c r="AF1" s="333"/>
      <c r="AG1" s="333"/>
      <c r="AH1" s="333"/>
      <c r="AI1" s="333"/>
      <c r="AJ1" s="333"/>
      <c r="AK1" s="333"/>
      <c r="AL1" s="333"/>
      <c r="AM1" s="333"/>
      <c r="AN1" s="333"/>
      <c r="AO1" s="333"/>
      <c r="AP1" s="334"/>
      <c r="AQ1" s="332" t="s">
        <v>28</v>
      </c>
      <c r="AR1" s="333"/>
      <c r="AS1" s="333"/>
      <c r="AT1" s="333"/>
      <c r="AU1" s="333"/>
      <c r="AV1" s="333"/>
      <c r="AW1" s="333"/>
      <c r="AX1" s="333"/>
      <c r="AY1" s="333"/>
      <c r="AZ1" s="333"/>
      <c r="BA1" s="333"/>
      <c r="BB1" s="333"/>
      <c r="BC1" s="333"/>
      <c r="BD1" s="333"/>
      <c r="BE1" s="333"/>
      <c r="BF1" s="333"/>
      <c r="BG1" s="333"/>
      <c r="BH1" s="333"/>
      <c r="BI1" s="333"/>
      <c r="BJ1" s="334"/>
      <c r="BK1" s="332" t="s">
        <v>29</v>
      </c>
      <c r="BL1" s="333"/>
      <c r="BM1" s="333"/>
      <c r="BN1" s="333"/>
      <c r="BO1" s="333"/>
      <c r="BP1" s="333"/>
      <c r="BQ1" s="333"/>
      <c r="BR1" s="333"/>
      <c r="BS1" s="333"/>
      <c r="BT1" s="333"/>
      <c r="BU1" s="333"/>
      <c r="BV1" s="333"/>
      <c r="BW1" s="333"/>
      <c r="BX1" s="333"/>
      <c r="BY1" s="333"/>
      <c r="BZ1" s="333"/>
      <c r="CA1" s="333"/>
      <c r="CB1" s="333"/>
      <c r="CC1" s="333"/>
      <c r="CD1" s="334"/>
      <c r="CE1" s="332" t="s">
        <v>30</v>
      </c>
      <c r="CF1" s="333"/>
      <c r="CG1" s="333"/>
      <c r="CH1" s="333"/>
      <c r="CI1" s="333"/>
      <c r="CJ1" s="333"/>
      <c r="CK1" s="333"/>
      <c r="CL1" s="333"/>
      <c r="CM1" s="333"/>
      <c r="CN1" s="333"/>
      <c r="CO1" s="333"/>
      <c r="CP1" s="333"/>
      <c r="CQ1" s="333"/>
      <c r="CR1" s="333"/>
      <c r="CS1" s="333"/>
      <c r="CT1" s="333"/>
      <c r="CU1" s="333"/>
      <c r="CV1" s="333"/>
      <c r="CW1" s="333"/>
      <c r="CX1" s="334"/>
      <c r="CY1" s="332" t="s">
        <v>31</v>
      </c>
      <c r="CZ1" s="333"/>
      <c r="DA1" s="333"/>
      <c r="DB1" s="333"/>
      <c r="DC1" s="333"/>
      <c r="DD1" s="333"/>
      <c r="DE1" s="333"/>
      <c r="DF1" s="333"/>
      <c r="DG1" s="333"/>
      <c r="DH1" s="333"/>
      <c r="DI1" s="333"/>
      <c r="DJ1" s="333"/>
      <c r="DK1" s="333"/>
      <c r="DL1" s="333"/>
      <c r="DM1" s="333"/>
      <c r="DN1" s="333"/>
      <c r="DO1" s="333"/>
      <c r="DP1" s="333"/>
      <c r="DQ1" s="333"/>
      <c r="DR1" s="334"/>
      <c r="DS1" s="332" t="s">
        <v>32</v>
      </c>
      <c r="DT1" s="333"/>
      <c r="DU1" s="333"/>
      <c r="DV1" s="333"/>
      <c r="DW1" s="333"/>
      <c r="DX1" s="333"/>
      <c r="DY1" s="333"/>
      <c r="DZ1" s="333"/>
      <c r="EA1" s="333"/>
      <c r="EB1" s="333"/>
      <c r="EC1" s="333"/>
      <c r="ED1" s="333"/>
      <c r="EE1" s="333"/>
      <c r="EF1" s="333"/>
      <c r="EG1" s="333"/>
      <c r="EH1" s="333"/>
      <c r="EI1" s="333"/>
      <c r="EJ1" s="333"/>
      <c r="EK1" s="333"/>
      <c r="EL1" s="334"/>
      <c r="EM1" s="332" t="s">
        <v>161</v>
      </c>
      <c r="EN1" s="333"/>
      <c r="EO1" s="333"/>
      <c r="EP1" s="333"/>
      <c r="EQ1" s="333"/>
      <c r="ER1" s="333"/>
      <c r="ES1" s="333"/>
      <c r="ET1" s="333"/>
      <c r="EU1" s="333"/>
      <c r="EV1" s="333"/>
      <c r="EW1" s="333"/>
      <c r="EX1" s="333"/>
      <c r="EY1" s="333"/>
      <c r="EZ1" s="333"/>
      <c r="FA1" s="333"/>
      <c r="FB1" s="333"/>
      <c r="FC1" s="333"/>
      <c r="FD1" s="333"/>
      <c r="FE1" s="333"/>
      <c r="FF1" s="334"/>
      <c r="FG1" s="332" t="s">
        <v>34</v>
      </c>
      <c r="FH1" s="333"/>
      <c r="FI1" s="333"/>
      <c r="FJ1" s="333"/>
      <c r="FK1" s="333"/>
      <c r="FL1" s="333"/>
      <c r="FM1" s="333"/>
      <c r="FN1" s="333"/>
      <c r="FO1" s="333"/>
      <c r="FP1" s="333"/>
      <c r="FQ1" s="333"/>
      <c r="FR1" s="333"/>
      <c r="FS1" s="333"/>
      <c r="FT1" s="333"/>
      <c r="FU1" s="333"/>
      <c r="FV1" s="333"/>
      <c r="FW1" s="333"/>
      <c r="FX1" s="333"/>
      <c r="FY1" s="333"/>
      <c r="FZ1" s="334"/>
      <c r="GA1" s="332" t="s">
        <v>35</v>
      </c>
      <c r="GB1" s="333"/>
      <c r="GC1" s="333"/>
      <c r="GD1" s="333"/>
      <c r="GE1" s="333"/>
      <c r="GF1" s="333"/>
      <c r="GG1" s="333"/>
      <c r="GH1" s="333"/>
      <c r="GI1" s="333"/>
      <c r="GJ1" s="333"/>
      <c r="GK1" s="333"/>
      <c r="GL1" s="333"/>
      <c r="GM1" s="333"/>
      <c r="GN1" s="333"/>
      <c r="GO1" s="333"/>
      <c r="GP1" s="333"/>
      <c r="GQ1" s="333"/>
      <c r="GR1" s="333"/>
      <c r="GS1" s="333"/>
      <c r="GT1" s="334"/>
      <c r="GU1" s="332" t="s">
        <v>36</v>
      </c>
      <c r="GV1" s="333"/>
      <c r="GW1" s="333"/>
      <c r="GX1" s="333"/>
      <c r="GY1" s="333"/>
      <c r="GZ1" s="333"/>
      <c r="HA1" s="333"/>
      <c r="HB1" s="333"/>
      <c r="HC1" s="333"/>
      <c r="HD1" s="333"/>
      <c r="HE1" s="333"/>
      <c r="HF1" s="333"/>
      <c r="HG1" s="333"/>
      <c r="HH1" s="333"/>
      <c r="HI1" s="333"/>
      <c r="HJ1" s="333"/>
      <c r="HK1" s="333"/>
      <c r="HL1" s="333"/>
      <c r="HM1" s="333"/>
      <c r="HN1" s="334"/>
      <c r="HO1" s="332" t="s">
        <v>37</v>
      </c>
      <c r="HP1" s="333"/>
      <c r="HQ1" s="333"/>
      <c r="HR1" s="333"/>
      <c r="HS1" s="333"/>
      <c r="HT1" s="333"/>
      <c r="HU1" s="333"/>
      <c r="HV1" s="333"/>
      <c r="HW1" s="333"/>
      <c r="HX1" s="333"/>
      <c r="HY1" s="333"/>
      <c r="HZ1" s="333"/>
      <c r="IA1" s="333"/>
      <c r="IB1" s="333"/>
      <c r="IC1" s="333"/>
      <c r="ID1" s="333"/>
      <c r="IE1" s="333"/>
      <c r="IF1" s="333"/>
      <c r="IG1" s="333"/>
      <c r="IH1" s="334"/>
    </row>
    <row r="2" spans="1:242" ht="13" thickBot="1">
      <c r="A2" s="169"/>
      <c r="B2" s="170" t="s">
        <v>162</v>
      </c>
      <c r="C2" s="171">
        <v>51</v>
      </c>
      <c r="D2" s="172">
        <v>52</v>
      </c>
      <c r="E2" s="172">
        <v>112</v>
      </c>
      <c r="F2" s="172">
        <v>113</v>
      </c>
      <c r="G2" s="172">
        <v>173</v>
      </c>
      <c r="H2" s="172">
        <v>174</v>
      </c>
      <c r="I2" s="172">
        <v>234</v>
      </c>
      <c r="J2" s="172">
        <v>235</v>
      </c>
      <c r="K2" s="172">
        <v>295</v>
      </c>
      <c r="L2" s="172">
        <v>296</v>
      </c>
      <c r="M2" s="172">
        <v>356</v>
      </c>
      <c r="N2" s="172">
        <v>357</v>
      </c>
      <c r="O2" s="172">
        <v>539</v>
      </c>
      <c r="P2" s="172">
        <v>540</v>
      </c>
      <c r="Q2" s="172">
        <v>600</v>
      </c>
      <c r="R2" s="172">
        <v>601</v>
      </c>
      <c r="S2" s="172">
        <v>661</v>
      </c>
      <c r="T2" s="172">
        <v>662</v>
      </c>
      <c r="U2" s="172">
        <v>722</v>
      </c>
      <c r="V2" s="173">
        <v>723</v>
      </c>
      <c r="W2" s="171">
        <v>51</v>
      </c>
      <c r="X2" s="172">
        <v>52</v>
      </c>
      <c r="Y2" s="172">
        <v>112</v>
      </c>
      <c r="Z2" s="172">
        <v>113</v>
      </c>
      <c r="AA2" s="172">
        <v>173</v>
      </c>
      <c r="AB2" s="172">
        <v>174</v>
      </c>
      <c r="AC2" s="172">
        <v>234</v>
      </c>
      <c r="AD2" s="172">
        <v>235</v>
      </c>
      <c r="AE2" s="172">
        <v>295</v>
      </c>
      <c r="AF2" s="172">
        <v>296</v>
      </c>
      <c r="AG2" s="172">
        <v>356</v>
      </c>
      <c r="AH2" s="172">
        <v>357</v>
      </c>
      <c r="AI2" s="172">
        <v>539</v>
      </c>
      <c r="AJ2" s="172">
        <v>540</v>
      </c>
      <c r="AK2" s="172">
        <v>600</v>
      </c>
      <c r="AL2" s="172">
        <v>601</v>
      </c>
      <c r="AM2" s="172">
        <v>661</v>
      </c>
      <c r="AN2" s="172">
        <v>662</v>
      </c>
      <c r="AO2" s="172">
        <v>722</v>
      </c>
      <c r="AP2" s="173">
        <v>723</v>
      </c>
      <c r="AQ2" s="171">
        <v>51</v>
      </c>
      <c r="AR2" s="172">
        <v>52</v>
      </c>
      <c r="AS2" s="172">
        <v>112</v>
      </c>
      <c r="AT2" s="172">
        <v>113</v>
      </c>
      <c r="AU2" s="172">
        <v>173</v>
      </c>
      <c r="AV2" s="172">
        <v>174</v>
      </c>
      <c r="AW2" s="172">
        <v>234</v>
      </c>
      <c r="AX2" s="172">
        <v>235</v>
      </c>
      <c r="AY2" s="172">
        <v>295</v>
      </c>
      <c r="AZ2" s="172">
        <v>296</v>
      </c>
      <c r="BA2" s="172">
        <v>356</v>
      </c>
      <c r="BB2" s="172">
        <v>357</v>
      </c>
      <c r="BC2" s="172">
        <v>539</v>
      </c>
      <c r="BD2" s="172">
        <v>540</v>
      </c>
      <c r="BE2" s="172">
        <v>600</v>
      </c>
      <c r="BF2" s="172">
        <v>601</v>
      </c>
      <c r="BG2" s="172">
        <v>661</v>
      </c>
      <c r="BH2" s="172">
        <v>662</v>
      </c>
      <c r="BI2" s="172">
        <v>722</v>
      </c>
      <c r="BJ2" s="173">
        <v>723</v>
      </c>
      <c r="BK2" s="171">
        <v>51</v>
      </c>
      <c r="BL2" s="172">
        <v>52</v>
      </c>
      <c r="BM2" s="172">
        <v>112</v>
      </c>
      <c r="BN2" s="172">
        <v>113</v>
      </c>
      <c r="BO2" s="172">
        <v>173</v>
      </c>
      <c r="BP2" s="172">
        <v>174</v>
      </c>
      <c r="BQ2" s="172">
        <v>234</v>
      </c>
      <c r="BR2" s="172">
        <v>235</v>
      </c>
      <c r="BS2" s="172">
        <v>295</v>
      </c>
      <c r="BT2" s="172">
        <v>296</v>
      </c>
      <c r="BU2" s="172">
        <v>356</v>
      </c>
      <c r="BV2" s="172">
        <v>357</v>
      </c>
      <c r="BW2" s="172">
        <v>539</v>
      </c>
      <c r="BX2" s="172">
        <v>540</v>
      </c>
      <c r="BY2" s="172">
        <v>600</v>
      </c>
      <c r="BZ2" s="172">
        <v>601</v>
      </c>
      <c r="CA2" s="172">
        <v>661</v>
      </c>
      <c r="CB2" s="172">
        <v>662</v>
      </c>
      <c r="CC2" s="172">
        <v>722</v>
      </c>
      <c r="CD2" s="173">
        <v>723</v>
      </c>
      <c r="CE2" s="171">
        <v>51</v>
      </c>
      <c r="CF2" s="172">
        <v>52</v>
      </c>
      <c r="CG2" s="172">
        <v>112</v>
      </c>
      <c r="CH2" s="172">
        <v>113</v>
      </c>
      <c r="CI2" s="172">
        <v>173</v>
      </c>
      <c r="CJ2" s="172">
        <v>174</v>
      </c>
      <c r="CK2" s="172">
        <v>234</v>
      </c>
      <c r="CL2" s="172">
        <v>235</v>
      </c>
      <c r="CM2" s="172">
        <v>295</v>
      </c>
      <c r="CN2" s="172">
        <v>296</v>
      </c>
      <c r="CO2" s="172">
        <v>356</v>
      </c>
      <c r="CP2" s="172">
        <v>357</v>
      </c>
      <c r="CQ2" s="172">
        <v>539</v>
      </c>
      <c r="CR2" s="172">
        <v>540</v>
      </c>
      <c r="CS2" s="172">
        <v>600</v>
      </c>
      <c r="CT2" s="172">
        <v>601</v>
      </c>
      <c r="CU2" s="172">
        <v>661</v>
      </c>
      <c r="CV2" s="172">
        <v>662</v>
      </c>
      <c r="CW2" s="172">
        <v>722</v>
      </c>
      <c r="CX2" s="173">
        <v>723</v>
      </c>
      <c r="CY2" s="171">
        <v>51</v>
      </c>
      <c r="CZ2" s="172">
        <v>52</v>
      </c>
      <c r="DA2" s="172">
        <v>112</v>
      </c>
      <c r="DB2" s="172">
        <v>113</v>
      </c>
      <c r="DC2" s="172">
        <v>173</v>
      </c>
      <c r="DD2" s="172">
        <v>174</v>
      </c>
      <c r="DE2" s="172">
        <v>234</v>
      </c>
      <c r="DF2" s="172">
        <v>235</v>
      </c>
      <c r="DG2" s="172">
        <v>295</v>
      </c>
      <c r="DH2" s="172">
        <v>296</v>
      </c>
      <c r="DI2" s="172">
        <v>356</v>
      </c>
      <c r="DJ2" s="172">
        <v>357</v>
      </c>
      <c r="DK2" s="172">
        <v>539</v>
      </c>
      <c r="DL2" s="172">
        <v>540</v>
      </c>
      <c r="DM2" s="172">
        <v>600</v>
      </c>
      <c r="DN2" s="172">
        <v>601</v>
      </c>
      <c r="DO2" s="172">
        <v>661</v>
      </c>
      <c r="DP2" s="172">
        <v>662</v>
      </c>
      <c r="DQ2" s="172">
        <v>722</v>
      </c>
      <c r="DR2" s="173">
        <v>723</v>
      </c>
      <c r="DS2" s="171">
        <v>51</v>
      </c>
      <c r="DT2" s="172">
        <v>52</v>
      </c>
      <c r="DU2" s="172">
        <v>112</v>
      </c>
      <c r="DV2" s="172">
        <v>113</v>
      </c>
      <c r="DW2" s="172">
        <v>173</v>
      </c>
      <c r="DX2" s="172">
        <v>174</v>
      </c>
      <c r="DY2" s="172">
        <v>234</v>
      </c>
      <c r="DZ2" s="172">
        <v>235</v>
      </c>
      <c r="EA2" s="172">
        <v>295</v>
      </c>
      <c r="EB2" s="172">
        <v>296</v>
      </c>
      <c r="EC2" s="172">
        <v>356</v>
      </c>
      <c r="ED2" s="172">
        <v>357</v>
      </c>
      <c r="EE2" s="172">
        <v>539</v>
      </c>
      <c r="EF2" s="172">
        <v>540</v>
      </c>
      <c r="EG2" s="172">
        <v>600</v>
      </c>
      <c r="EH2" s="172">
        <v>601</v>
      </c>
      <c r="EI2" s="172">
        <v>661</v>
      </c>
      <c r="EJ2" s="172">
        <v>662</v>
      </c>
      <c r="EK2" s="172">
        <v>722</v>
      </c>
      <c r="EL2" s="173">
        <v>723</v>
      </c>
      <c r="EM2" s="171">
        <v>51</v>
      </c>
      <c r="EN2" s="172">
        <v>52</v>
      </c>
      <c r="EO2" s="172">
        <v>112</v>
      </c>
      <c r="EP2" s="172">
        <v>113</v>
      </c>
      <c r="EQ2" s="172">
        <v>173</v>
      </c>
      <c r="ER2" s="172">
        <v>174</v>
      </c>
      <c r="ES2" s="172">
        <v>234</v>
      </c>
      <c r="ET2" s="172">
        <v>235</v>
      </c>
      <c r="EU2" s="172">
        <v>295</v>
      </c>
      <c r="EV2" s="172">
        <v>296</v>
      </c>
      <c r="EW2" s="172">
        <v>356</v>
      </c>
      <c r="EX2" s="172">
        <v>357</v>
      </c>
      <c r="EY2" s="172">
        <v>539</v>
      </c>
      <c r="EZ2" s="172">
        <v>540</v>
      </c>
      <c r="FA2" s="172">
        <v>600</v>
      </c>
      <c r="FB2" s="172">
        <v>601</v>
      </c>
      <c r="FC2" s="172">
        <v>661</v>
      </c>
      <c r="FD2" s="172">
        <v>662</v>
      </c>
      <c r="FE2" s="172">
        <v>722</v>
      </c>
      <c r="FF2" s="173">
        <v>723</v>
      </c>
      <c r="FG2" s="171">
        <v>51</v>
      </c>
      <c r="FH2" s="172">
        <v>52</v>
      </c>
      <c r="FI2" s="172">
        <v>112</v>
      </c>
      <c r="FJ2" s="172">
        <v>113</v>
      </c>
      <c r="FK2" s="172">
        <v>173</v>
      </c>
      <c r="FL2" s="172">
        <v>174</v>
      </c>
      <c r="FM2" s="172">
        <v>234</v>
      </c>
      <c r="FN2" s="172">
        <v>235</v>
      </c>
      <c r="FO2" s="172">
        <v>295</v>
      </c>
      <c r="FP2" s="172">
        <v>296</v>
      </c>
      <c r="FQ2" s="172">
        <v>356</v>
      </c>
      <c r="FR2" s="172">
        <v>357</v>
      </c>
      <c r="FS2" s="172">
        <v>539</v>
      </c>
      <c r="FT2" s="172">
        <v>540</v>
      </c>
      <c r="FU2" s="172">
        <v>600</v>
      </c>
      <c r="FV2" s="172">
        <v>601</v>
      </c>
      <c r="FW2" s="172">
        <v>661</v>
      </c>
      <c r="FX2" s="172">
        <v>662</v>
      </c>
      <c r="FY2" s="172">
        <v>722</v>
      </c>
      <c r="FZ2" s="173">
        <v>723</v>
      </c>
      <c r="GA2" s="171">
        <v>51</v>
      </c>
      <c r="GB2" s="172">
        <v>52</v>
      </c>
      <c r="GC2" s="172">
        <v>112</v>
      </c>
      <c r="GD2" s="172">
        <v>113</v>
      </c>
      <c r="GE2" s="172">
        <v>173</v>
      </c>
      <c r="GF2" s="172">
        <v>174</v>
      </c>
      <c r="GG2" s="172">
        <v>234</v>
      </c>
      <c r="GH2" s="172">
        <v>235</v>
      </c>
      <c r="GI2" s="172">
        <v>295</v>
      </c>
      <c r="GJ2" s="172">
        <v>296</v>
      </c>
      <c r="GK2" s="172">
        <v>356</v>
      </c>
      <c r="GL2" s="172">
        <v>357</v>
      </c>
      <c r="GM2" s="172">
        <v>539</v>
      </c>
      <c r="GN2" s="172">
        <v>540</v>
      </c>
      <c r="GO2" s="172">
        <v>600</v>
      </c>
      <c r="GP2" s="172">
        <v>601</v>
      </c>
      <c r="GQ2" s="172">
        <v>661</v>
      </c>
      <c r="GR2" s="172">
        <v>662</v>
      </c>
      <c r="GS2" s="172">
        <v>722</v>
      </c>
      <c r="GT2" s="173">
        <v>723</v>
      </c>
      <c r="GU2" s="171">
        <v>51</v>
      </c>
      <c r="GV2" s="172">
        <v>52</v>
      </c>
      <c r="GW2" s="172">
        <v>112</v>
      </c>
      <c r="GX2" s="172">
        <v>113</v>
      </c>
      <c r="GY2" s="172">
        <v>173</v>
      </c>
      <c r="GZ2" s="172">
        <v>174</v>
      </c>
      <c r="HA2" s="172">
        <v>234</v>
      </c>
      <c r="HB2" s="172">
        <v>235</v>
      </c>
      <c r="HC2" s="172">
        <v>295</v>
      </c>
      <c r="HD2" s="172">
        <v>296</v>
      </c>
      <c r="HE2" s="172">
        <v>356</v>
      </c>
      <c r="HF2" s="172">
        <v>357</v>
      </c>
      <c r="HG2" s="172">
        <v>539</v>
      </c>
      <c r="HH2" s="172">
        <v>540</v>
      </c>
      <c r="HI2" s="172">
        <v>600</v>
      </c>
      <c r="HJ2" s="172">
        <v>601</v>
      </c>
      <c r="HK2" s="172">
        <v>661</v>
      </c>
      <c r="HL2" s="172">
        <v>662</v>
      </c>
      <c r="HM2" s="172">
        <v>722</v>
      </c>
      <c r="HN2" s="173">
        <v>723</v>
      </c>
      <c r="HO2" s="171">
        <v>51</v>
      </c>
      <c r="HP2" s="172">
        <v>52</v>
      </c>
      <c r="HQ2" s="172">
        <v>112</v>
      </c>
      <c r="HR2" s="172">
        <v>113</v>
      </c>
      <c r="HS2" s="172">
        <v>173</v>
      </c>
      <c r="HT2" s="172">
        <v>174</v>
      </c>
      <c r="HU2" s="172">
        <v>234</v>
      </c>
      <c r="HV2" s="172">
        <v>235</v>
      </c>
      <c r="HW2" s="172">
        <v>295</v>
      </c>
      <c r="HX2" s="172">
        <v>296</v>
      </c>
      <c r="HY2" s="172">
        <v>356</v>
      </c>
      <c r="HZ2" s="172">
        <v>357</v>
      </c>
      <c r="IA2" s="172">
        <v>539</v>
      </c>
      <c r="IB2" s="172">
        <v>540</v>
      </c>
      <c r="IC2" s="172">
        <v>600</v>
      </c>
      <c r="ID2" s="172">
        <v>601</v>
      </c>
      <c r="IE2" s="172">
        <v>661</v>
      </c>
      <c r="IF2" s="172">
        <v>662</v>
      </c>
      <c r="IG2" s="172">
        <v>722</v>
      </c>
      <c r="IH2" s="173">
        <v>723</v>
      </c>
    </row>
    <row r="3" spans="1:242">
      <c r="A3" s="174"/>
      <c r="B3" s="175">
        <v>1</v>
      </c>
      <c r="C3" s="176"/>
      <c r="D3" s="177"/>
      <c r="E3" s="177"/>
      <c r="F3" s="177"/>
      <c r="G3" s="177"/>
      <c r="H3" s="177"/>
      <c r="I3" s="177"/>
      <c r="J3" s="177"/>
      <c r="K3" s="177"/>
      <c r="L3" s="177"/>
      <c r="M3" s="177"/>
      <c r="N3" s="177"/>
      <c r="O3" s="177"/>
      <c r="P3" s="177"/>
      <c r="Q3" s="177"/>
      <c r="R3" s="177"/>
      <c r="S3" s="177"/>
      <c r="T3" s="177"/>
      <c r="U3" s="177"/>
      <c r="V3" s="178"/>
      <c r="W3" s="176">
        <v>1</v>
      </c>
      <c r="X3" s="177">
        <v>51</v>
      </c>
      <c r="Y3" s="177">
        <v>138</v>
      </c>
      <c r="Z3" s="177">
        <v>10877</v>
      </c>
      <c r="AA3" s="177">
        <v>26</v>
      </c>
      <c r="AB3" s="177">
        <v>3738</v>
      </c>
      <c r="AC3" s="177">
        <v>758</v>
      </c>
      <c r="AD3" s="177">
        <v>87066</v>
      </c>
      <c r="AE3" s="177">
        <v>25</v>
      </c>
      <c r="AF3" s="177">
        <v>2875</v>
      </c>
      <c r="AG3" s="177">
        <v>820</v>
      </c>
      <c r="AH3" s="177">
        <v>108720</v>
      </c>
      <c r="AI3" s="177">
        <v>45</v>
      </c>
      <c r="AJ3" s="177">
        <v>6248</v>
      </c>
      <c r="AK3" s="177">
        <v>710</v>
      </c>
      <c r="AL3" s="177">
        <v>111187</v>
      </c>
      <c r="AM3" s="177">
        <v>12912</v>
      </c>
      <c r="AN3" s="177">
        <v>12912</v>
      </c>
      <c r="AO3" s="177">
        <v>2425</v>
      </c>
      <c r="AP3" s="178">
        <v>317851</v>
      </c>
      <c r="AQ3" s="176">
        <v>0</v>
      </c>
      <c r="AR3" s="177">
        <v>0</v>
      </c>
      <c r="AS3" s="177">
        <v>250</v>
      </c>
      <c r="AT3" s="177">
        <v>19245</v>
      </c>
      <c r="AU3" s="177">
        <v>16</v>
      </c>
      <c r="AV3" s="177">
        <v>1401</v>
      </c>
      <c r="AW3" s="177">
        <v>1329</v>
      </c>
      <c r="AX3" s="177">
        <v>154736</v>
      </c>
      <c r="AY3" s="177">
        <v>4</v>
      </c>
      <c r="AZ3" s="177">
        <v>504</v>
      </c>
      <c r="BA3" s="177">
        <v>1575</v>
      </c>
      <c r="BB3" s="177">
        <v>196053</v>
      </c>
      <c r="BC3" s="177">
        <v>33</v>
      </c>
      <c r="BD3" s="177">
        <v>5037</v>
      </c>
      <c r="BE3" s="177">
        <v>1354</v>
      </c>
      <c r="BF3" s="177">
        <v>214066</v>
      </c>
      <c r="BG3" s="177">
        <v>6944</v>
      </c>
      <c r="BH3" s="177">
        <v>6944</v>
      </c>
      <c r="BI3" s="177">
        <v>4509</v>
      </c>
      <c r="BJ3" s="178">
        <v>584098</v>
      </c>
      <c r="BK3" s="176"/>
      <c r="BL3" s="177"/>
      <c r="BM3" s="177"/>
      <c r="BN3" s="177"/>
      <c r="BO3" s="177"/>
      <c r="BP3" s="177"/>
      <c r="BQ3" s="177"/>
      <c r="BR3" s="177"/>
      <c r="BS3" s="177"/>
      <c r="BT3" s="177"/>
      <c r="BU3" s="177"/>
      <c r="BV3" s="177"/>
      <c r="BW3" s="177"/>
      <c r="BX3" s="177"/>
      <c r="BY3" s="177"/>
      <c r="BZ3" s="177"/>
      <c r="CA3" s="177"/>
      <c r="CB3" s="177"/>
      <c r="CC3" s="177"/>
      <c r="CD3" s="178"/>
      <c r="CE3" s="176"/>
      <c r="CF3" s="177"/>
      <c r="CG3" s="177"/>
      <c r="CH3" s="177"/>
      <c r="CI3" s="177"/>
      <c r="CJ3" s="177"/>
      <c r="CK3" s="177"/>
      <c r="CL3" s="177"/>
      <c r="CM3" s="177"/>
      <c r="CN3" s="177"/>
      <c r="CO3" s="177"/>
      <c r="CP3" s="177"/>
      <c r="CQ3" s="177"/>
      <c r="CR3" s="177"/>
      <c r="CS3" s="177"/>
      <c r="CT3" s="177"/>
      <c r="CU3" s="177"/>
      <c r="CV3" s="177"/>
      <c r="CW3" s="177"/>
      <c r="CX3" s="178"/>
      <c r="CY3" s="176"/>
      <c r="CZ3" s="177"/>
      <c r="DA3" s="177"/>
      <c r="DB3" s="177"/>
      <c r="DC3" s="177"/>
      <c r="DD3" s="177"/>
      <c r="DE3" s="177"/>
      <c r="DF3" s="177"/>
      <c r="DG3" s="177"/>
      <c r="DH3" s="177"/>
      <c r="DI3" s="177"/>
      <c r="DJ3" s="177"/>
      <c r="DK3" s="177"/>
      <c r="DL3" s="177"/>
      <c r="DM3" s="177"/>
      <c r="DN3" s="177"/>
      <c r="DO3" s="177"/>
      <c r="DP3" s="177"/>
      <c r="DQ3" s="177"/>
      <c r="DR3" s="178"/>
      <c r="DS3" s="176">
        <v>16</v>
      </c>
      <c r="DT3" s="177">
        <v>1109</v>
      </c>
      <c r="DU3" s="177">
        <v>753</v>
      </c>
      <c r="DV3" s="177">
        <v>58286</v>
      </c>
      <c r="DW3" s="177">
        <v>15</v>
      </c>
      <c r="DX3" s="177">
        <v>2412</v>
      </c>
      <c r="DY3" s="177">
        <v>3521</v>
      </c>
      <c r="DZ3" s="177">
        <v>412833</v>
      </c>
      <c r="EA3" s="177">
        <v>6</v>
      </c>
      <c r="EB3" s="177">
        <v>618</v>
      </c>
      <c r="EC3" s="177">
        <v>4280</v>
      </c>
      <c r="ED3" s="177">
        <v>506661</v>
      </c>
      <c r="EE3" s="177">
        <v>36</v>
      </c>
      <c r="EF3" s="177">
        <v>6082</v>
      </c>
      <c r="EG3" s="177">
        <v>4050</v>
      </c>
      <c r="EH3" s="177">
        <v>621481</v>
      </c>
      <c r="EI3" s="177">
        <v>10223</v>
      </c>
      <c r="EJ3" s="177">
        <v>10223</v>
      </c>
      <c r="EK3" s="177">
        <v>12604</v>
      </c>
      <c r="EL3" s="178">
        <v>1599260</v>
      </c>
      <c r="EM3" s="176">
        <v>3</v>
      </c>
      <c r="EN3" s="177">
        <v>241</v>
      </c>
      <c r="EO3" s="177">
        <v>927</v>
      </c>
      <c r="EP3" s="177">
        <v>72112</v>
      </c>
      <c r="EQ3" s="177">
        <v>26</v>
      </c>
      <c r="ER3" s="177">
        <v>3625</v>
      </c>
      <c r="ES3" s="177">
        <v>4064</v>
      </c>
      <c r="ET3" s="177">
        <v>483945</v>
      </c>
      <c r="EU3" s="177">
        <v>2</v>
      </c>
      <c r="EV3" s="177">
        <v>81</v>
      </c>
      <c r="EW3" s="177">
        <v>4988</v>
      </c>
      <c r="EX3" s="177">
        <v>584688</v>
      </c>
      <c r="EY3" s="177">
        <v>36</v>
      </c>
      <c r="EZ3" s="177">
        <v>4880</v>
      </c>
      <c r="FA3" s="177">
        <v>4811</v>
      </c>
      <c r="FB3" s="177">
        <v>740575</v>
      </c>
      <c r="FC3" s="177">
        <v>8827</v>
      </c>
      <c r="FD3" s="177">
        <v>8827</v>
      </c>
      <c r="FE3" s="177">
        <v>14789</v>
      </c>
      <c r="FF3" s="178">
        <v>1881318</v>
      </c>
      <c r="FG3" s="176"/>
      <c r="FH3" s="177"/>
      <c r="FI3" s="177"/>
      <c r="FJ3" s="177"/>
      <c r="FK3" s="177"/>
      <c r="FL3" s="177"/>
      <c r="FM3" s="177"/>
      <c r="FN3" s="177"/>
      <c r="FO3" s="177"/>
      <c r="FP3" s="177"/>
      <c r="FQ3" s="177"/>
      <c r="FR3" s="177"/>
      <c r="FS3" s="177"/>
      <c r="FT3" s="177"/>
      <c r="FU3" s="177"/>
      <c r="FV3" s="177"/>
      <c r="FW3" s="177"/>
      <c r="FX3" s="177"/>
      <c r="FY3" s="177"/>
      <c r="FZ3" s="178"/>
      <c r="GA3" s="176">
        <v>1</v>
      </c>
      <c r="GB3" s="177">
        <v>51</v>
      </c>
      <c r="GC3" s="177">
        <v>1221</v>
      </c>
      <c r="GD3" s="177">
        <v>95997</v>
      </c>
      <c r="GE3" s="177">
        <v>23</v>
      </c>
      <c r="GF3" s="177">
        <v>2784</v>
      </c>
      <c r="GG3" s="177">
        <v>5176</v>
      </c>
      <c r="GH3" s="177">
        <v>621042</v>
      </c>
      <c r="GI3" s="177">
        <v>27</v>
      </c>
      <c r="GJ3" s="177">
        <v>6551</v>
      </c>
      <c r="GK3" s="177">
        <v>6095</v>
      </c>
      <c r="GL3" s="177">
        <v>715282</v>
      </c>
      <c r="GM3" s="177">
        <v>41</v>
      </c>
      <c r="GN3" s="177">
        <v>7370</v>
      </c>
      <c r="GO3" s="177">
        <v>6117</v>
      </c>
      <c r="GP3" s="177">
        <v>950030</v>
      </c>
      <c r="GQ3" s="177">
        <v>92</v>
      </c>
      <c r="GR3" s="177">
        <v>16756</v>
      </c>
      <c r="GS3" s="177">
        <v>18609</v>
      </c>
      <c r="GT3" s="178">
        <v>2382350</v>
      </c>
      <c r="GU3" s="176"/>
      <c r="GV3" s="177"/>
      <c r="GW3" s="177"/>
      <c r="GX3" s="177"/>
      <c r="GY3" s="177"/>
      <c r="GZ3" s="177"/>
      <c r="HA3" s="177"/>
      <c r="HB3" s="177"/>
      <c r="HC3" s="177"/>
      <c r="HD3" s="177"/>
      <c r="HE3" s="177"/>
      <c r="HF3" s="177"/>
      <c r="HG3" s="177"/>
      <c r="HH3" s="177"/>
      <c r="HI3" s="177"/>
      <c r="HJ3" s="177"/>
      <c r="HK3" s="177"/>
      <c r="HL3" s="177"/>
      <c r="HM3" s="177"/>
      <c r="HN3" s="178"/>
      <c r="HO3" s="176"/>
      <c r="HP3" s="177"/>
      <c r="HQ3" s="177"/>
      <c r="HR3" s="177"/>
      <c r="HS3" s="177"/>
      <c r="HT3" s="177"/>
      <c r="HU3" s="177"/>
      <c r="HV3" s="177"/>
      <c r="HW3" s="177"/>
      <c r="HX3" s="177"/>
      <c r="HY3" s="177"/>
      <c r="HZ3" s="177"/>
      <c r="IA3" s="177"/>
      <c r="IB3" s="177"/>
      <c r="IC3" s="177"/>
      <c r="ID3" s="177"/>
      <c r="IE3" s="177"/>
      <c r="IF3" s="177"/>
      <c r="IG3" s="177"/>
      <c r="IH3" s="178"/>
    </row>
    <row r="4" spans="1:242">
      <c r="B4" s="175">
        <v>2</v>
      </c>
      <c r="C4" s="179">
        <v>4</v>
      </c>
      <c r="D4" s="180">
        <v>205</v>
      </c>
      <c r="E4" s="180">
        <v>4</v>
      </c>
      <c r="F4" s="180">
        <v>205</v>
      </c>
      <c r="G4" s="180">
        <v>43</v>
      </c>
      <c r="H4" s="180">
        <v>3951</v>
      </c>
      <c r="I4" s="180">
        <v>43</v>
      </c>
      <c r="J4" s="180">
        <v>3951</v>
      </c>
      <c r="K4" s="180">
        <v>4</v>
      </c>
      <c r="L4" s="180">
        <v>922</v>
      </c>
      <c r="M4" s="180">
        <v>4</v>
      </c>
      <c r="N4" s="180">
        <v>922</v>
      </c>
      <c r="O4" s="180">
        <v>93</v>
      </c>
      <c r="P4" s="180">
        <v>11634</v>
      </c>
      <c r="Q4" s="180">
        <v>93</v>
      </c>
      <c r="R4" s="180">
        <v>11634</v>
      </c>
      <c r="S4" s="180">
        <v>0</v>
      </c>
      <c r="T4" s="180">
        <v>0</v>
      </c>
      <c r="U4" s="180">
        <v>0</v>
      </c>
      <c r="V4" s="181">
        <v>0</v>
      </c>
      <c r="W4" s="179"/>
      <c r="X4" s="180"/>
      <c r="Y4" s="180"/>
      <c r="Z4" s="180"/>
      <c r="AA4" s="180"/>
      <c r="AB4" s="180"/>
      <c r="AC4" s="180"/>
      <c r="AD4" s="180"/>
      <c r="AE4" s="180"/>
      <c r="AF4" s="180"/>
      <c r="AG4" s="180"/>
      <c r="AH4" s="180"/>
      <c r="AI4" s="180"/>
      <c r="AJ4" s="180"/>
      <c r="AK4" s="180"/>
      <c r="AL4" s="180"/>
      <c r="AM4" s="180"/>
      <c r="AN4" s="180"/>
      <c r="AO4" s="180"/>
      <c r="AP4" s="181"/>
      <c r="AQ4" s="179"/>
      <c r="AR4" s="180"/>
      <c r="AS4" s="180"/>
      <c r="AT4" s="180"/>
      <c r="AU4" s="180"/>
      <c r="AV4" s="180"/>
      <c r="AW4" s="180"/>
      <c r="AX4" s="180"/>
      <c r="AY4" s="180"/>
      <c r="AZ4" s="180"/>
      <c r="BA4" s="180"/>
      <c r="BB4" s="180"/>
      <c r="BC4" s="180"/>
      <c r="BD4" s="180"/>
      <c r="BE4" s="180"/>
      <c r="BF4" s="180"/>
      <c r="BG4" s="180"/>
      <c r="BH4" s="180"/>
      <c r="BI4" s="180"/>
      <c r="BJ4" s="181"/>
      <c r="BK4" s="179">
        <v>39</v>
      </c>
      <c r="BL4" s="180">
        <v>3774</v>
      </c>
      <c r="BM4" s="180">
        <v>401</v>
      </c>
      <c r="BN4" s="180">
        <v>31250</v>
      </c>
      <c r="BO4" s="180">
        <v>9</v>
      </c>
      <c r="BP4" s="180">
        <v>820</v>
      </c>
      <c r="BQ4" s="180">
        <v>1921</v>
      </c>
      <c r="BR4" s="180">
        <v>220533</v>
      </c>
      <c r="BS4" s="180">
        <v>0</v>
      </c>
      <c r="BT4" s="180">
        <v>0</v>
      </c>
      <c r="BU4" s="180">
        <v>2406</v>
      </c>
      <c r="BV4" s="180">
        <v>278081</v>
      </c>
      <c r="BW4" s="180">
        <v>24</v>
      </c>
      <c r="BX4" s="180">
        <v>4122</v>
      </c>
      <c r="BY4" s="180">
        <v>2014</v>
      </c>
      <c r="BZ4" s="180">
        <v>314190</v>
      </c>
      <c r="CA4" s="180">
        <v>8716</v>
      </c>
      <c r="CB4" s="180">
        <v>8716</v>
      </c>
      <c r="CC4" s="180">
        <v>6742</v>
      </c>
      <c r="CD4" s="181">
        <v>844054</v>
      </c>
      <c r="CE4" s="179">
        <v>8</v>
      </c>
      <c r="CF4" s="180">
        <v>508</v>
      </c>
      <c r="CG4" s="180">
        <v>517</v>
      </c>
      <c r="CH4" s="180">
        <v>40108</v>
      </c>
      <c r="CI4" s="180">
        <v>14</v>
      </c>
      <c r="CJ4" s="180">
        <v>1456</v>
      </c>
      <c r="CK4" s="180">
        <v>2425</v>
      </c>
      <c r="CL4" s="180">
        <v>282673</v>
      </c>
      <c r="CM4" s="180">
        <v>17</v>
      </c>
      <c r="CN4" s="180">
        <v>2161</v>
      </c>
      <c r="CO4" s="180">
        <v>3071</v>
      </c>
      <c r="CP4" s="180">
        <v>357904</v>
      </c>
      <c r="CQ4" s="180">
        <v>34</v>
      </c>
      <c r="CR4" s="180">
        <v>4486</v>
      </c>
      <c r="CS4" s="180">
        <v>2722</v>
      </c>
      <c r="CT4" s="180">
        <v>416470</v>
      </c>
      <c r="CU4" s="180">
        <v>8612</v>
      </c>
      <c r="CV4" s="180">
        <v>8612</v>
      </c>
      <c r="CW4" s="180">
        <v>8736</v>
      </c>
      <c r="CX4" s="181">
        <v>1097155</v>
      </c>
      <c r="CY4" s="179"/>
      <c r="CZ4" s="180"/>
      <c r="DA4" s="180"/>
      <c r="DB4" s="180"/>
      <c r="DC4" s="180"/>
      <c r="DD4" s="180"/>
      <c r="DE4" s="180"/>
      <c r="DF4" s="180"/>
      <c r="DG4" s="180"/>
      <c r="DH4" s="180"/>
      <c r="DI4" s="180"/>
      <c r="DJ4" s="180"/>
      <c r="DK4" s="180"/>
      <c r="DL4" s="180"/>
      <c r="DM4" s="180"/>
      <c r="DN4" s="180"/>
      <c r="DO4" s="180"/>
      <c r="DP4" s="180"/>
      <c r="DQ4" s="180"/>
      <c r="DR4" s="181"/>
      <c r="DS4" s="179">
        <v>21</v>
      </c>
      <c r="DT4" s="180">
        <v>1449</v>
      </c>
      <c r="DU4" s="180">
        <v>758</v>
      </c>
      <c r="DV4" s="180">
        <v>58627</v>
      </c>
      <c r="DW4" s="180">
        <v>37</v>
      </c>
      <c r="DX4" s="180">
        <v>5184</v>
      </c>
      <c r="DY4" s="180">
        <v>3543</v>
      </c>
      <c r="DZ4" s="180">
        <v>415605</v>
      </c>
      <c r="EA4" s="180">
        <v>29</v>
      </c>
      <c r="EB4" s="180">
        <v>4105</v>
      </c>
      <c r="EC4" s="180">
        <v>4302</v>
      </c>
      <c r="ED4" s="180">
        <v>510148</v>
      </c>
      <c r="EE4" s="180">
        <v>81</v>
      </c>
      <c r="EF4" s="180">
        <v>14823</v>
      </c>
      <c r="EG4" s="180">
        <v>4094</v>
      </c>
      <c r="EH4" s="180">
        <v>630219</v>
      </c>
      <c r="EI4" s="180">
        <v>25562</v>
      </c>
      <c r="EJ4" s="180">
        <v>25562</v>
      </c>
      <c r="EK4" s="180">
        <v>12696</v>
      </c>
      <c r="EL4" s="181">
        <v>1614598</v>
      </c>
      <c r="EM4" s="179">
        <v>3</v>
      </c>
      <c r="EN4" s="180">
        <v>241</v>
      </c>
      <c r="EO4" s="180">
        <v>927</v>
      </c>
      <c r="EP4" s="180">
        <v>72112</v>
      </c>
      <c r="EQ4" s="180">
        <v>49</v>
      </c>
      <c r="ER4" s="180">
        <v>6173</v>
      </c>
      <c r="ES4" s="180">
        <v>4087</v>
      </c>
      <c r="ET4" s="180">
        <v>486492</v>
      </c>
      <c r="EU4" s="180">
        <v>14</v>
      </c>
      <c r="EV4" s="180">
        <v>1062</v>
      </c>
      <c r="EW4" s="180">
        <v>5000</v>
      </c>
      <c r="EX4" s="180">
        <v>585669</v>
      </c>
      <c r="EY4" s="180">
        <v>77</v>
      </c>
      <c r="EZ4" s="180">
        <v>11690</v>
      </c>
      <c r="FA4" s="180">
        <v>4852</v>
      </c>
      <c r="FB4" s="180">
        <v>747386</v>
      </c>
      <c r="FC4" s="180">
        <v>19167</v>
      </c>
      <c r="FD4" s="180">
        <v>19167</v>
      </c>
      <c r="FE4" s="180">
        <v>14866</v>
      </c>
      <c r="FF4" s="181">
        <v>1891658</v>
      </c>
      <c r="FG4" s="179">
        <v>7</v>
      </c>
      <c r="FH4" s="180">
        <v>402</v>
      </c>
      <c r="FI4" s="180">
        <v>1117</v>
      </c>
      <c r="FJ4" s="180">
        <v>87829</v>
      </c>
      <c r="FK4" s="180">
        <v>10</v>
      </c>
      <c r="FL4" s="180">
        <v>1393</v>
      </c>
      <c r="FM4" s="180">
        <v>4543</v>
      </c>
      <c r="FN4" s="180">
        <v>548258</v>
      </c>
      <c r="FO4" s="180">
        <v>4</v>
      </c>
      <c r="FP4" s="180">
        <v>235</v>
      </c>
      <c r="FQ4" s="180">
        <v>5427</v>
      </c>
      <c r="FR4" s="180">
        <v>642771</v>
      </c>
      <c r="FS4" s="180">
        <v>33</v>
      </c>
      <c r="FT4" s="180">
        <v>5167</v>
      </c>
      <c r="FU4" s="180">
        <v>5444</v>
      </c>
      <c r="FV4" s="180">
        <v>841075</v>
      </c>
      <c r="FW4" s="180">
        <v>7197</v>
      </c>
      <c r="FX4" s="180">
        <v>7197</v>
      </c>
      <c r="FY4" s="180">
        <v>16531</v>
      </c>
      <c r="FZ4" s="181">
        <v>2119933</v>
      </c>
      <c r="GA4" s="179">
        <v>3</v>
      </c>
      <c r="GB4" s="180">
        <v>102</v>
      </c>
      <c r="GC4" s="180">
        <v>1223</v>
      </c>
      <c r="GD4" s="180">
        <v>96048</v>
      </c>
      <c r="GE4" s="180">
        <v>41</v>
      </c>
      <c r="GF4" s="180">
        <v>4520</v>
      </c>
      <c r="GG4" s="180">
        <v>5194</v>
      </c>
      <c r="GH4" s="180">
        <v>622777</v>
      </c>
      <c r="GI4" s="180">
        <v>35</v>
      </c>
      <c r="GJ4" s="180">
        <v>7395</v>
      </c>
      <c r="GK4" s="180">
        <v>6103</v>
      </c>
      <c r="GL4" s="180">
        <v>716126</v>
      </c>
      <c r="GM4" s="180">
        <v>87</v>
      </c>
      <c r="GN4" s="180">
        <v>14663</v>
      </c>
      <c r="GO4" s="180">
        <v>6163</v>
      </c>
      <c r="GP4" s="180">
        <v>957324</v>
      </c>
      <c r="GQ4" s="180">
        <v>165</v>
      </c>
      <c r="GR4" s="180">
        <v>26681</v>
      </c>
      <c r="GS4" s="180">
        <v>18683</v>
      </c>
      <c r="GT4" s="181">
        <v>2392274</v>
      </c>
      <c r="GU4" s="179"/>
      <c r="GV4" s="180"/>
      <c r="GW4" s="180"/>
      <c r="GX4" s="180"/>
      <c r="GY4" s="180"/>
      <c r="GZ4" s="180"/>
      <c r="HA4" s="180"/>
      <c r="HB4" s="180"/>
      <c r="HC4" s="180"/>
      <c r="HD4" s="180"/>
      <c r="HE4" s="180"/>
      <c r="HF4" s="180"/>
      <c r="HG4" s="180"/>
      <c r="HH4" s="180"/>
      <c r="HI4" s="180"/>
      <c r="HJ4" s="180"/>
      <c r="HK4" s="180"/>
      <c r="HL4" s="180"/>
      <c r="HM4" s="180"/>
      <c r="HN4" s="181"/>
      <c r="HO4" s="179">
        <v>9</v>
      </c>
      <c r="HP4" s="180">
        <v>707</v>
      </c>
      <c r="HQ4" s="180">
        <v>1519</v>
      </c>
      <c r="HR4" s="180">
        <v>117128</v>
      </c>
      <c r="HS4" s="180">
        <v>11</v>
      </c>
      <c r="HT4" s="180">
        <v>1796</v>
      </c>
      <c r="HU4" s="180">
        <v>6069</v>
      </c>
      <c r="HV4" s="180">
        <v>734113</v>
      </c>
      <c r="HW4" s="180">
        <v>1</v>
      </c>
      <c r="HX4" s="180">
        <v>123</v>
      </c>
      <c r="HY4" s="180">
        <v>7330</v>
      </c>
      <c r="HZ4" s="180">
        <v>864495</v>
      </c>
      <c r="IA4" s="180">
        <v>71</v>
      </c>
      <c r="IB4" s="180">
        <v>9992</v>
      </c>
      <c r="IC4" s="180">
        <v>7727</v>
      </c>
      <c r="ID4" s="180">
        <v>1226439</v>
      </c>
      <c r="IE4" s="180">
        <v>92</v>
      </c>
      <c r="IF4" s="180">
        <v>12618</v>
      </c>
      <c r="IG4" s="180">
        <v>22644</v>
      </c>
      <c r="IH4" s="181">
        <v>2942175</v>
      </c>
    </row>
    <row r="5" spans="1:242">
      <c r="A5" s="167"/>
      <c r="B5" s="175">
        <v>3</v>
      </c>
      <c r="C5" s="179">
        <v>4</v>
      </c>
      <c r="D5" s="180">
        <v>205</v>
      </c>
      <c r="E5" s="180">
        <v>4</v>
      </c>
      <c r="F5" s="180">
        <v>205</v>
      </c>
      <c r="G5" s="180">
        <v>80</v>
      </c>
      <c r="H5" s="180">
        <v>7874</v>
      </c>
      <c r="I5" s="180">
        <v>80</v>
      </c>
      <c r="J5" s="180">
        <v>7874</v>
      </c>
      <c r="K5" s="180">
        <v>40</v>
      </c>
      <c r="L5" s="180">
        <v>6738</v>
      </c>
      <c r="M5" s="180">
        <v>40</v>
      </c>
      <c r="N5" s="180">
        <v>6738</v>
      </c>
      <c r="O5" s="180">
        <v>67</v>
      </c>
      <c r="P5" s="180">
        <v>10940</v>
      </c>
      <c r="Q5" s="180">
        <v>67</v>
      </c>
      <c r="R5" s="180">
        <v>10940</v>
      </c>
      <c r="S5" s="180">
        <v>25756</v>
      </c>
      <c r="T5" s="180">
        <v>25756</v>
      </c>
      <c r="U5" s="180">
        <v>190</v>
      </c>
      <c r="V5" s="181">
        <v>25756</v>
      </c>
      <c r="W5" s="179"/>
      <c r="X5" s="180"/>
      <c r="Y5" s="180"/>
      <c r="Z5" s="180"/>
      <c r="AA5" s="180"/>
      <c r="AB5" s="180"/>
      <c r="AC5" s="180"/>
      <c r="AD5" s="180"/>
      <c r="AE5" s="180"/>
      <c r="AF5" s="180"/>
      <c r="AG5" s="180"/>
      <c r="AH5" s="180"/>
      <c r="AI5" s="180"/>
      <c r="AJ5" s="180"/>
      <c r="AK5" s="180"/>
      <c r="AL5" s="180"/>
      <c r="AM5" s="180"/>
      <c r="AN5" s="180"/>
      <c r="AO5" s="180"/>
      <c r="AP5" s="181"/>
      <c r="AQ5" s="179"/>
      <c r="AR5" s="180"/>
      <c r="AS5" s="180"/>
      <c r="AT5" s="180"/>
      <c r="AU5" s="180"/>
      <c r="AV5" s="180"/>
      <c r="AW5" s="180"/>
      <c r="AX5" s="180"/>
      <c r="AY5" s="180"/>
      <c r="AZ5" s="180"/>
      <c r="BA5" s="180"/>
      <c r="BB5" s="180"/>
      <c r="BC5" s="180"/>
      <c r="BD5" s="180"/>
      <c r="BE5" s="180"/>
      <c r="BF5" s="180"/>
      <c r="BG5" s="180"/>
      <c r="BH5" s="180"/>
      <c r="BI5" s="180"/>
      <c r="BJ5" s="181"/>
      <c r="BK5" s="179">
        <v>47</v>
      </c>
      <c r="BL5" s="180">
        <v>4407</v>
      </c>
      <c r="BM5" s="180">
        <v>408</v>
      </c>
      <c r="BN5" s="180">
        <v>31883</v>
      </c>
      <c r="BO5" s="180">
        <v>51</v>
      </c>
      <c r="BP5" s="180">
        <v>6283</v>
      </c>
      <c r="BQ5" s="180">
        <v>1963</v>
      </c>
      <c r="BR5" s="180">
        <v>225997</v>
      </c>
      <c r="BS5" s="180">
        <v>36</v>
      </c>
      <c r="BT5" s="180">
        <v>3423</v>
      </c>
      <c r="BU5" s="180">
        <v>2441</v>
      </c>
      <c r="BV5" s="180">
        <v>281504</v>
      </c>
      <c r="BW5" s="180">
        <v>50</v>
      </c>
      <c r="BX5" s="180">
        <v>7430</v>
      </c>
      <c r="BY5" s="180">
        <v>2041</v>
      </c>
      <c r="BZ5" s="180">
        <v>317497</v>
      </c>
      <c r="CA5" s="180">
        <v>21543</v>
      </c>
      <c r="CB5" s="180">
        <v>21543</v>
      </c>
      <c r="CC5" s="180">
        <v>6853</v>
      </c>
      <c r="CD5" s="181">
        <v>856880</v>
      </c>
      <c r="CE5" s="179">
        <v>10</v>
      </c>
      <c r="CF5" s="180">
        <v>646</v>
      </c>
      <c r="CG5" s="180">
        <v>520</v>
      </c>
      <c r="CH5" s="180">
        <v>40247</v>
      </c>
      <c r="CI5" s="180">
        <v>50</v>
      </c>
      <c r="CJ5" s="180">
        <v>5970</v>
      </c>
      <c r="CK5" s="180">
        <v>2462</v>
      </c>
      <c r="CL5" s="180">
        <v>287187</v>
      </c>
      <c r="CM5" s="180">
        <v>67</v>
      </c>
      <c r="CN5" s="180">
        <v>6521</v>
      </c>
      <c r="CO5" s="180">
        <v>3121</v>
      </c>
      <c r="CP5" s="180">
        <v>362264</v>
      </c>
      <c r="CQ5" s="180">
        <v>56</v>
      </c>
      <c r="CR5" s="180">
        <v>7904</v>
      </c>
      <c r="CS5" s="180">
        <v>2744</v>
      </c>
      <c r="CT5" s="180">
        <v>419888</v>
      </c>
      <c r="CU5" s="180">
        <v>21040</v>
      </c>
      <c r="CV5" s="180">
        <v>21040</v>
      </c>
      <c r="CW5" s="180">
        <v>8846</v>
      </c>
      <c r="CX5" s="181">
        <v>1109585</v>
      </c>
      <c r="CY5" s="179">
        <v>0</v>
      </c>
      <c r="CZ5" s="180">
        <v>0</v>
      </c>
      <c r="DA5" s="180">
        <v>614</v>
      </c>
      <c r="DB5" s="180">
        <v>47036</v>
      </c>
      <c r="DC5" s="180">
        <v>21</v>
      </c>
      <c r="DD5" s="180">
        <v>2481</v>
      </c>
      <c r="DE5" s="180">
        <v>2944</v>
      </c>
      <c r="DF5" s="180">
        <v>347497</v>
      </c>
      <c r="DG5" s="180">
        <v>8</v>
      </c>
      <c r="DH5" s="180">
        <v>1276</v>
      </c>
      <c r="DI5" s="180">
        <v>3647</v>
      </c>
      <c r="DJ5" s="180">
        <v>426242</v>
      </c>
      <c r="DK5" s="180">
        <v>48</v>
      </c>
      <c r="DL5" s="180">
        <v>6786</v>
      </c>
      <c r="DM5" s="180">
        <v>3407</v>
      </c>
      <c r="DN5" s="180">
        <v>520342</v>
      </c>
      <c r="DO5" s="180">
        <v>10543</v>
      </c>
      <c r="DP5" s="180">
        <v>10543</v>
      </c>
      <c r="DQ5" s="180">
        <v>10612</v>
      </c>
      <c r="DR5" s="181">
        <v>1341116</v>
      </c>
      <c r="DS5" s="179">
        <v>22</v>
      </c>
      <c r="DT5" s="180">
        <v>1549</v>
      </c>
      <c r="DU5" s="180">
        <v>759</v>
      </c>
      <c r="DV5" s="180">
        <v>58727</v>
      </c>
      <c r="DW5" s="180">
        <v>66</v>
      </c>
      <c r="DX5" s="180">
        <v>10065</v>
      </c>
      <c r="DY5" s="180">
        <v>3573</v>
      </c>
      <c r="DZ5" s="180">
        <v>420485</v>
      </c>
      <c r="EA5" s="180">
        <v>59</v>
      </c>
      <c r="EB5" s="180">
        <v>8857</v>
      </c>
      <c r="EC5" s="180">
        <v>4332</v>
      </c>
      <c r="ED5" s="180">
        <v>514900</v>
      </c>
      <c r="EE5" s="180">
        <v>122</v>
      </c>
      <c r="EF5" s="180">
        <v>20938</v>
      </c>
      <c r="EG5" s="180">
        <v>4135</v>
      </c>
      <c r="EH5" s="180">
        <v>636335</v>
      </c>
      <c r="EI5" s="180">
        <v>41411</v>
      </c>
      <c r="EJ5" s="180">
        <v>41411</v>
      </c>
      <c r="EK5" s="180">
        <v>12799</v>
      </c>
      <c r="EL5" s="181">
        <v>1630449</v>
      </c>
      <c r="EM5" s="179"/>
      <c r="EN5" s="180"/>
      <c r="EO5" s="180"/>
      <c r="EP5" s="180"/>
      <c r="EQ5" s="180"/>
      <c r="ER5" s="180"/>
      <c r="ES5" s="180"/>
      <c r="ET5" s="180"/>
      <c r="EU5" s="180"/>
      <c r="EV5" s="180"/>
      <c r="EW5" s="180"/>
      <c r="EX5" s="180"/>
      <c r="EY5" s="180"/>
      <c r="EZ5" s="180"/>
      <c r="FA5" s="180"/>
      <c r="FB5" s="180"/>
      <c r="FC5" s="180"/>
      <c r="FD5" s="180"/>
      <c r="FE5" s="180"/>
      <c r="FF5" s="181"/>
      <c r="FG5" s="179">
        <v>10</v>
      </c>
      <c r="FH5" s="180">
        <v>988</v>
      </c>
      <c r="FI5" s="180">
        <v>1119</v>
      </c>
      <c r="FJ5" s="180">
        <v>88415</v>
      </c>
      <c r="FK5" s="180">
        <v>42</v>
      </c>
      <c r="FL5" s="180">
        <v>3517</v>
      </c>
      <c r="FM5" s="180">
        <v>4574</v>
      </c>
      <c r="FN5" s="180">
        <v>550382</v>
      </c>
      <c r="FO5" s="180">
        <v>16</v>
      </c>
      <c r="FP5" s="180">
        <v>1715</v>
      </c>
      <c r="FQ5" s="180">
        <v>5439</v>
      </c>
      <c r="FR5" s="180">
        <v>644251</v>
      </c>
      <c r="FS5" s="180">
        <v>63</v>
      </c>
      <c r="FT5" s="180">
        <v>10570</v>
      </c>
      <c r="FU5" s="180">
        <v>5473</v>
      </c>
      <c r="FV5" s="180">
        <v>846478</v>
      </c>
      <c r="FW5" s="180">
        <v>16791</v>
      </c>
      <c r="FX5" s="180">
        <v>16791</v>
      </c>
      <c r="FY5" s="180">
        <v>16606</v>
      </c>
      <c r="FZ5" s="181">
        <v>2129527</v>
      </c>
      <c r="GA5" s="179">
        <v>3</v>
      </c>
      <c r="GB5" s="180">
        <v>102</v>
      </c>
      <c r="GC5" s="180">
        <v>1223</v>
      </c>
      <c r="GD5" s="180">
        <v>96048</v>
      </c>
      <c r="GE5" s="180">
        <v>56</v>
      </c>
      <c r="GF5" s="180">
        <v>5834</v>
      </c>
      <c r="GG5" s="180">
        <v>5208</v>
      </c>
      <c r="GH5" s="180">
        <v>624090</v>
      </c>
      <c r="GI5" s="180">
        <v>61</v>
      </c>
      <c r="GJ5" s="180">
        <v>11967</v>
      </c>
      <c r="GK5" s="180">
        <v>6129</v>
      </c>
      <c r="GL5" s="180">
        <v>720698</v>
      </c>
      <c r="GM5" s="180">
        <v>132</v>
      </c>
      <c r="GN5" s="180">
        <v>22776</v>
      </c>
      <c r="GO5" s="180">
        <v>6208</v>
      </c>
      <c r="GP5" s="180">
        <v>965436</v>
      </c>
      <c r="GQ5" s="180">
        <v>251</v>
      </c>
      <c r="GR5" s="180">
        <v>40678</v>
      </c>
      <c r="GS5" s="180">
        <v>18768</v>
      </c>
      <c r="GT5" s="181">
        <v>2406271</v>
      </c>
      <c r="GU5" s="179"/>
      <c r="GV5" s="180"/>
      <c r="GW5" s="180"/>
      <c r="GX5" s="180"/>
      <c r="GY5" s="180"/>
      <c r="GZ5" s="180"/>
      <c r="HA5" s="180"/>
      <c r="HB5" s="180"/>
      <c r="HC5" s="180"/>
      <c r="HD5" s="180"/>
      <c r="HE5" s="180"/>
      <c r="HF5" s="180"/>
      <c r="HG5" s="180"/>
      <c r="HH5" s="180"/>
      <c r="HI5" s="180"/>
      <c r="HJ5" s="180"/>
      <c r="HK5" s="180"/>
      <c r="HL5" s="180"/>
      <c r="HM5" s="180"/>
      <c r="HN5" s="181"/>
      <c r="HO5" s="179">
        <v>14</v>
      </c>
      <c r="HP5" s="180">
        <v>1035</v>
      </c>
      <c r="HQ5" s="180">
        <v>1524</v>
      </c>
      <c r="HR5" s="180">
        <v>117456</v>
      </c>
      <c r="HS5" s="180">
        <v>32</v>
      </c>
      <c r="HT5" s="180">
        <v>3994</v>
      </c>
      <c r="HU5" s="180">
        <v>6089</v>
      </c>
      <c r="HV5" s="180">
        <v>736311</v>
      </c>
      <c r="HW5" s="180">
        <v>26</v>
      </c>
      <c r="HX5" s="180">
        <v>2744</v>
      </c>
      <c r="HY5" s="180">
        <v>7355</v>
      </c>
      <c r="HZ5" s="180">
        <v>867116</v>
      </c>
      <c r="IA5" s="180">
        <v>145</v>
      </c>
      <c r="IB5" s="180">
        <v>23253</v>
      </c>
      <c r="IC5" s="180">
        <v>7801</v>
      </c>
      <c r="ID5" s="180">
        <v>1239697</v>
      </c>
      <c r="IE5" s="180">
        <v>217</v>
      </c>
      <c r="IF5" s="180">
        <v>31027</v>
      </c>
      <c r="IG5" s="180">
        <v>22769</v>
      </c>
      <c r="IH5" s="181">
        <v>2960582</v>
      </c>
    </row>
    <row r="6" spans="1:242">
      <c r="A6" s="169"/>
      <c r="B6" s="175">
        <v>4</v>
      </c>
      <c r="C6" s="179">
        <v>11</v>
      </c>
      <c r="D6" s="180">
        <v>774</v>
      </c>
      <c r="E6" s="180">
        <v>11</v>
      </c>
      <c r="F6" s="180">
        <v>774</v>
      </c>
      <c r="G6" s="180">
        <v>107</v>
      </c>
      <c r="H6" s="180">
        <v>10383</v>
      </c>
      <c r="I6" s="180">
        <v>107</v>
      </c>
      <c r="J6" s="180">
        <v>10383</v>
      </c>
      <c r="K6" s="180">
        <v>68</v>
      </c>
      <c r="L6" s="180">
        <v>10012</v>
      </c>
      <c r="M6" s="180">
        <v>68</v>
      </c>
      <c r="N6" s="180">
        <v>10012</v>
      </c>
      <c r="O6" s="180">
        <v>97</v>
      </c>
      <c r="P6" s="180">
        <v>15818</v>
      </c>
      <c r="Q6" s="180">
        <v>97</v>
      </c>
      <c r="R6" s="180">
        <v>15818</v>
      </c>
      <c r="S6" s="180">
        <v>36986</v>
      </c>
      <c r="T6" s="180">
        <v>36986</v>
      </c>
      <c r="U6" s="180">
        <v>283</v>
      </c>
      <c r="V6" s="181">
        <v>36986</v>
      </c>
      <c r="W6" s="179">
        <v>3</v>
      </c>
      <c r="X6" s="180">
        <v>369</v>
      </c>
      <c r="Y6" s="180">
        <v>139</v>
      </c>
      <c r="Z6" s="180">
        <v>11195</v>
      </c>
      <c r="AA6" s="180">
        <v>42</v>
      </c>
      <c r="AB6" s="180">
        <v>5310</v>
      </c>
      <c r="AC6" s="180">
        <v>775</v>
      </c>
      <c r="AD6" s="180">
        <v>88638</v>
      </c>
      <c r="AE6" s="180">
        <v>51</v>
      </c>
      <c r="AF6" s="180">
        <v>8453</v>
      </c>
      <c r="AG6" s="180">
        <v>846</v>
      </c>
      <c r="AH6" s="180">
        <v>114300</v>
      </c>
      <c r="AI6" s="180">
        <v>88</v>
      </c>
      <c r="AJ6" s="180">
        <v>12592</v>
      </c>
      <c r="AK6" s="180">
        <v>753</v>
      </c>
      <c r="AL6" s="180">
        <v>117531</v>
      </c>
      <c r="AM6" s="180">
        <v>26724</v>
      </c>
      <c r="AN6" s="180">
        <v>26724</v>
      </c>
      <c r="AO6" s="180">
        <v>2512</v>
      </c>
      <c r="AP6" s="181">
        <v>331664</v>
      </c>
      <c r="AQ6" s="179">
        <v>6</v>
      </c>
      <c r="AR6" s="180">
        <v>483</v>
      </c>
      <c r="AS6" s="180">
        <v>256</v>
      </c>
      <c r="AT6" s="180">
        <v>19728</v>
      </c>
      <c r="AU6" s="180">
        <v>22</v>
      </c>
      <c r="AV6" s="180">
        <v>1991</v>
      </c>
      <c r="AW6" s="180">
        <v>1336</v>
      </c>
      <c r="AX6" s="180">
        <v>155324</v>
      </c>
      <c r="AY6" s="180">
        <v>53</v>
      </c>
      <c r="AZ6" s="180">
        <v>2948</v>
      </c>
      <c r="BA6" s="180">
        <v>1626</v>
      </c>
      <c r="BB6" s="180">
        <v>198496</v>
      </c>
      <c r="BC6" s="180">
        <v>67</v>
      </c>
      <c r="BD6" s="180">
        <v>10187</v>
      </c>
      <c r="BE6" s="180">
        <v>1389</v>
      </c>
      <c r="BF6" s="180">
        <v>219214</v>
      </c>
      <c r="BG6" s="180">
        <v>15609</v>
      </c>
      <c r="BH6" s="180">
        <v>15609</v>
      </c>
      <c r="BI6" s="180">
        <v>4606</v>
      </c>
      <c r="BJ6" s="181">
        <v>592763</v>
      </c>
      <c r="BK6" s="179">
        <v>47</v>
      </c>
      <c r="BL6" s="180">
        <v>4407</v>
      </c>
      <c r="BM6" s="180">
        <v>408</v>
      </c>
      <c r="BN6" s="180">
        <v>31883</v>
      </c>
      <c r="BO6" s="180">
        <v>78</v>
      </c>
      <c r="BP6" s="180">
        <v>11172</v>
      </c>
      <c r="BQ6" s="180">
        <v>1990</v>
      </c>
      <c r="BR6" s="180">
        <v>230885</v>
      </c>
      <c r="BS6" s="180">
        <v>61</v>
      </c>
      <c r="BT6" s="180">
        <v>5212</v>
      </c>
      <c r="BU6" s="180">
        <v>2466</v>
      </c>
      <c r="BV6" s="180">
        <v>283292</v>
      </c>
      <c r="BW6" s="180">
        <v>79</v>
      </c>
      <c r="BX6" s="180">
        <v>11498</v>
      </c>
      <c r="BY6" s="180">
        <v>2069</v>
      </c>
      <c r="BZ6" s="180">
        <v>321566</v>
      </c>
      <c r="CA6" s="180">
        <v>32289</v>
      </c>
      <c r="CB6" s="180">
        <v>32289</v>
      </c>
      <c r="CC6" s="180">
        <v>6934</v>
      </c>
      <c r="CD6" s="181">
        <v>867627</v>
      </c>
      <c r="CE6" s="179"/>
      <c r="CF6" s="180"/>
      <c r="CG6" s="180"/>
      <c r="CH6" s="180"/>
      <c r="CI6" s="180"/>
      <c r="CJ6" s="180"/>
      <c r="CK6" s="180"/>
      <c r="CL6" s="180"/>
      <c r="CM6" s="180"/>
      <c r="CN6" s="180"/>
      <c r="CO6" s="180"/>
      <c r="CP6" s="180"/>
      <c r="CQ6" s="180"/>
      <c r="CR6" s="180"/>
      <c r="CS6" s="180"/>
      <c r="CT6" s="180"/>
      <c r="CU6" s="180"/>
      <c r="CV6" s="180"/>
      <c r="CW6" s="180"/>
      <c r="CX6" s="181"/>
      <c r="CY6" s="179">
        <v>0</v>
      </c>
      <c r="CZ6" s="180">
        <v>14</v>
      </c>
      <c r="DA6" s="180">
        <v>614</v>
      </c>
      <c r="DB6" s="180">
        <v>47050</v>
      </c>
      <c r="DC6" s="180">
        <v>46</v>
      </c>
      <c r="DD6" s="180">
        <v>4758</v>
      </c>
      <c r="DE6" s="180">
        <v>2970</v>
      </c>
      <c r="DF6" s="180">
        <v>349772</v>
      </c>
      <c r="DG6" s="180">
        <v>38</v>
      </c>
      <c r="DH6" s="180">
        <v>7264</v>
      </c>
      <c r="DI6" s="180">
        <v>3678</v>
      </c>
      <c r="DJ6" s="180">
        <v>432231</v>
      </c>
      <c r="DK6" s="180">
        <v>85</v>
      </c>
      <c r="DL6" s="180">
        <v>13563</v>
      </c>
      <c r="DM6" s="180">
        <v>3445</v>
      </c>
      <c r="DN6" s="180">
        <v>527118</v>
      </c>
      <c r="DO6" s="180">
        <v>25598</v>
      </c>
      <c r="DP6" s="180">
        <v>25598</v>
      </c>
      <c r="DQ6" s="180">
        <v>10706</v>
      </c>
      <c r="DR6" s="181">
        <v>1356171</v>
      </c>
      <c r="DS6" s="179">
        <v>29</v>
      </c>
      <c r="DT6" s="180">
        <v>1941</v>
      </c>
      <c r="DU6" s="180">
        <v>766</v>
      </c>
      <c r="DV6" s="180">
        <v>59118</v>
      </c>
      <c r="DW6" s="180">
        <v>105</v>
      </c>
      <c r="DX6" s="180">
        <v>15466</v>
      </c>
      <c r="DY6" s="180">
        <v>3612</v>
      </c>
      <c r="DZ6" s="180">
        <v>425887</v>
      </c>
      <c r="EA6" s="180">
        <v>99</v>
      </c>
      <c r="EB6" s="180">
        <v>13398</v>
      </c>
      <c r="EC6" s="180">
        <v>4372</v>
      </c>
      <c r="ED6" s="180">
        <v>519440</v>
      </c>
      <c r="EE6" s="180">
        <v>160</v>
      </c>
      <c r="EF6" s="180">
        <v>26528</v>
      </c>
      <c r="EG6" s="180">
        <v>4173</v>
      </c>
      <c r="EH6" s="180">
        <v>641924</v>
      </c>
      <c r="EI6" s="180">
        <v>57333</v>
      </c>
      <c r="EJ6" s="180">
        <v>57333</v>
      </c>
      <c r="EK6" s="180">
        <v>12923</v>
      </c>
      <c r="EL6" s="181">
        <v>1646370</v>
      </c>
      <c r="EM6" s="179"/>
      <c r="EN6" s="180"/>
      <c r="EO6" s="180"/>
      <c r="EP6" s="180"/>
      <c r="EQ6" s="180"/>
      <c r="ER6" s="180"/>
      <c r="ES6" s="180"/>
      <c r="ET6" s="180"/>
      <c r="EU6" s="180"/>
      <c r="EV6" s="180"/>
      <c r="EW6" s="180"/>
      <c r="EX6" s="180"/>
      <c r="EY6" s="180"/>
      <c r="EZ6" s="180"/>
      <c r="FA6" s="180"/>
      <c r="FB6" s="180"/>
      <c r="FC6" s="180"/>
      <c r="FD6" s="180"/>
      <c r="FE6" s="180"/>
      <c r="FF6" s="181"/>
      <c r="FG6" s="179">
        <v>19</v>
      </c>
      <c r="FH6" s="180">
        <v>1513</v>
      </c>
      <c r="FI6" s="180">
        <v>1128</v>
      </c>
      <c r="FJ6" s="180">
        <v>88940</v>
      </c>
      <c r="FK6" s="180">
        <v>69</v>
      </c>
      <c r="FL6" s="180">
        <v>7516</v>
      </c>
      <c r="FM6" s="180">
        <v>4602</v>
      </c>
      <c r="FN6" s="180">
        <v>554382</v>
      </c>
      <c r="FO6" s="180">
        <v>43</v>
      </c>
      <c r="FP6" s="180">
        <v>4470</v>
      </c>
      <c r="FQ6" s="180">
        <v>5466</v>
      </c>
      <c r="FR6" s="180">
        <v>647005</v>
      </c>
      <c r="FS6" s="180">
        <v>84</v>
      </c>
      <c r="FT6" s="180">
        <v>13394</v>
      </c>
      <c r="FU6" s="180">
        <v>5494</v>
      </c>
      <c r="FV6" s="180">
        <v>849301</v>
      </c>
      <c r="FW6" s="180">
        <v>26893</v>
      </c>
      <c r="FX6" s="180">
        <v>26893</v>
      </c>
      <c r="FY6" s="180">
        <v>16690</v>
      </c>
      <c r="FZ6" s="181">
        <v>2139629</v>
      </c>
      <c r="GA6" s="179">
        <v>7</v>
      </c>
      <c r="GB6" s="180">
        <v>344</v>
      </c>
      <c r="GC6" s="180">
        <v>1227</v>
      </c>
      <c r="GD6" s="180">
        <v>96289</v>
      </c>
      <c r="GE6" s="180">
        <v>75</v>
      </c>
      <c r="GF6" s="180">
        <v>9390</v>
      </c>
      <c r="GG6" s="180">
        <v>5228</v>
      </c>
      <c r="GH6" s="180">
        <v>627646</v>
      </c>
      <c r="GI6" s="180">
        <v>78</v>
      </c>
      <c r="GJ6" s="180">
        <v>9533</v>
      </c>
      <c r="GK6" s="180">
        <v>6146</v>
      </c>
      <c r="GL6" s="180">
        <v>718264</v>
      </c>
      <c r="GM6" s="180">
        <v>152</v>
      </c>
      <c r="GN6" s="180">
        <v>26993</v>
      </c>
      <c r="GO6" s="180">
        <v>6228</v>
      </c>
      <c r="GP6" s="180">
        <v>969653</v>
      </c>
      <c r="GQ6" s="180">
        <v>313</v>
      </c>
      <c r="GR6" s="180">
        <v>46261</v>
      </c>
      <c r="GS6" s="180">
        <v>18830</v>
      </c>
      <c r="GT6" s="181">
        <v>2411853</v>
      </c>
      <c r="GU6" s="179">
        <v>9</v>
      </c>
      <c r="GV6" s="180">
        <v>566</v>
      </c>
      <c r="GW6" s="180">
        <v>1372</v>
      </c>
      <c r="GX6" s="180">
        <v>106495</v>
      </c>
      <c r="GY6" s="180">
        <v>12</v>
      </c>
      <c r="GZ6" s="180">
        <v>1157</v>
      </c>
      <c r="HA6" s="180">
        <v>5614</v>
      </c>
      <c r="HB6" s="180">
        <v>671274</v>
      </c>
      <c r="HC6" s="180">
        <v>9</v>
      </c>
      <c r="HD6" s="180">
        <v>1465</v>
      </c>
      <c r="HE6" s="180">
        <v>6789</v>
      </c>
      <c r="HF6" s="180">
        <v>801755</v>
      </c>
      <c r="HG6" s="180">
        <v>32</v>
      </c>
      <c r="HH6" s="180">
        <v>6394</v>
      </c>
      <c r="HI6" s="180">
        <v>6857</v>
      </c>
      <c r="HJ6" s="180">
        <v>1072757</v>
      </c>
      <c r="HK6" s="180">
        <v>63</v>
      </c>
      <c r="HL6" s="180">
        <v>9582</v>
      </c>
      <c r="HM6" s="180">
        <v>20632</v>
      </c>
      <c r="HN6" s="181">
        <v>2652282</v>
      </c>
      <c r="HO6" s="179">
        <v>14</v>
      </c>
      <c r="HP6" s="180">
        <v>1035</v>
      </c>
      <c r="HQ6" s="180">
        <v>1524</v>
      </c>
      <c r="HR6" s="180">
        <v>117456</v>
      </c>
      <c r="HS6" s="180">
        <v>66</v>
      </c>
      <c r="HT6" s="180">
        <v>8536</v>
      </c>
      <c r="HU6" s="180">
        <v>6123</v>
      </c>
      <c r="HV6" s="180">
        <v>740853</v>
      </c>
      <c r="HW6" s="180">
        <v>48</v>
      </c>
      <c r="HX6" s="180">
        <v>4821</v>
      </c>
      <c r="HY6" s="180">
        <v>7377</v>
      </c>
      <c r="HZ6" s="180">
        <v>869193</v>
      </c>
      <c r="IA6" s="180">
        <v>177</v>
      </c>
      <c r="IB6" s="180">
        <v>27850</v>
      </c>
      <c r="IC6" s="180">
        <v>7834</v>
      </c>
      <c r="ID6" s="180">
        <v>1244295</v>
      </c>
      <c r="IE6" s="180">
        <v>305</v>
      </c>
      <c r="IF6" s="180">
        <v>42243</v>
      </c>
      <c r="IG6" s="180">
        <v>22857</v>
      </c>
      <c r="IH6" s="181">
        <v>2971798</v>
      </c>
    </row>
    <row r="7" spans="1:242">
      <c r="A7" s="174"/>
      <c r="B7" s="175">
        <v>5</v>
      </c>
      <c r="C7" s="179"/>
      <c r="D7" s="180"/>
      <c r="E7" s="180"/>
      <c r="F7" s="180"/>
      <c r="G7" s="180"/>
      <c r="H7" s="180"/>
      <c r="I7" s="180"/>
      <c r="J7" s="180"/>
      <c r="K7" s="180"/>
      <c r="L7" s="180"/>
      <c r="M7" s="180"/>
      <c r="N7" s="180"/>
      <c r="O7" s="180"/>
      <c r="P7" s="180"/>
      <c r="Q7" s="180"/>
      <c r="R7" s="180"/>
      <c r="S7" s="180"/>
      <c r="T7" s="180"/>
      <c r="U7" s="180"/>
      <c r="V7" s="181"/>
      <c r="W7" s="179">
        <v>13</v>
      </c>
      <c r="X7" s="180">
        <v>1308</v>
      </c>
      <c r="Y7" s="180">
        <v>149</v>
      </c>
      <c r="Z7" s="180">
        <v>12133</v>
      </c>
      <c r="AA7" s="180">
        <v>69</v>
      </c>
      <c r="AB7" s="180">
        <v>8716</v>
      </c>
      <c r="AC7" s="180">
        <v>802</v>
      </c>
      <c r="AD7" s="180">
        <v>92043</v>
      </c>
      <c r="AE7" s="180">
        <v>89</v>
      </c>
      <c r="AF7" s="180">
        <v>12361</v>
      </c>
      <c r="AG7" s="180">
        <v>884</v>
      </c>
      <c r="AH7" s="180">
        <v>118208</v>
      </c>
      <c r="AI7" s="180">
        <v>134</v>
      </c>
      <c r="AJ7" s="180">
        <v>19707</v>
      </c>
      <c r="AK7" s="180">
        <v>799</v>
      </c>
      <c r="AL7" s="180">
        <v>124647</v>
      </c>
      <c r="AM7" s="180">
        <v>42091</v>
      </c>
      <c r="AN7" s="180">
        <v>42091</v>
      </c>
      <c r="AO7" s="180">
        <v>2633</v>
      </c>
      <c r="AP7" s="181">
        <v>347032</v>
      </c>
      <c r="AQ7" s="179">
        <v>8</v>
      </c>
      <c r="AR7" s="180">
        <v>599</v>
      </c>
      <c r="AS7" s="180">
        <v>258</v>
      </c>
      <c r="AT7" s="180">
        <v>19844</v>
      </c>
      <c r="AU7" s="180">
        <v>45</v>
      </c>
      <c r="AV7" s="180">
        <v>4243</v>
      </c>
      <c r="AW7" s="180">
        <v>1359</v>
      </c>
      <c r="AX7" s="180">
        <v>157577</v>
      </c>
      <c r="AY7" s="180">
        <v>87</v>
      </c>
      <c r="AZ7" s="180">
        <v>8360</v>
      </c>
      <c r="BA7" s="180">
        <v>1659</v>
      </c>
      <c r="BB7" s="180">
        <v>203908</v>
      </c>
      <c r="BC7" s="180">
        <v>103</v>
      </c>
      <c r="BD7" s="180">
        <v>15224</v>
      </c>
      <c r="BE7" s="180">
        <v>1424</v>
      </c>
      <c r="BF7" s="180">
        <v>224251</v>
      </c>
      <c r="BG7" s="180">
        <v>28425</v>
      </c>
      <c r="BH7" s="180">
        <v>28425</v>
      </c>
      <c r="BI7" s="180">
        <v>4700</v>
      </c>
      <c r="BJ7" s="181">
        <v>605580</v>
      </c>
      <c r="BK7" s="179">
        <v>57</v>
      </c>
      <c r="BL7" s="180">
        <v>5142</v>
      </c>
      <c r="BM7" s="180">
        <v>419</v>
      </c>
      <c r="BN7" s="180">
        <v>32618</v>
      </c>
      <c r="BO7" s="180">
        <v>122</v>
      </c>
      <c r="BP7" s="180">
        <v>16229</v>
      </c>
      <c r="BQ7" s="180">
        <v>2034</v>
      </c>
      <c r="BR7" s="180">
        <v>235942</v>
      </c>
      <c r="BS7" s="180">
        <v>97</v>
      </c>
      <c r="BT7" s="180">
        <v>11229</v>
      </c>
      <c r="BU7" s="180">
        <v>2503</v>
      </c>
      <c r="BV7" s="180">
        <v>289310</v>
      </c>
      <c r="BW7" s="180">
        <v>105</v>
      </c>
      <c r="BX7" s="180">
        <v>15917</v>
      </c>
      <c r="BY7" s="180">
        <v>2095</v>
      </c>
      <c r="BZ7" s="180">
        <v>325985</v>
      </c>
      <c r="CA7" s="180">
        <v>48516</v>
      </c>
      <c r="CB7" s="180">
        <v>48516</v>
      </c>
      <c r="CC7" s="180">
        <v>7051</v>
      </c>
      <c r="CD7" s="181">
        <v>883854</v>
      </c>
      <c r="CE7" s="179"/>
      <c r="CF7" s="180"/>
      <c r="CG7" s="180"/>
      <c r="CH7" s="180"/>
      <c r="CI7" s="180"/>
      <c r="CJ7" s="180"/>
      <c r="CK7" s="180"/>
      <c r="CL7" s="180"/>
      <c r="CM7" s="180"/>
      <c r="CN7" s="180"/>
      <c r="CO7" s="180"/>
      <c r="CP7" s="180"/>
      <c r="CQ7" s="180"/>
      <c r="CR7" s="180"/>
      <c r="CS7" s="180"/>
      <c r="CT7" s="180"/>
      <c r="CU7" s="180"/>
      <c r="CV7" s="180"/>
      <c r="CW7" s="180"/>
      <c r="CX7" s="181"/>
      <c r="CY7" s="179">
        <v>10</v>
      </c>
      <c r="CZ7" s="180">
        <v>813</v>
      </c>
      <c r="DA7" s="180">
        <v>623</v>
      </c>
      <c r="DB7" s="180">
        <v>47849</v>
      </c>
      <c r="DC7" s="180">
        <v>83</v>
      </c>
      <c r="DD7" s="180">
        <v>10145</v>
      </c>
      <c r="DE7" s="180">
        <v>3007</v>
      </c>
      <c r="DF7" s="180">
        <v>355160</v>
      </c>
      <c r="DG7" s="180">
        <v>43</v>
      </c>
      <c r="DH7" s="180">
        <v>7950</v>
      </c>
      <c r="DI7" s="180">
        <v>3682</v>
      </c>
      <c r="DJ7" s="180">
        <v>432918</v>
      </c>
      <c r="DK7" s="180">
        <v>121</v>
      </c>
      <c r="DL7" s="180">
        <v>19310</v>
      </c>
      <c r="DM7" s="180">
        <v>3481</v>
      </c>
      <c r="DN7" s="180">
        <v>532863</v>
      </c>
      <c r="DO7" s="180">
        <v>38218</v>
      </c>
      <c r="DP7" s="180">
        <v>38218</v>
      </c>
      <c r="DQ7" s="180">
        <v>10793</v>
      </c>
      <c r="DR7" s="181">
        <v>1368790</v>
      </c>
      <c r="DS7" s="179">
        <v>39</v>
      </c>
      <c r="DT7" s="180">
        <v>3055</v>
      </c>
      <c r="DU7" s="180">
        <v>776</v>
      </c>
      <c r="DV7" s="180">
        <v>60232</v>
      </c>
      <c r="DW7" s="180">
        <v>130</v>
      </c>
      <c r="DX7" s="180">
        <v>18544</v>
      </c>
      <c r="DY7" s="180">
        <v>3637</v>
      </c>
      <c r="DZ7" s="180">
        <v>428965</v>
      </c>
      <c r="EA7" s="180">
        <v>157</v>
      </c>
      <c r="EB7" s="180">
        <v>20721</v>
      </c>
      <c r="EC7" s="180">
        <v>4430</v>
      </c>
      <c r="ED7" s="180">
        <v>526764</v>
      </c>
      <c r="EE7" s="180">
        <v>184</v>
      </c>
      <c r="EF7" s="180">
        <v>31296</v>
      </c>
      <c r="EG7" s="180">
        <v>4198</v>
      </c>
      <c r="EH7" s="180">
        <v>646693</v>
      </c>
      <c r="EI7" s="180">
        <v>73617</v>
      </c>
      <c r="EJ7" s="180">
        <v>73617</v>
      </c>
      <c r="EK7" s="180">
        <v>13041</v>
      </c>
      <c r="EL7" s="181">
        <v>1662653</v>
      </c>
      <c r="EM7" s="179">
        <v>39</v>
      </c>
      <c r="EN7" s="180">
        <v>3699</v>
      </c>
      <c r="EO7" s="180">
        <v>963</v>
      </c>
      <c r="EP7" s="180">
        <v>75570</v>
      </c>
      <c r="EQ7" s="180">
        <v>62</v>
      </c>
      <c r="ER7" s="180">
        <v>7671</v>
      </c>
      <c r="ES7" s="180">
        <v>4099</v>
      </c>
      <c r="ET7" s="180">
        <v>487989</v>
      </c>
      <c r="EU7" s="180">
        <v>21</v>
      </c>
      <c r="EV7" s="180">
        <v>2388</v>
      </c>
      <c r="EW7" s="180">
        <v>5007</v>
      </c>
      <c r="EX7" s="180">
        <v>586995</v>
      </c>
      <c r="EY7" s="180">
        <v>96</v>
      </c>
      <c r="EZ7" s="180">
        <v>14830</v>
      </c>
      <c r="FA7" s="180">
        <v>4872</v>
      </c>
      <c r="FB7" s="180">
        <v>750526</v>
      </c>
      <c r="FC7" s="180">
        <v>28589</v>
      </c>
      <c r="FD7" s="180">
        <v>28589</v>
      </c>
      <c r="FE7" s="180">
        <v>14942</v>
      </c>
      <c r="FF7" s="181">
        <v>1901081</v>
      </c>
      <c r="FG7" s="179">
        <v>19</v>
      </c>
      <c r="FH7" s="180">
        <v>1513</v>
      </c>
      <c r="FI7" s="180">
        <v>1128</v>
      </c>
      <c r="FJ7" s="180">
        <v>88940</v>
      </c>
      <c r="FK7" s="180">
        <v>98</v>
      </c>
      <c r="FL7" s="180">
        <v>10823</v>
      </c>
      <c r="FM7" s="180">
        <v>4631</v>
      </c>
      <c r="FN7" s="180">
        <v>557688</v>
      </c>
      <c r="FO7" s="180">
        <v>78</v>
      </c>
      <c r="FP7" s="180">
        <v>7104</v>
      </c>
      <c r="FQ7" s="180">
        <v>5501</v>
      </c>
      <c r="FR7" s="180">
        <v>649639</v>
      </c>
      <c r="FS7" s="180">
        <v>132</v>
      </c>
      <c r="FT7" s="180">
        <v>21595</v>
      </c>
      <c r="FU7" s="180">
        <v>5543</v>
      </c>
      <c r="FV7" s="180">
        <v>857504</v>
      </c>
      <c r="FW7" s="180">
        <v>41035</v>
      </c>
      <c r="FX7" s="180">
        <v>41035</v>
      </c>
      <c r="FY7" s="180">
        <v>16803</v>
      </c>
      <c r="FZ7" s="181">
        <v>2153771</v>
      </c>
      <c r="GA7" s="179"/>
      <c r="GB7" s="180"/>
      <c r="GC7" s="180"/>
      <c r="GD7" s="180"/>
      <c r="GE7" s="180"/>
      <c r="GF7" s="180"/>
      <c r="GG7" s="180"/>
      <c r="GH7" s="180"/>
      <c r="GI7" s="180"/>
      <c r="GJ7" s="180"/>
      <c r="GK7" s="180"/>
      <c r="GL7" s="180"/>
      <c r="GM7" s="180"/>
      <c r="GN7" s="180"/>
      <c r="GO7" s="180"/>
      <c r="GP7" s="180"/>
      <c r="GQ7" s="180"/>
      <c r="GR7" s="180"/>
      <c r="GS7" s="180"/>
      <c r="GT7" s="181"/>
      <c r="GU7" s="179">
        <v>13</v>
      </c>
      <c r="GV7" s="180">
        <v>891</v>
      </c>
      <c r="GW7" s="180">
        <v>1376</v>
      </c>
      <c r="GX7" s="180">
        <v>106820</v>
      </c>
      <c r="GY7" s="180">
        <v>39</v>
      </c>
      <c r="GZ7" s="180">
        <v>6747</v>
      </c>
      <c r="HA7" s="180">
        <v>5640</v>
      </c>
      <c r="HB7" s="180">
        <v>676862</v>
      </c>
      <c r="HC7" s="180">
        <v>26</v>
      </c>
      <c r="HD7" s="180">
        <v>2763</v>
      </c>
      <c r="HE7" s="180">
        <v>6806</v>
      </c>
      <c r="HF7" s="180">
        <v>803054</v>
      </c>
      <c r="HG7" s="180">
        <v>104</v>
      </c>
      <c r="HH7" s="180">
        <v>17755</v>
      </c>
      <c r="HI7" s="180">
        <v>6929</v>
      </c>
      <c r="HJ7" s="180">
        <v>1084117</v>
      </c>
      <c r="HK7" s="180">
        <v>182</v>
      </c>
      <c r="HL7" s="180">
        <v>28157</v>
      </c>
      <c r="HM7" s="180">
        <v>20751</v>
      </c>
      <c r="HN7" s="181">
        <v>2670854</v>
      </c>
      <c r="HO7" s="179">
        <v>25</v>
      </c>
      <c r="HP7" s="180">
        <v>1602</v>
      </c>
      <c r="HQ7" s="180">
        <v>1535</v>
      </c>
      <c r="HR7" s="180">
        <v>118024</v>
      </c>
      <c r="HS7" s="180">
        <v>90</v>
      </c>
      <c r="HT7" s="180">
        <v>12374</v>
      </c>
      <c r="HU7" s="180">
        <v>6146</v>
      </c>
      <c r="HV7" s="180">
        <v>744691</v>
      </c>
      <c r="HW7" s="180">
        <v>81</v>
      </c>
      <c r="HX7" s="180">
        <v>9540</v>
      </c>
      <c r="HY7" s="180">
        <v>7410</v>
      </c>
      <c r="HZ7" s="180">
        <v>873912</v>
      </c>
      <c r="IA7" s="180">
        <v>214</v>
      </c>
      <c r="IB7" s="180">
        <v>34888</v>
      </c>
      <c r="IC7" s="180">
        <v>7870</v>
      </c>
      <c r="ID7" s="180">
        <v>1251334</v>
      </c>
      <c r="IE7" s="180">
        <v>410</v>
      </c>
      <c r="IF7" s="180">
        <v>58405</v>
      </c>
      <c r="IG7" s="180">
        <v>22962</v>
      </c>
      <c r="IH7" s="181">
        <v>2987962</v>
      </c>
    </row>
    <row r="8" spans="1:242">
      <c r="B8" s="175">
        <v>6</v>
      </c>
      <c r="C8" s="179"/>
      <c r="D8" s="180"/>
      <c r="E8" s="180"/>
      <c r="F8" s="180"/>
      <c r="G8" s="180"/>
      <c r="H8" s="180"/>
      <c r="I8" s="180"/>
      <c r="J8" s="180"/>
      <c r="K8" s="180"/>
      <c r="L8" s="180"/>
      <c r="M8" s="180"/>
      <c r="N8" s="180"/>
      <c r="O8" s="180"/>
      <c r="P8" s="180"/>
      <c r="Q8" s="180"/>
      <c r="R8" s="180"/>
      <c r="S8" s="180"/>
      <c r="T8" s="180"/>
      <c r="U8" s="180"/>
      <c r="V8" s="181"/>
      <c r="W8" s="179">
        <v>15</v>
      </c>
      <c r="X8" s="180">
        <v>1410</v>
      </c>
      <c r="Y8" s="180">
        <v>152</v>
      </c>
      <c r="Z8" s="180">
        <v>12236</v>
      </c>
      <c r="AA8" s="180">
        <v>102</v>
      </c>
      <c r="AB8" s="180">
        <v>11491</v>
      </c>
      <c r="AC8" s="180">
        <v>834</v>
      </c>
      <c r="AD8" s="180">
        <v>94819</v>
      </c>
      <c r="AE8" s="180">
        <v>126</v>
      </c>
      <c r="AF8" s="180">
        <v>16219</v>
      </c>
      <c r="AG8" s="180">
        <v>921</v>
      </c>
      <c r="AH8" s="180">
        <v>122067</v>
      </c>
      <c r="AI8" s="180">
        <v>183</v>
      </c>
      <c r="AJ8" s="180">
        <v>27809</v>
      </c>
      <c r="AK8" s="180">
        <v>848</v>
      </c>
      <c r="AL8" s="180">
        <v>132749</v>
      </c>
      <c r="AM8" s="180">
        <v>56931</v>
      </c>
      <c r="AN8" s="180">
        <v>56931</v>
      </c>
      <c r="AO8" s="180">
        <v>2755</v>
      </c>
      <c r="AP8" s="181">
        <v>361870</v>
      </c>
      <c r="AQ8" s="179">
        <v>8</v>
      </c>
      <c r="AR8" s="180">
        <v>599</v>
      </c>
      <c r="AS8" s="180">
        <v>258</v>
      </c>
      <c r="AT8" s="180">
        <v>19844</v>
      </c>
      <c r="AU8" s="180">
        <v>83</v>
      </c>
      <c r="AV8" s="180">
        <v>8915</v>
      </c>
      <c r="AW8" s="180">
        <v>1396</v>
      </c>
      <c r="AX8" s="180">
        <v>162247</v>
      </c>
      <c r="AY8" s="180">
        <v>146</v>
      </c>
      <c r="AZ8" s="180">
        <v>14487</v>
      </c>
      <c r="BA8" s="180">
        <v>1717</v>
      </c>
      <c r="BB8" s="180">
        <v>210035</v>
      </c>
      <c r="BC8" s="180">
        <v>143</v>
      </c>
      <c r="BD8" s="180">
        <v>20775</v>
      </c>
      <c r="BE8" s="180">
        <v>1464</v>
      </c>
      <c r="BF8" s="180">
        <v>229802</v>
      </c>
      <c r="BG8" s="180">
        <v>44776</v>
      </c>
      <c r="BH8" s="180">
        <v>44776</v>
      </c>
      <c r="BI8" s="180">
        <v>4837</v>
      </c>
      <c r="BJ8" s="181">
        <v>621928</v>
      </c>
      <c r="BK8" s="179"/>
      <c r="BL8" s="180"/>
      <c r="BM8" s="180"/>
      <c r="BN8" s="180"/>
      <c r="BO8" s="180"/>
      <c r="BP8" s="180"/>
      <c r="BQ8" s="180"/>
      <c r="BR8" s="180"/>
      <c r="BS8" s="180"/>
      <c r="BT8" s="180"/>
      <c r="BU8" s="180"/>
      <c r="BV8" s="180"/>
      <c r="BW8" s="180"/>
      <c r="BX8" s="180"/>
      <c r="BY8" s="180"/>
      <c r="BZ8" s="180"/>
      <c r="CA8" s="180"/>
      <c r="CB8" s="180"/>
      <c r="CC8" s="180"/>
      <c r="CD8" s="181"/>
      <c r="CE8" s="179">
        <v>21</v>
      </c>
      <c r="CF8" s="180">
        <v>1423</v>
      </c>
      <c r="CG8" s="180">
        <v>530</v>
      </c>
      <c r="CH8" s="180">
        <v>41023</v>
      </c>
      <c r="CI8" s="180">
        <v>55</v>
      </c>
      <c r="CJ8" s="180">
        <v>6543</v>
      </c>
      <c r="CK8" s="180">
        <v>2466</v>
      </c>
      <c r="CL8" s="180">
        <v>287760</v>
      </c>
      <c r="CM8" s="180">
        <v>67</v>
      </c>
      <c r="CN8" s="180">
        <v>6521</v>
      </c>
      <c r="CO8" s="180">
        <v>3121</v>
      </c>
      <c r="CP8" s="180">
        <v>362264</v>
      </c>
      <c r="CQ8" s="180">
        <v>100</v>
      </c>
      <c r="CR8" s="180">
        <v>14540</v>
      </c>
      <c r="CS8" s="180">
        <v>2788</v>
      </c>
      <c r="CT8" s="180">
        <v>426523</v>
      </c>
      <c r="CU8" s="180">
        <v>29027</v>
      </c>
      <c r="CV8" s="180">
        <v>29027</v>
      </c>
      <c r="CW8" s="180">
        <v>8905</v>
      </c>
      <c r="CX8" s="181">
        <v>1117571</v>
      </c>
      <c r="CY8" s="179">
        <v>50</v>
      </c>
      <c r="CZ8" s="180">
        <v>4562</v>
      </c>
      <c r="DA8" s="180">
        <v>664</v>
      </c>
      <c r="DB8" s="180">
        <v>51598</v>
      </c>
      <c r="DC8" s="180">
        <v>119</v>
      </c>
      <c r="DD8" s="180">
        <v>13259</v>
      </c>
      <c r="DE8" s="180">
        <v>3042</v>
      </c>
      <c r="DF8" s="180">
        <v>358273</v>
      </c>
      <c r="DG8" s="180">
        <v>107</v>
      </c>
      <c r="DH8" s="180">
        <v>15162</v>
      </c>
      <c r="DI8" s="180">
        <v>3746</v>
      </c>
      <c r="DJ8" s="180">
        <v>440130</v>
      </c>
      <c r="DK8" s="180">
        <v>157</v>
      </c>
      <c r="DL8" s="180">
        <v>24638</v>
      </c>
      <c r="DM8" s="180">
        <v>3516</v>
      </c>
      <c r="DN8" s="180">
        <v>538192</v>
      </c>
      <c r="DO8" s="180">
        <v>57622</v>
      </c>
      <c r="DP8" s="180">
        <v>57622</v>
      </c>
      <c r="DQ8" s="180">
        <v>10968</v>
      </c>
      <c r="DR8" s="181">
        <v>1388194</v>
      </c>
      <c r="DS8" s="179"/>
      <c r="DT8" s="180"/>
      <c r="DU8" s="180"/>
      <c r="DV8" s="180"/>
      <c r="DW8" s="180"/>
      <c r="DX8" s="180"/>
      <c r="DY8" s="180"/>
      <c r="DZ8" s="180"/>
      <c r="EA8" s="180"/>
      <c r="EB8" s="180"/>
      <c r="EC8" s="180"/>
      <c r="ED8" s="180"/>
      <c r="EE8" s="180"/>
      <c r="EF8" s="180"/>
      <c r="EG8" s="180"/>
      <c r="EH8" s="180"/>
      <c r="EI8" s="180"/>
      <c r="EJ8" s="180"/>
      <c r="EK8" s="180"/>
      <c r="EL8" s="181"/>
      <c r="EM8" s="179">
        <v>52</v>
      </c>
      <c r="EN8" s="180">
        <v>4592</v>
      </c>
      <c r="EO8" s="180">
        <v>976</v>
      </c>
      <c r="EP8" s="180">
        <v>76464</v>
      </c>
      <c r="EQ8" s="180">
        <v>80</v>
      </c>
      <c r="ER8" s="180">
        <v>9432</v>
      </c>
      <c r="ES8" s="180">
        <v>4117</v>
      </c>
      <c r="ET8" s="180">
        <v>489750</v>
      </c>
      <c r="EU8" s="180">
        <v>36</v>
      </c>
      <c r="EV8" s="180">
        <v>4289</v>
      </c>
      <c r="EW8" s="180">
        <v>5022</v>
      </c>
      <c r="EX8" s="180">
        <v>588895</v>
      </c>
      <c r="EY8" s="180">
        <v>135</v>
      </c>
      <c r="EZ8" s="180">
        <v>20502</v>
      </c>
      <c r="FA8" s="180">
        <v>4910</v>
      </c>
      <c r="FB8" s="180">
        <v>756196</v>
      </c>
      <c r="FC8" s="180">
        <v>38813</v>
      </c>
      <c r="FD8" s="180">
        <v>38813</v>
      </c>
      <c r="FE8" s="180">
        <v>15025</v>
      </c>
      <c r="FF8" s="181">
        <v>1911306</v>
      </c>
      <c r="FG8" s="179">
        <v>19</v>
      </c>
      <c r="FH8" s="180">
        <v>1513</v>
      </c>
      <c r="FI8" s="180">
        <v>1128</v>
      </c>
      <c r="FJ8" s="180">
        <v>88940</v>
      </c>
      <c r="FK8" s="180">
        <v>116</v>
      </c>
      <c r="FL8" s="180">
        <v>12536</v>
      </c>
      <c r="FM8" s="180">
        <v>4649</v>
      </c>
      <c r="FN8" s="180">
        <v>559400</v>
      </c>
      <c r="FO8" s="180">
        <v>146</v>
      </c>
      <c r="FP8" s="180">
        <v>13141</v>
      </c>
      <c r="FQ8" s="180">
        <v>5569</v>
      </c>
      <c r="FR8" s="180">
        <v>655677</v>
      </c>
      <c r="FS8" s="180">
        <v>179</v>
      </c>
      <c r="FT8" s="180">
        <v>29106</v>
      </c>
      <c r="FU8" s="180">
        <v>5590</v>
      </c>
      <c r="FV8" s="180">
        <v>865016</v>
      </c>
      <c r="FW8" s="180">
        <v>56296</v>
      </c>
      <c r="FX8" s="180">
        <v>56296</v>
      </c>
      <c r="FY8" s="180">
        <v>16936</v>
      </c>
      <c r="FZ8" s="181">
        <v>2169032</v>
      </c>
      <c r="GA8" s="179"/>
      <c r="GB8" s="180"/>
      <c r="GC8" s="180"/>
      <c r="GD8" s="180"/>
      <c r="GE8" s="180"/>
      <c r="GF8" s="180"/>
      <c r="GG8" s="180"/>
      <c r="GH8" s="180"/>
      <c r="GI8" s="180"/>
      <c r="GJ8" s="180"/>
      <c r="GK8" s="180"/>
      <c r="GL8" s="180"/>
      <c r="GM8" s="180"/>
      <c r="GN8" s="180"/>
      <c r="GO8" s="180"/>
      <c r="GP8" s="180"/>
      <c r="GQ8" s="180"/>
      <c r="GR8" s="180"/>
      <c r="GS8" s="180"/>
      <c r="GT8" s="181"/>
      <c r="GU8" s="179">
        <v>14</v>
      </c>
      <c r="GV8" s="180">
        <v>1080</v>
      </c>
      <c r="GW8" s="180">
        <v>1377</v>
      </c>
      <c r="GX8" s="180">
        <v>107010</v>
      </c>
      <c r="GY8" s="180">
        <v>71</v>
      </c>
      <c r="GZ8" s="180">
        <v>12936</v>
      </c>
      <c r="HA8" s="180">
        <v>5673</v>
      </c>
      <c r="HB8" s="180">
        <v>683051</v>
      </c>
      <c r="HC8" s="180">
        <v>45</v>
      </c>
      <c r="HD8" s="180">
        <v>4523</v>
      </c>
      <c r="HE8" s="180">
        <v>6825</v>
      </c>
      <c r="HF8" s="180">
        <v>804813</v>
      </c>
      <c r="HG8" s="180">
        <v>144</v>
      </c>
      <c r="HH8" s="180">
        <v>23781</v>
      </c>
      <c r="HI8" s="180">
        <v>6968</v>
      </c>
      <c r="HJ8" s="180">
        <v>1090143</v>
      </c>
      <c r="HK8" s="180">
        <v>275</v>
      </c>
      <c r="HL8" s="180">
        <v>42319</v>
      </c>
      <c r="HM8" s="180">
        <v>20843</v>
      </c>
      <c r="HN8" s="181">
        <v>2685018</v>
      </c>
      <c r="HO8" s="179">
        <v>29</v>
      </c>
      <c r="HP8" s="180">
        <v>1955</v>
      </c>
      <c r="HQ8" s="180">
        <v>1539</v>
      </c>
      <c r="HR8" s="180">
        <v>118376</v>
      </c>
      <c r="HS8" s="180">
        <v>125</v>
      </c>
      <c r="HT8" s="180">
        <v>17145</v>
      </c>
      <c r="HU8" s="180">
        <v>6182</v>
      </c>
      <c r="HV8" s="180">
        <v>749463</v>
      </c>
      <c r="HW8" s="180">
        <v>158</v>
      </c>
      <c r="HX8" s="180">
        <v>19375</v>
      </c>
      <c r="HY8" s="180">
        <v>7487</v>
      </c>
      <c r="HZ8" s="180">
        <v>883747</v>
      </c>
      <c r="IA8" s="180">
        <v>237</v>
      </c>
      <c r="IB8" s="180">
        <v>39410</v>
      </c>
      <c r="IC8" s="180">
        <v>7894</v>
      </c>
      <c r="ID8" s="180">
        <v>1255856</v>
      </c>
      <c r="IE8" s="180">
        <v>550</v>
      </c>
      <c r="IF8" s="180">
        <v>77887</v>
      </c>
      <c r="IG8" s="180">
        <v>23102</v>
      </c>
      <c r="IH8" s="181">
        <v>3007442</v>
      </c>
    </row>
    <row r="9" spans="1:242">
      <c r="B9" s="175">
        <v>7</v>
      </c>
      <c r="C9" s="179">
        <v>33</v>
      </c>
      <c r="D9" s="180">
        <v>2875</v>
      </c>
      <c r="E9" s="180">
        <v>33</v>
      </c>
      <c r="F9" s="180">
        <v>2875</v>
      </c>
      <c r="G9" s="180">
        <v>140</v>
      </c>
      <c r="H9" s="180">
        <v>13172</v>
      </c>
      <c r="I9" s="180">
        <v>140</v>
      </c>
      <c r="J9" s="180">
        <v>13172</v>
      </c>
      <c r="K9" s="180">
        <v>103</v>
      </c>
      <c r="L9" s="180">
        <v>15469</v>
      </c>
      <c r="M9" s="180">
        <v>103</v>
      </c>
      <c r="N9" s="180">
        <v>15469</v>
      </c>
      <c r="O9" s="180">
        <v>133</v>
      </c>
      <c r="P9" s="180">
        <v>21003</v>
      </c>
      <c r="Q9" s="180">
        <v>133</v>
      </c>
      <c r="R9" s="180">
        <v>21003</v>
      </c>
      <c r="S9" s="180">
        <v>52520</v>
      </c>
      <c r="T9" s="180">
        <v>52520</v>
      </c>
      <c r="U9" s="180">
        <v>410</v>
      </c>
      <c r="V9" s="181">
        <v>52520</v>
      </c>
      <c r="W9" s="179">
        <v>18</v>
      </c>
      <c r="X9" s="180">
        <v>1711</v>
      </c>
      <c r="Y9" s="180">
        <v>154</v>
      </c>
      <c r="Z9" s="180">
        <v>12537</v>
      </c>
      <c r="AA9" s="180">
        <v>167</v>
      </c>
      <c r="AB9" s="180">
        <v>18432</v>
      </c>
      <c r="AC9" s="180">
        <v>900</v>
      </c>
      <c r="AD9" s="180">
        <v>101759</v>
      </c>
      <c r="AE9" s="180">
        <v>147</v>
      </c>
      <c r="AF9" s="180">
        <v>18263</v>
      </c>
      <c r="AG9" s="180">
        <v>942</v>
      </c>
      <c r="AH9" s="180">
        <v>124110</v>
      </c>
      <c r="AI9" s="180">
        <v>219</v>
      </c>
      <c r="AJ9" s="180">
        <v>34032</v>
      </c>
      <c r="AK9" s="180">
        <v>883</v>
      </c>
      <c r="AL9" s="180">
        <v>138971</v>
      </c>
      <c r="AM9" s="180">
        <v>72438</v>
      </c>
      <c r="AN9" s="180">
        <v>72438</v>
      </c>
      <c r="AO9" s="180">
        <v>2879</v>
      </c>
      <c r="AP9" s="181">
        <v>377378</v>
      </c>
      <c r="AQ9" s="179">
        <v>8</v>
      </c>
      <c r="AR9" s="180">
        <v>599</v>
      </c>
      <c r="AS9" s="180">
        <v>258</v>
      </c>
      <c r="AT9" s="180">
        <v>19844</v>
      </c>
      <c r="AU9" s="180">
        <v>111</v>
      </c>
      <c r="AV9" s="180">
        <v>12208</v>
      </c>
      <c r="AW9" s="180">
        <v>1425</v>
      </c>
      <c r="AX9" s="180">
        <v>165541</v>
      </c>
      <c r="AY9" s="180">
        <v>186</v>
      </c>
      <c r="AZ9" s="180">
        <v>17708</v>
      </c>
      <c r="BA9" s="180">
        <v>1758</v>
      </c>
      <c r="BB9" s="180">
        <v>213257</v>
      </c>
      <c r="BC9" s="180">
        <v>171</v>
      </c>
      <c r="BD9" s="180">
        <v>24648</v>
      </c>
      <c r="BE9" s="180">
        <v>1492</v>
      </c>
      <c r="BF9" s="180">
        <v>233675</v>
      </c>
      <c r="BG9" s="180">
        <v>55163</v>
      </c>
      <c r="BH9" s="180">
        <v>55163</v>
      </c>
      <c r="BI9" s="180">
        <v>4934</v>
      </c>
      <c r="BJ9" s="181">
        <v>632317</v>
      </c>
      <c r="BK9" s="179"/>
      <c r="BL9" s="180"/>
      <c r="BM9" s="180"/>
      <c r="BN9" s="180"/>
      <c r="BO9" s="180"/>
      <c r="BP9" s="180"/>
      <c r="BQ9" s="180"/>
      <c r="BR9" s="180"/>
      <c r="BS9" s="180"/>
      <c r="BT9" s="180"/>
      <c r="BU9" s="180"/>
      <c r="BV9" s="180"/>
      <c r="BW9" s="180"/>
      <c r="BX9" s="180"/>
      <c r="BY9" s="180"/>
      <c r="BZ9" s="180"/>
      <c r="CA9" s="180"/>
      <c r="CB9" s="180"/>
      <c r="CC9" s="180"/>
      <c r="CD9" s="181"/>
      <c r="CE9" s="179">
        <v>21</v>
      </c>
      <c r="CF9" s="180">
        <v>1423</v>
      </c>
      <c r="CG9" s="180">
        <v>530</v>
      </c>
      <c r="CH9" s="180">
        <v>41023</v>
      </c>
      <c r="CI9" s="180">
        <v>92</v>
      </c>
      <c r="CJ9" s="180">
        <v>9773</v>
      </c>
      <c r="CK9" s="180">
        <v>2504</v>
      </c>
      <c r="CL9" s="180">
        <v>290990</v>
      </c>
      <c r="CM9" s="180">
        <v>80</v>
      </c>
      <c r="CN9" s="180">
        <v>8425</v>
      </c>
      <c r="CO9" s="180">
        <v>3134</v>
      </c>
      <c r="CP9" s="180">
        <v>364168</v>
      </c>
      <c r="CQ9" s="180">
        <v>140</v>
      </c>
      <c r="CR9" s="180">
        <v>20352</v>
      </c>
      <c r="CS9" s="180">
        <v>2828</v>
      </c>
      <c r="CT9" s="180">
        <v>432334</v>
      </c>
      <c r="CU9" s="180">
        <v>39974</v>
      </c>
      <c r="CV9" s="180">
        <v>39974</v>
      </c>
      <c r="CW9" s="180">
        <v>8995</v>
      </c>
      <c r="CX9" s="181">
        <v>1128517</v>
      </c>
      <c r="CY9" s="179">
        <v>52</v>
      </c>
      <c r="CZ9" s="180">
        <v>4712</v>
      </c>
      <c r="DA9" s="180">
        <v>665</v>
      </c>
      <c r="DB9" s="180">
        <v>51748</v>
      </c>
      <c r="DC9" s="180">
        <v>156</v>
      </c>
      <c r="DD9" s="180">
        <v>17523</v>
      </c>
      <c r="DE9" s="180">
        <v>3080</v>
      </c>
      <c r="DF9" s="180">
        <v>362538</v>
      </c>
      <c r="DG9" s="180">
        <v>141</v>
      </c>
      <c r="DH9" s="180">
        <v>19836</v>
      </c>
      <c r="DI9" s="180">
        <v>3780</v>
      </c>
      <c r="DJ9" s="180">
        <v>444804</v>
      </c>
      <c r="DK9" s="180">
        <v>184</v>
      </c>
      <c r="DL9" s="180">
        <v>28710</v>
      </c>
      <c r="DM9" s="180">
        <v>3543</v>
      </c>
      <c r="DN9" s="180">
        <v>542264</v>
      </c>
      <c r="DO9" s="180">
        <v>70782</v>
      </c>
      <c r="DP9" s="180">
        <v>70782</v>
      </c>
      <c r="DQ9" s="180">
        <v>11068</v>
      </c>
      <c r="DR9" s="181">
        <v>1401355</v>
      </c>
      <c r="DS9" s="179"/>
      <c r="DT9" s="180"/>
      <c r="DU9" s="180"/>
      <c r="DV9" s="180"/>
      <c r="DW9" s="180"/>
      <c r="DX9" s="180"/>
      <c r="DY9" s="180"/>
      <c r="DZ9" s="180"/>
      <c r="EA9" s="180"/>
      <c r="EB9" s="180"/>
      <c r="EC9" s="180"/>
      <c r="ED9" s="180"/>
      <c r="EE9" s="180"/>
      <c r="EF9" s="180"/>
      <c r="EG9" s="180"/>
      <c r="EH9" s="180"/>
      <c r="EI9" s="180"/>
      <c r="EJ9" s="180"/>
      <c r="EK9" s="180"/>
      <c r="EL9" s="181"/>
      <c r="EM9" s="179">
        <v>56</v>
      </c>
      <c r="EN9" s="180">
        <v>5007</v>
      </c>
      <c r="EO9" s="180">
        <v>980</v>
      </c>
      <c r="EP9" s="180">
        <v>76880</v>
      </c>
      <c r="EQ9" s="180">
        <v>106</v>
      </c>
      <c r="ER9" s="180">
        <v>12223</v>
      </c>
      <c r="ES9" s="180">
        <v>4144</v>
      </c>
      <c r="ET9" s="180">
        <v>492542</v>
      </c>
      <c r="EU9" s="180">
        <v>62</v>
      </c>
      <c r="EV9" s="180">
        <v>8468</v>
      </c>
      <c r="EW9" s="180">
        <v>5048</v>
      </c>
      <c r="EX9" s="180">
        <v>593074</v>
      </c>
      <c r="EY9" s="180">
        <v>170</v>
      </c>
      <c r="EZ9" s="180">
        <v>26353</v>
      </c>
      <c r="FA9" s="180">
        <v>4945</v>
      </c>
      <c r="FB9" s="180">
        <v>762048</v>
      </c>
      <c r="FC9" s="180">
        <v>52052</v>
      </c>
      <c r="FD9" s="180">
        <v>52052</v>
      </c>
      <c r="FE9" s="180">
        <v>15117</v>
      </c>
      <c r="FF9" s="181">
        <v>1924543</v>
      </c>
      <c r="FG9" s="179"/>
      <c r="FH9" s="180"/>
      <c r="FI9" s="180"/>
      <c r="FJ9" s="180"/>
      <c r="FK9" s="180"/>
      <c r="FL9" s="180"/>
      <c r="FM9" s="180"/>
      <c r="FN9" s="180"/>
      <c r="FO9" s="180"/>
      <c r="FP9" s="180"/>
      <c r="FQ9" s="180"/>
      <c r="FR9" s="180"/>
      <c r="FS9" s="180"/>
      <c r="FT9" s="180"/>
      <c r="FU9" s="180"/>
      <c r="FV9" s="180"/>
      <c r="FW9" s="180"/>
      <c r="FX9" s="180"/>
      <c r="FY9" s="180"/>
      <c r="FZ9" s="181"/>
      <c r="GA9" s="179">
        <v>34</v>
      </c>
      <c r="GB9" s="180">
        <v>2401</v>
      </c>
      <c r="GC9" s="180">
        <v>1254</v>
      </c>
      <c r="GD9" s="180">
        <v>98347</v>
      </c>
      <c r="GE9" s="180">
        <v>96</v>
      </c>
      <c r="GF9" s="180">
        <v>11929</v>
      </c>
      <c r="GG9" s="180">
        <v>5248</v>
      </c>
      <c r="GH9" s="180">
        <v>630185</v>
      </c>
      <c r="GI9" s="180">
        <v>121</v>
      </c>
      <c r="GJ9" s="180">
        <v>19031</v>
      </c>
      <c r="GK9" s="180">
        <v>6189</v>
      </c>
      <c r="GL9" s="180">
        <v>727762</v>
      </c>
      <c r="GM9" s="180">
        <v>193</v>
      </c>
      <c r="GN9" s="180">
        <v>33489</v>
      </c>
      <c r="GO9" s="180">
        <v>6269</v>
      </c>
      <c r="GP9" s="180">
        <v>976150</v>
      </c>
      <c r="GQ9" s="180">
        <v>444</v>
      </c>
      <c r="GR9" s="180">
        <v>66850</v>
      </c>
      <c r="GS9" s="180">
        <v>18961</v>
      </c>
      <c r="GT9" s="181">
        <v>2432442</v>
      </c>
      <c r="GU9" s="179">
        <v>14</v>
      </c>
      <c r="GV9" s="180">
        <v>1080</v>
      </c>
      <c r="GW9" s="180">
        <v>1377</v>
      </c>
      <c r="GX9" s="180">
        <v>107010</v>
      </c>
      <c r="GY9" s="180">
        <v>97</v>
      </c>
      <c r="GZ9" s="180">
        <v>16007</v>
      </c>
      <c r="HA9" s="180">
        <v>5699</v>
      </c>
      <c r="HB9" s="180">
        <v>686122</v>
      </c>
      <c r="HC9" s="180">
        <v>53</v>
      </c>
      <c r="HD9" s="180">
        <v>7079</v>
      </c>
      <c r="HE9" s="180">
        <v>6832</v>
      </c>
      <c r="HF9" s="180">
        <v>807369</v>
      </c>
      <c r="HG9" s="180">
        <v>183</v>
      </c>
      <c r="HH9" s="180">
        <v>30529</v>
      </c>
      <c r="HI9" s="180">
        <v>7008</v>
      </c>
      <c r="HJ9" s="180">
        <v>1096891</v>
      </c>
      <c r="HK9" s="180">
        <v>348</v>
      </c>
      <c r="HL9" s="180">
        <v>54696</v>
      </c>
      <c r="HM9" s="180">
        <v>20917</v>
      </c>
      <c r="HN9" s="181">
        <v>2697392</v>
      </c>
      <c r="HO9" s="179"/>
      <c r="HP9" s="180"/>
      <c r="HQ9" s="180"/>
      <c r="HR9" s="180"/>
      <c r="HS9" s="180"/>
      <c r="HT9" s="180"/>
      <c r="HU9" s="180"/>
      <c r="HV9" s="180"/>
      <c r="HW9" s="180"/>
      <c r="HX9" s="180"/>
      <c r="HY9" s="180"/>
      <c r="HZ9" s="180"/>
      <c r="IA9" s="180"/>
      <c r="IB9" s="180"/>
      <c r="IC9" s="180"/>
      <c r="ID9" s="180"/>
      <c r="IE9" s="180"/>
      <c r="IF9" s="180"/>
      <c r="IG9" s="180"/>
      <c r="IH9" s="181"/>
    </row>
    <row r="10" spans="1:242">
      <c r="B10" s="175">
        <v>8</v>
      </c>
      <c r="C10" s="179">
        <v>34</v>
      </c>
      <c r="D10" s="180">
        <v>2939</v>
      </c>
      <c r="E10" s="180">
        <v>34</v>
      </c>
      <c r="F10" s="180">
        <v>2939</v>
      </c>
      <c r="G10" s="180">
        <v>161</v>
      </c>
      <c r="H10" s="180">
        <v>16240</v>
      </c>
      <c r="I10" s="180">
        <v>161</v>
      </c>
      <c r="J10" s="180">
        <v>16240</v>
      </c>
      <c r="K10" s="180">
        <v>137</v>
      </c>
      <c r="L10" s="180">
        <v>19610</v>
      </c>
      <c r="M10" s="180">
        <v>137</v>
      </c>
      <c r="N10" s="180">
        <v>19610</v>
      </c>
      <c r="O10" s="180">
        <v>166</v>
      </c>
      <c r="P10" s="180">
        <v>25964</v>
      </c>
      <c r="Q10" s="180">
        <v>166</v>
      </c>
      <c r="R10" s="180">
        <v>25964</v>
      </c>
      <c r="S10" s="180">
        <v>64751</v>
      </c>
      <c r="T10" s="180">
        <v>64751</v>
      </c>
      <c r="U10" s="180">
        <v>498</v>
      </c>
      <c r="V10" s="181">
        <v>64751</v>
      </c>
      <c r="W10" s="179">
        <v>27</v>
      </c>
      <c r="X10" s="180">
        <v>2208</v>
      </c>
      <c r="Y10" s="180">
        <v>163</v>
      </c>
      <c r="Z10" s="180">
        <v>13034</v>
      </c>
      <c r="AA10" s="180">
        <v>195</v>
      </c>
      <c r="AB10" s="180">
        <v>21072</v>
      </c>
      <c r="AC10" s="180">
        <v>927</v>
      </c>
      <c r="AD10" s="180">
        <v>104400</v>
      </c>
      <c r="AE10" s="180">
        <v>168</v>
      </c>
      <c r="AF10" s="180">
        <v>22369</v>
      </c>
      <c r="AG10" s="180">
        <v>963</v>
      </c>
      <c r="AH10" s="180">
        <v>128216</v>
      </c>
      <c r="AI10" s="180">
        <v>249</v>
      </c>
      <c r="AJ10" s="180">
        <v>38885</v>
      </c>
      <c r="AK10" s="180">
        <v>915</v>
      </c>
      <c r="AL10" s="180">
        <v>143824</v>
      </c>
      <c r="AM10" s="180">
        <v>84535</v>
      </c>
      <c r="AN10" s="180">
        <v>84535</v>
      </c>
      <c r="AO10" s="180">
        <v>2968</v>
      </c>
      <c r="AP10" s="181">
        <v>389475</v>
      </c>
      <c r="AQ10" s="179">
        <v>16</v>
      </c>
      <c r="AR10" s="180">
        <v>1016</v>
      </c>
      <c r="AS10" s="180">
        <v>266</v>
      </c>
      <c r="AT10" s="180">
        <v>20261</v>
      </c>
      <c r="AU10" s="180">
        <v>151</v>
      </c>
      <c r="AV10" s="180">
        <v>17137</v>
      </c>
      <c r="AW10" s="180">
        <v>1464</v>
      </c>
      <c r="AX10" s="180">
        <v>170469</v>
      </c>
      <c r="AY10" s="180">
        <v>245</v>
      </c>
      <c r="AZ10" s="180">
        <v>24097</v>
      </c>
      <c r="BA10" s="180">
        <v>1817</v>
      </c>
      <c r="BB10" s="180">
        <v>219646</v>
      </c>
      <c r="BC10" s="180">
        <v>203</v>
      </c>
      <c r="BD10" s="180">
        <v>29112</v>
      </c>
      <c r="BE10" s="180">
        <v>1525</v>
      </c>
      <c r="BF10" s="180">
        <v>238139</v>
      </c>
      <c r="BG10" s="180">
        <v>71361</v>
      </c>
      <c r="BH10" s="180">
        <v>71361</v>
      </c>
      <c r="BI10" s="180">
        <v>5072</v>
      </c>
      <c r="BJ10" s="181">
        <v>648516</v>
      </c>
      <c r="BK10" s="179">
        <v>59</v>
      </c>
      <c r="BL10" s="180">
        <v>5434</v>
      </c>
      <c r="BM10" s="180">
        <v>420</v>
      </c>
      <c r="BN10" s="180">
        <v>32910</v>
      </c>
      <c r="BO10" s="180">
        <v>139</v>
      </c>
      <c r="BP10" s="180">
        <v>18490</v>
      </c>
      <c r="BQ10" s="180">
        <v>2051</v>
      </c>
      <c r="BR10" s="180">
        <v>238204</v>
      </c>
      <c r="BS10" s="180">
        <v>115</v>
      </c>
      <c r="BT10" s="180">
        <v>12377</v>
      </c>
      <c r="BU10" s="180">
        <v>2521</v>
      </c>
      <c r="BV10" s="180">
        <v>290459</v>
      </c>
      <c r="BW10" s="180">
        <v>144</v>
      </c>
      <c r="BX10" s="180">
        <v>21458</v>
      </c>
      <c r="BY10" s="180">
        <v>2134</v>
      </c>
      <c r="BZ10" s="180">
        <v>331524</v>
      </c>
      <c r="CA10" s="180">
        <v>57758</v>
      </c>
      <c r="CB10" s="180">
        <v>57758</v>
      </c>
      <c r="CC10" s="180">
        <v>7127</v>
      </c>
      <c r="CD10" s="181">
        <v>893096</v>
      </c>
      <c r="CE10" s="179"/>
      <c r="CF10" s="180"/>
      <c r="CG10" s="180"/>
      <c r="CH10" s="180"/>
      <c r="CI10" s="180"/>
      <c r="CJ10" s="180"/>
      <c r="CK10" s="180"/>
      <c r="CL10" s="180"/>
      <c r="CM10" s="180"/>
      <c r="CN10" s="180"/>
      <c r="CO10" s="180"/>
      <c r="CP10" s="180"/>
      <c r="CQ10" s="180"/>
      <c r="CR10" s="180"/>
      <c r="CS10" s="180"/>
      <c r="CT10" s="180"/>
      <c r="CU10" s="180"/>
      <c r="CV10" s="180"/>
      <c r="CW10" s="180"/>
      <c r="CX10" s="181"/>
      <c r="CY10" s="179"/>
      <c r="CZ10" s="180"/>
      <c r="DA10" s="180"/>
      <c r="DB10" s="180"/>
      <c r="DC10" s="180"/>
      <c r="DD10" s="180"/>
      <c r="DE10" s="180"/>
      <c r="DF10" s="180"/>
      <c r="DG10" s="180"/>
      <c r="DH10" s="180"/>
      <c r="DI10" s="180"/>
      <c r="DJ10" s="180"/>
      <c r="DK10" s="180"/>
      <c r="DL10" s="180"/>
      <c r="DM10" s="180"/>
      <c r="DN10" s="180"/>
      <c r="DO10" s="180"/>
      <c r="DP10" s="180"/>
      <c r="DQ10" s="180"/>
      <c r="DR10" s="181"/>
      <c r="DS10" s="179">
        <v>39</v>
      </c>
      <c r="DT10" s="180">
        <v>3055</v>
      </c>
      <c r="DU10" s="180">
        <v>776</v>
      </c>
      <c r="DV10" s="180">
        <v>60232</v>
      </c>
      <c r="DW10" s="180">
        <v>136</v>
      </c>
      <c r="DX10" s="180">
        <v>20660</v>
      </c>
      <c r="DY10" s="180">
        <v>3643</v>
      </c>
      <c r="DZ10" s="180">
        <v>431080</v>
      </c>
      <c r="EA10" s="180">
        <v>168</v>
      </c>
      <c r="EB10" s="180">
        <v>22006</v>
      </c>
      <c r="EC10" s="180">
        <v>4441</v>
      </c>
      <c r="ED10" s="180">
        <v>528049</v>
      </c>
      <c r="EE10" s="180">
        <v>208</v>
      </c>
      <c r="EF10" s="180">
        <v>35929</v>
      </c>
      <c r="EG10" s="180">
        <v>4221</v>
      </c>
      <c r="EH10" s="180">
        <v>651326</v>
      </c>
      <c r="EI10" s="180">
        <v>81650</v>
      </c>
      <c r="EJ10" s="180">
        <v>81650</v>
      </c>
      <c r="EK10" s="180">
        <v>13081</v>
      </c>
      <c r="EL10" s="181">
        <v>1670688</v>
      </c>
      <c r="EM10" s="179">
        <v>65</v>
      </c>
      <c r="EN10" s="180">
        <v>5621</v>
      </c>
      <c r="EO10" s="180">
        <v>989</v>
      </c>
      <c r="EP10" s="180">
        <v>77493</v>
      </c>
      <c r="EQ10" s="180">
        <v>119</v>
      </c>
      <c r="ER10" s="180">
        <v>13555</v>
      </c>
      <c r="ES10" s="180">
        <v>4157</v>
      </c>
      <c r="ET10" s="180">
        <v>493874</v>
      </c>
      <c r="EU10" s="180">
        <v>73</v>
      </c>
      <c r="EV10" s="180">
        <v>10307</v>
      </c>
      <c r="EW10" s="180">
        <v>5059</v>
      </c>
      <c r="EX10" s="180">
        <v>594912</v>
      </c>
      <c r="EY10" s="180">
        <v>208</v>
      </c>
      <c r="EZ10" s="180">
        <v>32077</v>
      </c>
      <c r="FA10" s="180">
        <v>4985</v>
      </c>
      <c r="FB10" s="180">
        <v>767771</v>
      </c>
      <c r="FC10" s="180">
        <v>61559</v>
      </c>
      <c r="FD10" s="180">
        <v>61559</v>
      </c>
      <c r="FE10" s="180">
        <v>15189</v>
      </c>
      <c r="FF10" s="181">
        <v>1934051</v>
      </c>
      <c r="FG10" s="179"/>
      <c r="FH10" s="180"/>
      <c r="FI10" s="180"/>
      <c r="FJ10" s="180"/>
      <c r="FK10" s="180"/>
      <c r="FL10" s="180"/>
      <c r="FM10" s="180"/>
      <c r="FN10" s="180"/>
      <c r="FO10" s="180"/>
      <c r="FP10" s="180"/>
      <c r="FQ10" s="180"/>
      <c r="FR10" s="180"/>
      <c r="FS10" s="180"/>
      <c r="FT10" s="180"/>
      <c r="FU10" s="180"/>
      <c r="FV10" s="180"/>
      <c r="FW10" s="180"/>
      <c r="FX10" s="180"/>
      <c r="FY10" s="180"/>
      <c r="FZ10" s="181"/>
      <c r="GA10" s="179">
        <v>43</v>
      </c>
      <c r="GB10" s="180">
        <v>3260</v>
      </c>
      <c r="GC10" s="180">
        <v>1263</v>
      </c>
      <c r="GD10" s="180">
        <v>99204</v>
      </c>
      <c r="GE10" s="180">
        <v>113</v>
      </c>
      <c r="GF10" s="180">
        <v>14170</v>
      </c>
      <c r="GG10" s="180">
        <v>5266</v>
      </c>
      <c r="GH10" s="180">
        <v>632425</v>
      </c>
      <c r="GI10" s="180">
        <v>150</v>
      </c>
      <c r="GJ10" s="180">
        <v>22253</v>
      </c>
      <c r="GK10" s="180">
        <v>6218</v>
      </c>
      <c r="GL10" s="180">
        <v>730983</v>
      </c>
      <c r="GM10" s="180">
        <v>228</v>
      </c>
      <c r="GN10" s="180">
        <v>38516</v>
      </c>
      <c r="GO10" s="180">
        <v>6304</v>
      </c>
      <c r="GP10" s="180">
        <v>981176</v>
      </c>
      <c r="GQ10" s="180">
        <v>535</v>
      </c>
      <c r="GR10" s="180">
        <v>78197</v>
      </c>
      <c r="GS10" s="180">
        <v>19052</v>
      </c>
      <c r="GT10" s="181">
        <v>2443792</v>
      </c>
      <c r="GU10" s="179">
        <v>14</v>
      </c>
      <c r="GV10" s="180">
        <v>1080</v>
      </c>
      <c r="GW10" s="180">
        <v>1377</v>
      </c>
      <c r="GX10" s="180">
        <v>107010</v>
      </c>
      <c r="GY10" s="180">
        <v>112</v>
      </c>
      <c r="GZ10" s="180">
        <v>17389</v>
      </c>
      <c r="HA10" s="180">
        <v>5714</v>
      </c>
      <c r="HB10" s="180">
        <v>687504</v>
      </c>
      <c r="HC10" s="180">
        <v>136</v>
      </c>
      <c r="HD10" s="180">
        <v>18692</v>
      </c>
      <c r="HE10" s="180">
        <v>6915</v>
      </c>
      <c r="HF10" s="180">
        <v>818981</v>
      </c>
      <c r="HG10" s="180">
        <v>237</v>
      </c>
      <c r="HH10" s="180">
        <v>38420</v>
      </c>
      <c r="HI10" s="180">
        <v>7061</v>
      </c>
      <c r="HJ10" s="180">
        <v>1104782</v>
      </c>
      <c r="HK10" s="180">
        <v>499</v>
      </c>
      <c r="HL10" s="180">
        <v>75582</v>
      </c>
      <c r="HM10" s="180">
        <v>21069</v>
      </c>
      <c r="HN10" s="181">
        <v>2718280</v>
      </c>
      <c r="HO10" s="179"/>
      <c r="HP10" s="180"/>
      <c r="HQ10" s="180"/>
      <c r="HR10" s="180"/>
      <c r="HS10" s="180"/>
      <c r="HT10" s="180"/>
      <c r="HU10" s="180"/>
      <c r="HV10" s="180"/>
      <c r="HW10" s="180"/>
      <c r="HX10" s="180"/>
      <c r="HY10" s="180"/>
      <c r="HZ10" s="180"/>
      <c r="IA10" s="180"/>
      <c r="IB10" s="180"/>
      <c r="IC10" s="180"/>
      <c r="ID10" s="180"/>
      <c r="IE10" s="180"/>
      <c r="IF10" s="180"/>
      <c r="IG10" s="180"/>
      <c r="IH10" s="181"/>
    </row>
    <row r="11" spans="1:242">
      <c r="B11" s="175">
        <v>9</v>
      </c>
      <c r="C11" s="179">
        <v>38</v>
      </c>
      <c r="D11" s="180">
        <v>3220</v>
      </c>
      <c r="E11" s="180">
        <v>38</v>
      </c>
      <c r="F11" s="180">
        <v>3220</v>
      </c>
      <c r="G11" s="180">
        <v>205</v>
      </c>
      <c r="H11" s="180">
        <v>20138</v>
      </c>
      <c r="I11" s="180">
        <v>205</v>
      </c>
      <c r="J11" s="180">
        <v>20138</v>
      </c>
      <c r="K11" s="180">
        <v>169</v>
      </c>
      <c r="L11" s="180">
        <v>24636</v>
      </c>
      <c r="M11" s="180">
        <v>169</v>
      </c>
      <c r="N11" s="180">
        <v>24636</v>
      </c>
      <c r="O11" s="180">
        <v>209</v>
      </c>
      <c r="P11" s="180">
        <v>31891</v>
      </c>
      <c r="Q11" s="180">
        <v>209</v>
      </c>
      <c r="R11" s="180">
        <v>31891</v>
      </c>
      <c r="S11" s="180">
        <v>79885</v>
      </c>
      <c r="T11" s="180">
        <v>79885</v>
      </c>
      <c r="U11" s="180">
        <v>622</v>
      </c>
      <c r="V11" s="181">
        <v>79885</v>
      </c>
      <c r="W11" s="179"/>
      <c r="X11" s="180"/>
      <c r="Y11" s="180"/>
      <c r="Z11" s="180"/>
      <c r="AA11" s="180"/>
      <c r="AB11" s="180"/>
      <c r="AC11" s="180"/>
      <c r="AD11" s="180"/>
      <c r="AE11" s="180"/>
      <c r="AF11" s="180"/>
      <c r="AG11" s="180"/>
      <c r="AH11" s="180"/>
      <c r="AI11" s="180"/>
      <c r="AJ11" s="180"/>
      <c r="AK11" s="180"/>
      <c r="AL11" s="180"/>
      <c r="AM11" s="180"/>
      <c r="AN11" s="180"/>
      <c r="AO11" s="180"/>
      <c r="AP11" s="181"/>
      <c r="AQ11" s="179"/>
      <c r="AR11" s="180"/>
      <c r="AS11" s="180"/>
      <c r="AT11" s="180"/>
      <c r="AU11" s="180"/>
      <c r="AV11" s="180"/>
      <c r="AW11" s="180"/>
      <c r="AX11" s="180"/>
      <c r="AY11" s="180"/>
      <c r="AZ11" s="180"/>
      <c r="BA11" s="180"/>
      <c r="BB11" s="180"/>
      <c r="BC11" s="180"/>
      <c r="BD11" s="180"/>
      <c r="BE11" s="180"/>
      <c r="BF11" s="180"/>
      <c r="BG11" s="180"/>
      <c r="BH11" s="180"/>
      <c r="BI11" s="180"/>
      <c r="BJ11" s="181"/>
      <c r="BK11" s="179">
        <v>59</v>
      </c>
      <c r="BL11" s="180">
        <v>5434</v>
      </c>
      <c r="BM11" s="180">
        <v>420</v>
      </c>
      <c r="BN11" s="180">
        <v>32910</v>
      </c>
      <c r="BO11" s="180">
        <v>168</v>
      </c>
      <c r="BP11" s="180">
        <v>22904</v>
      </c>
      <c r="BQ11" s="180">
        <v>2080</v>
      </c>
      <c r="BR11" s="180">
        <v>242617</v>
      </c>
      <c r="BS11" s="180">
        <v>141</v>
      </c>
      <c r="BT11" s="180">
        <v>14908</v>
      </c>
      <c r="BU11" s="180">
        <v>2547</v>
      </c>
      <c r="BV11" s="180">
        <v>292989</v>
      </c>
      <c r="BW11" s="180">
        <v>170</v>
      </c>
      <c r="BX11" s="180">
        <v>25150</v>
      </c>
      <c r="BY11" s="180">
        <v>2160</v>
      </c>
      <c r="BZ11" s="180">
        <v>335217</v>
      </c>
      <c r="CA11" s="180">
        <v>68395</v>
      </c>
      <c r="CB11" s="180">
        <v>68395</v>
      </c>
      <c r="CC11" s="180">
        <v>7207</v>
      </c>
      <c r="CD11" s="181">
        <v>903733</v>
      </c>
      <c r="CE11" s="179"/>
      <c r="CF11" s="180"/>
      <c r="CG11" s="180"/>
      <c r="CH11" s="180"/>
      <c r="CI11" s="180"/>
      <c r="CJ11" s="180"/>
      <c r="CK11" s="180"/>
      <c r="CL11" s="180"/>
      <c r="CM11" s="180"/>
      <c r="CN11" s="180"/>
      <c r="CO11" s="180"/>
      <c r="CP11" s="180"/>
      <c r="CQ11" s="180"/>
      <c r="CR11" s="180"/>
      <c r="CS11" s="180"/>
      <c r="CT11" s="180"/>
      <c r="CU11" s="180"/>
      <c r="CV11" s="180"/>
      <c r="CW11" s="180"/>
      <c r="CX11" s="181"/>
      <c r="CY11" s="179"/>
      <c r="CZ11" s="180"/>
      <c r="DA11" s="180"/>
      <c r="DB11" s="180"/>
      <c r="DC11" s="180"/>
      <c r="DD11" s="180"/>
      <c r="DE11" s="180"/>
      <c r="DF11" s="180"/>
      <c r="DG11" s="180"/>
      <c r="DH11" s="180"/>
      <c r="DI11" s="180"/>
      <c r="DJ11" s="180"/>
      <c r="DK11" s="180"/>
      <c r="DL11" s="180"/>
      <c r="DM11" s="180"/>
      <c r="DN11" s="180"/>
      <c r="DO11" s="180"/>
      <c r="DP11" s="180"/>
      <c r="DQ11" s="180"/>
      <c r="DR11" s="181"/>
      <c r="DS11" s="179">
        <v>42</v>
      </c>
      <c r="DT11" s="180">
        <v>3170</v>
      </c>
      <c r="DU11" s="180">
        <v>779</v>
      </c>
      <c r="DV11" s="180">
        <v>60347</v>
      </c>
      <c r="DW11" s="180">
        <v>152</v>
      </c>
      <c r="DX11" s="180">
        <v>21905</v>
      </c>
      <c r="DY11" s="180">
        <v>3659</v>
      </c>
      <c r="DZ11" s="180">
        <v>432325</v>
      </c>
      <c r="EA11" s="180">
        <v>179</v>
      </c>
      <c r="EB11" s="180">
        <v>22956</v>
      </c>
      <c r="EC11" s="180">
        <v>4453</v>
      </c>
      <c r="ED11" s="180">
        <v>528998</v>
      </c>
      <c r="EE11" s="180">
        <v>246</v>
      </c>
      <c r="EF11" s="180">
        <v>41780</v>
      </c>
      <c r="EG11" s="180">
        <v>4260</v>
      </c>
      <c r="EH11" s="180">
        <v>657177</v>
      </c>
      <c r="EI11" s="180">
        <v>89809</v>
      </c>
      <c r="EJ11" s="180">
        <v>89809</v>
      </c>
      <c r="EK11" s="180">
        <v>13150</v>
      </c>
      <c r="EL11" s="181">
        <v>1678847</v>
      </c>
      <c r="EM11" s="179">
        <v>73</v>
      </c>
      <c r="EN11" s="180">
        <v>6368</v>
      </c>
      <c r="EO11" s="180">
        <v>997</v>
      </c>
      <c r="EP11" s="180">
        <v>78240</v>
      </c>
      <c r="EQ11" s="180">
        <v>156</v>
      </c>
      <c r="ER11" s="180">
        <v>19394</v>
      </c>
      <c r="ES11" s="180">
        <v>4193</v>
      </c>
      <c r="ET11" s="180">
        <v>499711</v>
      </c>
      <c r="EU11" s="180">
        <v>90</v>
      </c>
      <c r="EV11" s="180">
        <v>13204</v>
      </c>
      <c r="EW11" s="180">
        <v>5076</v>
      </c>
      <c r="EX11" s="180">
        <v>597810</v>
      </c>
      <c r="EY11" s="180">
        <v>237</v>
      </c>
      <c r="EZ11" s="180">
        <v>37386</v>
      </c>
      <c r="FA11" s="180">
        <v>5013</v>
      </c>
      <c r="FB11" s="180">
        <v>773079</v>
      </c>
      <c r="FC11" s="180">
        <v>76350</v>
      </c>
      <c r="FD11" s="180">
        <v>76350</v>
      </c>
      <c r="FE11" s="180">
        <v>15280</v>
      </c>
      <c r="FF11" s="181">
        <v>1948841</v>
      </c>
      <c r="FG11" s="179">
        <v>33</v>
      </c>
      <c r="FH11" s="180">
        <v>2373</v>
      </c>
      <c r="FI11" s="180">
        <v>1142</v>
      </c>
      <c r="FJ11" s="180">
        <v>89800</v>
      </c>
      <c r="FK11" s="180">
        <v>161</v>
      </c>
      <c r="FL11" s="180">
        <v>18110</v>
      </c>
      <c r="FM11" s="180">
        <v>4694</v>
      </c>
      <c r="FN11" s="180">
        <v>564974</v>
      </c>
      <c r="FO11" s="180">
        <v>147</v>
      </c>
      <c r="FP11" s="180">
        <v>13413</v>
      </c>
      <c r="FQ11" s="180">
        <v>5570</v>
      </c>
      <c r="FR11" s="180">
        <v>655948</v>
      </c>
      <c r="FS11" s="180">
        <v>208</v>
      </c>
      <c r="FT11" s="180">
        <v>33458</v>
      </c>
      <c r="FU11" s="180">
        <v>5618</v>
      </c>
      <c r="FV11" s="180">
        <v>869367</v>
      </c>
      <c r="FW11" s="180">
        <v>67354</v>
      </c>
      <c r="FX11" s="180">
        <v>67354</v>
      </c>
      <c r="FY11" s="180">
        <v>17024</v>
      </c>
      <c r="FZ11" s="181">
        <v>2180089</v>
      </c>
      <c r="GA11" s="179">
        <v>43</v>
      </c>
      <c r="GB11" s="180">
        <v>3260</v>
      </c>
      <c r="GC11" s="180">
        <v>1263</v>
      </c>
      <c r="GD11" s="180">
        <v>99204</v>
      </c>
      <c r="GE11" s="180">
        <v>123</v>
      </c>
      <c r="GF11" s="180">
        <v>14793</v>
      </c>
      <c r="GG11" s="180">
        <v>5276</v>
      </c>
      <c r="GH11" s="180">
        <v>633051</v>
      </c>
      <c r="GI11" s="180">
        <v>161</v>
      </c>
      <c r="GJ11" s="180">
        <v>23694</v>
      </c>
      <c r="GK11" s="180">
        <v>6229</v>
      </c>
      <c r="GL11" s="180">
        <v>732425</v>
      </c>
      <c r="GM11" s="180">
        <v>251</v>
      </c>
      <c r="GN11" s="180">
        <v>41867</v>
      </c>
      <c r="GO11" s="180">
        <v>6327</v>
      </c>
      <c r="GP11" s="180">
        <v>984529</v>
      </c>
      <c r="GQ11" s="180">
        <v>578</v>
      </c>
      <c r="GR11" s="180">
        <v>83616</v>
      </c>
      <c r="GS11" s="180">
        <v>19096</v>
      </c>
      <c r="GT11" s="181">
        <v>2449209</v>
      </c>
      <c r="GU11" s="179"/>
      <c r="GV11" s="180"/>
      <c r="GW11" s="180"/>
      <c r="GX11" s="180"/>
      <c r="GY11" s="180"/>
      <c r="GZ11" s="180"/>
      <c r="HA11" s="180"/>
      <c r="HB11" s="180"/>
      <c r="HC11" s="180"/>
      <c r="HD11" s="180"/>
      <c r="HE11" s="180"/>
      <c r="HF11" s="180"/>
      <c r="HG11" s="180"/>
      <c r="HH11" s="180"/>
      <c r="HI11" s="180"/>
      <c r="HJ11" s="180"/>
      <c r="HK11" s="180"/>
      <c r="HL11" s="180"/>
      <c r="HM11" s="180"/>
      <c r="HN11" s="181"/>
      <c r="HO11" s="179">
        <v>44</v>
      </c>
      <c r="HP11" s="180">
        <v>3482</v>
      </c>
      <c r="HQ11" s="180">
        <v>1554</v>
      </c>
      <c r="HR11" s="180">
        <v>119904</v>
      </c>
      <c r="HS11" s="180">
        <v>143</v>
      </c>
      <c r="HT11" s="180">
        <v>19998</v>
      </c>
      <c r="HU11" s="180">
        <v>6200</v>
      </c>
      <c r="HV11" s="180">
        <v>752315</v>
      </c>
      <c r="HW11" s="180">
        <v>163</v>
      </c>
      <c r="HX11" s="180">
        <v>20221</v>
      </c>
      <c r="HY11" s="180">
        <v>7492</v>
      </c>
      <c r="HZ11" s="180">
        <v>884593</v>
      </c>
      <c r="IA11" s="180">
        <v>260</v>
      </c>
      <c r="IB11" s="180">
        <v>44644</v>
      </c>
      <c r="IC11" s="180">
        <v>7917</v>
      </c>
      <c r="ID11" s="180">
        <v>1261089</v>
      </c>
      <c r="IE11" s="180">
        <v>611</v>
      </c>
      <c r="IF11" s="180">
        <v>88346</v>
      </c>
      <c r="IG11" s="180">
        <v>23163</v>
      </c>
      <c r="IH11" s="181">
        <v>3017902</v>
      </c>
    </row>
    <row r="12" spans="1:242">
      <c r="B12" s="175">
        <v>10</v>
      </c>
      <c r="C12" s="179">
        <v>38</v>
      </c>
      <c r="D12" s="180">
        <v>3220</v>
      </c>
      <c r="E12" s="180">
        <v>38</v>
      </c>
      <c r="F12" s="180">
        <v>3220</v>
      </c>
      <c r="G12" s="180">
        <v>247</v>
      </c>
      <c r="H12" s="180">
        <v>24251</v>
      </c>
      <c r="I12" s="180">
        <v>247</v>
      </c>
      <c r="J12" s="180">
        <v>24251</v>
      </c>
      <c r="K12" s="180">
        <v>194</v>
      </c>
      <c r="L12" s="180">
        <v>27712</v>
      </c>
      <c r="M12" s="180">
        <v>194</v>
      </c>
      <c r="N12" s="180">
        <v>27712</v>
      </c>
      <c r="O12" s="180">
        <v>255</v>
      </c>
      <c r="P12" s="180">
        <v>39055</v>
      </c>
      <c r="Q12" s="180">
        <v>255</v>
      </c>
      <c r="R12" s="180">
        <v>39055</v>
      </c>
      <c r="S12" s="180">
        <v>94238</v>
      </c>
      <c r="T12" s="180">
        <v>94238</v>
      </c>
      <c r="U12" s="180">
        <v>734</v>
      </c>
      <c r="V12" s="181">
        <v>94238</v>
      </c>
      <c r="W12" s="179"/>
      <c r="X12" s="180"/>
      <c r="Y12" s="180"/>
      <c r="Z12" s="180"/>
      <c r="AA12" s="180"/>
      <c r="AB12" s="180"/>
      <c r="AC12" s="180"/>
      <c r="AD12" s="180"/>
      <c r="AE12" s="180"/>
      <c r="AF12" s="180"/>
      <c r="AG12" s="180"/>
      <c r="AH12" s="180"/>
      <c r="AI12" s="180"/>
      <c r="AJ12" s="180"/>
      <c r="AK12" s="180"/>
      <c r="AL12" s="180"/>
      <c r="AM12" s="180"/>
      <c r="AN12" s="180"/>
      <c r="AO12" s="180"/>
      <c r="AP12" s="181"/>
      <c r="AQ12" s="179"/>
      <c r="AR12" s="180"/>
      <c r="AS12" s="180"/>
      <c r="AT12" s="180"/>
      <c r="AU12" s="180"/>
      <c r="AV12" s="180"/>
      <c r="AW12" s="180"/>
      <c r="AX12" s="180"/>
      <c r="AY12" s="180"/>
      <c r="AZ12" s="180"/>
      <c r="BA12" s="180"/>
      <c r="BB12" s="180"/>
      <c r="BC12" s="180"/>
      <c r="BD12" s="180"/>
      <c r="BE12" s="180"/>
      <c r="BF12" s="180"/>
      <c r="BG12" s="180"/>
      <c r="BH12" s="180"/>
      <c r="BI12" s="180"/>
      <c r="BJ12" s="181"/>
      <c r="BK12" s="179">
        <v>65</v>
      </c>
      <c r="BL12" s="180">
        <v>5722</v>
      </c>
      <c r="BM12" s="180">
        <v>426</v>
      </c>
      <c r="BN12" s="180">
        <v>33198</v>
      </c>
      <c r="BO12" s="180">
        <v>181</v>
      </c>
      <c r="BP12" s="180">
        <v>23858</v>
      </c>
      <c r="BQ12" s="180">
        <v>2093</v>
      </c>
      <c r="BR12" s="180">
        <v>243572</v>
      </c>
      <c r="BS12" s="180">
        <v>203</v>
      </c>
      <c r="BT12" s="180">
        <v>22259</v>
      </c>
      <c r="BU12" s="180">
        <v>2609</v>
      </c>
      <c r="BV12" s="180">
        <v>300340</v>
      </c>
      <c r="BW12" s="180">
        <v>206</v>
      </c>
      <c r="BX12" s="180">
        <v>30038</v>
      </c>
      <c r="BY12" s="180">
        <v>2197</v>
      </c>
      <c r="BZ12" s="180">
        <v>340106</v>
      </c>
      <c r="CA12" s="180">
        <v>81877</v>
      </c>
      <c r="CB12" s="180">
        <v>81877</v>
      </c>
      <c r="CC12" s="180">
        <v>7324</v>
      </c>
      <c r="CD12" s="181">
        <v>917216</v>
      </c>
      <c r="CE12" s="179">
        <v>27</v>
      </c>
      <c r="CF12" s="180">
        <v>1868</v>
      </c>
      <c r="CG12" s="180">
        <v>537</v>
      </c>
      <c r="CH12" s="180">
        <v>41468</v>
      </c>
      <c r="CI12" s="180">
        <v>106</v>
      </c>
      <c r="CJ12" s="180">
        <v>11188</v>
      </c>
      <c r="CK12" s="180">
        <v>2517</v>
      </c>
      <c r="CL12" s="180">
        <v>292405</v>
      </c>
      <c r="CM12" s="180">
        <v>89</v>
      </c>
      <c r="CN12" s="180">
        <v>9262</v>
      </c>
      <c r="CO12" s="180">
        <v>3143</v>
      </c>
      <c r="CP12" s="180">
        <v>365005</v>
      </c>
      <c r="CQ12" s="180">
        <v>185</v>
      </c>
      <c r="CR12" s="180">
        <v>26488</v>
      </c>
      <c r="CS12" s="180">
        <v>2872</v>
      </c>
      <c r="CT12" s="180">
        <v>438471</v>
      </c>
      <c r="CU12" s="180">
        <v>48805</v>
      </c>
      <c r="CV12" s="180">
        <v>48805</v>
      </c>
      <c r="CW12" s="180">
        <v>9069</v>
      </c>
      <c r="CX12" s="181">
        <v>1137350</v>
      </c>
      <c r="CY12" s="179">
        <v>53</v>
      </c>
      <c r="CZ12" s="180">
        <v>4912</v>
      </c>
      <c r="DA12" s="180">
        <v>667</v>
      </c>
      <c r="DB12" s="180">
        <v>51948</v>
      </c>
      <c r="DC12" s="180">
        <v>190</v>
      </c>
      <c r="DD12" s="180">
        <v>21275</v>
      </c>
      <c r="DE12" s="180">
        <v>3113</v>
      </c>
      <c r="DF12" s="180">
        <v>366291</v>
      </c>
      <c r="DG12" s="180">
        <v>172</v>
      </c>
      <c r="DH12" s="180">
        <v>22829</v>
      </c>
      <c r="DI12" s="180">
        <v>3810</v>
      </c>
      <c r="DJ12" s="180">
        <v>447797</v>
      </c>
      <c r="DK12" s="180">
        <v>205</v>
      </c>
      <c r="DL12" s="180">
        <v>32639</v>
      </c>
      <c r="DM12" s="180">
        <v>3565</v>
      </c>
      <c r="DN12" s="180">
        <v>546194</v>
      </c>
      <c r="DO12" s="180">
        <v>81656</v>
      </c>
      <c r="DP12" s="180">
        <v>81656</v>
      </c>
      <c r="DQ12" s="180">
        <v>11156</v>
      </c>
      <c r="DR12" s="181">
        <v>1412230</v>
      </c>
      <c r="DS12" s="179">
        <v>47</v>
      </c>
      <c r="DT12" s="180">
        <v>3620</v>
      </c>
      <c r="DU12" s="180">
        <v>784</v>
      </c>
      <c r="DV12" s="180">
        <v>60798</v>
      </c>
      <c r="DW12" s="180">
        <v>183</v>
      </c>
      <c r="DX12" s="180">
        <v>26728</v>
      </c>
      <c r="DY12" s="180">
        <v>3689</v>
      </c>
      <c r="DZ12" s="180">
        <v>437149</v>
      </c>
      <c r="EA12" s="180">
        <v>230</v>
      </c>
      <c r="EB12" s="180">
        <v>27242</v>
      </c>
      <c r="EC12" s="180">
        <v>4503</v>
      </c>
      <c r="ED12" s="180">
        <v>533285</v>
      </c>
      <c r="EE12" s="180">
        <v>277</v>
      </c>
      <c r="EF12" s="180">
        <v>46014</v>
      </c>
      <c r="EG12" s="180">
        <v>4289</v>
      </c>
      <c r="EH12" s="180">
        <v>661411</v>
      </c>
      <c r="EI12" s="180">
        <v>103605</v>
      </c>
      <c r="EJ12" s="180">
        <v>103605</v>
      </c>
      <c r="EK12" s="180">
        <v>13265</v>
      </c>
      <c r="EL12" s="181">
        <v>1692642</v>
      </c>
      <c r="EM12" s="179"/>
      <c r="EN12" s="180"/>
      <c r="EO12" s="180"/>
      <c r="EP12" s="180"/>
      <c r="EQ12" s="180"/>
      <c r="ER12" s="180"/>
      <c r="ES12" s="180"/>
      <c r="ET12" s="180"/>
      <c r="EU12" s="180"/>
      <c r="EV12" s="180"/>
      <c r="EW12" s="180"/>
      <c r="EX12" s="180"/>
      <c r="EY12" s="180"/>
      <c r="EZ12" s="180"/>
      <c r="FA12" s="180"/>
      <c r="FB12" s="180"/>
      <c r="FC12" s="180"/>
      <c r="FD12" s="180"/>
      <c r="FE12" s="180"/>
      <c r="FF12" s="181"/>
      <c r="FG12" s="179">
        <v>38</v>
      </c>
      <c r="FH12" s="180">
        <v>2786</v>
      </c>
      <c r="FI12" s="180">
        <v>1147</v>
      </c>
      <c r="FJ12" s="180">
        <v>90214</v>
      </c>
      <c r="FK12" s="180">
        <v>178</v>
      </c>
      <c r="FL12" s="180">
        <v>20053</v>
      </c>
      <c r="FM12" s="180">
        <v>4711</v>
      </c>
      <c r="FN12" s="180">
        <v>566916</v>
      </c>
      <c r="FO12" s="180">
        <v>157</v>
      </c>
      <c r="FP12" s="180">
        <v>14479</v>
      </c>
      <c r="FQ12" s="180">
        <v>5580</v>
      </c>
      <c r="FR12" s="180">
        <v>657014</v>
      </c>
      <c r="FS12" s="180">
        <v>247</v>
      </c>
      <c r="FT12" s="180">
        <v>40511</v>
      </c>
      <c r="FU12" s="180">
        <v>5658</v>
      </c>
      <c r="FV12" s="180">
        <v>876420</v>
      </c>
      <c r="FW12" s="180">
        <v>77829</v>
      </c>
      <c r="FX12" s="180">
        <v>77829</v>
      </c>
      <c r="FY12" s="180">
        <v>17096</v>
      </c>
      <c r="FZ12" s="181">
        <v>2190566</v>
      </c>
      <c r="GA12" s="179">
        <v>43</v>
      </c>
      <c r="GB12" s="180">
        <v>3260</v>
      </c>
      <c r="GC12" s="180">
        <v>1263</v>
      </c>
      <c r="GD12" s="180">
        <v>99204</v>
      </c>
      <c r="GE12" s="180">
        <v>149</v>
      </c>
      <c r="GF12" s="180">
        <v>17944</v>
      </c>
      <c r="GG12" s="180">
        <v>5301</v>
      </c>
      <c r="GH12" s="180">
        <v>636200</v>
      </c>
      <c r="GI12" s="180">
        <v>201</v>
      </c>
      <c r="GJ12" s="180">
        <v>28385</v>
      </c>
      <c r="GK12" s="180">
        <v>6269</v>
      </c>
      <c r="GL12" s="180">
        <v>737116</v>
      </c>
      <c r="GM12" s="180">
        <v>281</v>
      </c>
      <c r="GN12" s="180">
        <v>47625</v>
      </c>
      <c r="GO12" s="180">
        <v>6357</v>
      </c>
      <c r="GP12" s="180">
        <v>990285</v>
      </c>
      <c r="GQ12" s="180">
        <v>674</v>
      </c>
      <c r="GR12" s="180">
        <v>97212</v>
      </c>
      <c r="GS12" s="180">
        <v>19191</v>
      </c>
      <c r="GT12" s="181">
        <v>2462806</v>
      </c>
      <c r="GU12" s="179"/>
      <c r="GV12" s="180"/>
      <c r="GW12" s="180"/>
      <c r="GX12" s="180"/>
      <c r="GY12" s="180"/>
      <c r="GZ12" s="180"/>
      <c r="HA12" s="180"/>
      <c r="HB12" s="180"/>
      <c r="HC12" s="180"/>
      <c r="HD12" s="180"/>
      <c r="HE12" s="180"/>
      <c r="HF12" s="180"/>
      <c r="HG12" s="180"/>
      <c r="HH12" s="180"/>
      <c r="HI12" s="180"/>
      <c r="HJ12" s="180"/>
      <c r="HK12" s="180"/>
      <c r="HL12" s="180"/>
      <c r="HM12" s="180"/>
      <c r="HN12" s="181"/>
      <c r="HO12" s="179">
        <v>45</v>
      </c>
      <c r="HP12" s="180">
        <v>3608</v>
      </c>
      <c r="HQ12" s="180">
        <v>1555</v>
      </c>
      <c r="HR12" s="180">
        <v>120030</v>
      </c>
      <c r="HS12" s="180">
        <v>166</v>
      </c>
      <c r="HT12" s="180">
        <v>22708</v>
      </c>
      <c r="HU12" s="180">
        <v>6224</v>
      </c>
      <c r="HV12" s="180">
        <v>755026</v>
      </c>
      <c r="HW12" s="180">
        <v>170</v>
      </c>
      <c r="HX12" s="180">
        <v>21881</v>
      </c>
      <c r="HY12" s="180">
        <v>7499</v>
      </c>
      <c r="HZ12" s="180">
        <v>886253</v>
      </c>
      <c r="IA12" s="180">
        <v>277</v>
      </c>
      <c r="IB12" s="180">
        <v>47089</v>
      </c>
      <c r="IC12" s="180">
        <v>7933</v>
      </c>
      <c r="ID12" s="180">
        <v>1263535</v>
      </c>
      <c r="IE12" s="180">
        <v>658</v>
      </c>
      <c r="IF12" s="180">
        <v>95289</v>
      </c>
      <c r="IG12" s="180">
        <v>23210</v>
      </c>
      <c r="IH12" s="181">
        <v>3024843</v>
      </c>
    </row>
    <row r="13" spans="1:242">
      <c r="B13" s="175">
        <v>11</v>
      </c>
      <c r="C13" s="179">
        <v>51</v>
      </c>
      <c r="D13" s="180">
        <v>3966</v>
      </c>
      <c r="E13" s="180">
        <v>51</v>
      </c>
      <c r="F13" s="180">
        <v>3966</v>
      </c>
      <c r="G13" s="180">
        <v>271</v>
      </c>
      <c r="H13" s="180">
        <v>27339</v>
      </c>
      <c r="I13" s="180">
        <v>271</v>
      </c>
      <c r="J13" s="180">
        <v>27339</v>
      </c>
      <c r="K13" s="180">
        <v>238</v>
      </c>
      <c r="L13" s="180">
        <v>34030</v>
      </c>
      <c r="M13" s="180">
        <v>238</v>
      </c>
      <c r="N13" s="180">
        <v>34030</v>
      </c>
      <c r="O13" s="180">
        <v>278</v>
      </c>
      <c r="P13" s="180">
        <v>42670</v>
      </c>
      <c r="Q13" s="180">
        <v>278</v>
      </c>
      <c r="R13" s="180">
        <v>42670</v>
      </c>
      <c r="S13" s="180">
        <v>108003</v>
      </c>
      <c r="T13" s="180">
        <v>108003</v>
      </c>
      <c r="U13" s="180">
        <v>838</v>
      </c>
      <c r="V13" s="181">
        <v>108003</v>
      </c>
      <c r="W13" s="179">
        <v>30</v>
      </c>
      <c r="X13" s="180">
        <v>2315</v>
      </c>
      <c r="Y13" s="180">
        <v>166</v>
      </c>
      <c r="Z13" s="180">
        <v>13141</v>
      </c>
      <c r="AA13" s="180">
        <v>216</v>
      </c>
      <c r="AB13" s="180">
        <v>22797</v>
      </c>
      <c r="AC13" s="180">
        <v>948</v>
      </c>
      <c r="AD13" s="180">
        <v>106126</v>
      </c>
      <c r="AE13" s="180">
        <v>180</v>
      </c>
      <c r="AF13" s="180">
        <v>23688</v>
      </c>
      <c r="AG13" s="180">
        <v>975</v>
      </c>
      <c r="AH13" s="180">
        <v>129535</v>
      </c>
      <c r="AI13" s="180">
        <v>277</v>
      </c>
      <c r="AJ13" s="180">
        <v>43915</v>
      </c>
      <c r="AK13" s="180">
        <v>943</v>
      </c>
      <c r="AL13" s="180">
        <v>148854</v>
      </c>
      <c r="AM13" s="180">
        <v>92715</v>
      </c>
      <c r="AN13" s="180">
        <v>92715</v>
      </c>
      <c r="AO13" s="180">
        <v>3031</v>
      </c>
      <c r="AP13" s="181">
        <v>397655</v>
      </c>
      <c r="AQ13" s="179">
        <v>31</v>
      </c>
      <c r="AR13" s="180">
        <v>2347</v>
      </c>
      <c r="AS13" s="180">
        <v>281</v>
      </c>
      <c r="AT13" s="180">
        <v>21592</v>
      </c>
      <c r="AU13" s="180">
        <v>181</v>
      </c>
      <c r="AV13" s="180">
        <v>19528</v>
      </c>
      <c r="AW13" s="180">
        <v>1495</v>
      </c>
      <c r="AX13" s="180">
        <v>172861</v>
      </c>
      <c r="AY13" s="180">
        <v>269</v>
      </c>
      <c r="AZ13" s="180">
        <v>25633</v>
      </c>
      <c r="BA13" s="180">
        <v>1841</v>
      </c>
      <c r="BB13" s="180">
        <v>221181</v>
      </c>
      <c r="BC13" s="180">
        <v>236</v>
      </c>
      <c r="BD13" s="180">
        <v>34331</v>
      </c>
      <c r="BE13" s="180">
        <v>1557</v>
      </c>
      <c r="BF13" s="180">
        <v>243359</v>
      </c>
      <c r="BG13" s="180">
        <v>81838</v>
      </c>
      <c r="BH13" s="180">
        <v>81838</v>
      </c>
      <c r="BI13" s="180">
        <v>5174</v>
      </c>
      <c r="BJ13" s="181">
        <v>658992</v>
      </c>
      <c r="BK13" s="179">
        <v>66</v>
      </c>
      <c r="BL13" s="180">
        <v>5821</v>
      </c>
      <c r="BM13" s="180">
        <v>427</v>
      </c>
      <c r="BN13" s="180">
        <v>33297</v>
      </c>
      <c r="BO13" s="180">
        <v>213</v>
      </c>
      <c r="BP13" s="180">
        <v>26873</v>
      </c>
      <c r="BQ13" s="180">
        <v>2125</v>
      </c>
      <c r="BR13" s="180">
        <v>246586</v>
      </c>
      <c r="BS13" s="180">
        <v>228</v>
      </c>
      <c r="BT13" s="180">
        <v>25437</v>
      </c>
      <c r="BU13" s="180">
        <v>2634</v>
      </c>
      <c r="BV13" s="180">
        <v>303518</v>
      </c>
      <c r="BW13" s="180">
        <v>247</v>
      </c>
      <c r="BX13" s="180">
        <v>36572</v>
      </c>
      <c r="BY13" s="180">
        <v>2238</v>
      </c>
      <c r="BZ13" s="180">
        <v>346640</v>
      </c>
      <c r="CA13" s="180">
        <v>94702</v>
      </c>
      <c r="CB13" s="180">
        <v>94702</v>
      </c>
      <c r="CC13" s="180">
        <v>7424</v>
      </c>
      <c r="CD13" s="181">
        <v>930039</v>
      </c>
      <c r="CE13" s="179"/>
      <c r="CF13" s="180"/>
      <c r="CG13" s="180"/>
      <c r="CH13" s="180"/>
      <c r="CI13" s="180"/>
      <c r="CJ13" s="180"/>
      <c r="CK13" s="180"/>
      <c r="CL13" s="180"/>
      <c r="CM13" s="180"/>
      <c r="CN13" s="180"/>
      <c r="CO13" s="180"/>
      <c r="CP13" s="180"/>
      <c r="CQ13" s="180"/>
      <c r="CR13" s="180"/>
      <c r="CS13" s="180"/>
      <c r="CT13" s="180"/>
      <c r="CU13" s="180"/>
      <c r="CV13" s="180"/>
      <c r="CW13" s="180"/>
      <c r="CX13" s="181"/>
      <c r="CY13" s="179">
        <v>58</v>
      </c>
      <c r="CZ13" s="180">
        <v>5365</v>
      </c>
      <c r="DA13" s="180">
        <v>672</v>
      </c>
      <c r="DB13" s="180">
        <v>52401</v>
      </c>
      <c r="DC13" s="180">
        <v>218</v>
      </c>
      <c r="DD13" s="180">
        <v>24447</v>
      </c>
      <c r="DE13" s="180">
        <v>3141</v>
      </c>
      <c r="DF13" s="180">
        <v>369462</v>
      </c>
      <c r="DG13" s="180">
        <v>186</v>
      </c>
      <c r="DH13" s="180">
        <v>24204</v>
      </c>
      <c r="DI13" s="180">
        <v>3824</v>
      </c>
      <c r="DJ13" s="180">
        <v>449172</v>
      </c>
      <c r="DK13" s="180">
        <v>240</v>
      </c>
      <c r="DL13" s="180">
        <v>37979</v>
      </c>
      <c r="DM13" s="180">
        <v>3600</v>
      </c>
      <c r="DN13" s="180">
        <v>551533</v>
      </c>
      <c r="DO13" s="180">
        <v>91996</v>
      </c>
      <c r="DP13" s="180">
        <v>91996</v>
      </c>
      <c r="DQ13" s="180">
        <v>11238</v>
      </c>
      <c r="DR13" s="181">
        <v>1422571</v>
      </c>
      <c r="DS13" s="179">
        <v>47</v>
      </c>
      <c r="DT13" s="180">
        <v>3620</v>
      </c>
      <c r="DU13" s="180">
        <v>784</v>
      </c>
      <c r="DV13" s="180">
        <v>60798</v>
      </c>
      <c r="DW13" s="180">
        <v>217</v>
      </c>
      <c r="DX13" s="180">
        <v>31622</v>
      </c>
      <c r="DY13" s="180">
        <v>3722</v>
      </c>
      <c r="DZ13" s="180">
        <v>442042</v>
      </c>
      <c r="EA13" s="180">
        <v>288</v>
      </c>
      <c r="EB13" s="180">
        <v>31520</v>
      </c>
      <c r="EC13" s="180">
        <v>4561</v>
      </c>
      <c r="ED13" s="180">
        <v>537563</v>
      </c>
      <c r="EE13" s="180">
        <v>311</v>
      </c>
      <c r="EF13" s="180">
        <v>50821</v>
      </c>
      <c r="EG13" s="180">
        <v>4324</v>
      </c>
      <c r="EH13" s="180">
        <v>666217</v>
      </c>
      <c r="EI13" s="180">
        <v>117582</v>
      </c>
      <c r="EJ13" s="180">
        <v>117582</v>
      </c>
      <c r="EK13" s="180">
        <v>13391</v>
      </c>
      <c r="EL13" s="181">
        <v>1706619</v>
      </c>
      <c r="EM13" s="179"/>
      <c r="EN13" s="180"/>
      <c r="EO13" s="180"/>
      <c r="EP13" s="180"/>
      <c r="EQ13" s="180"/>
      <c r="ER13" s="180"/>
      <c r="ES13" s="180"/>
      <c r="ET13" s="180"/>
      <c r="EU13" s="180"/>
      <c r="EV13" s="180"/>
      <c r="EW13" s="180"/>
      <c r="EX13" s="180"/>
      <c r="EY13" s="180"/>
      <c r="EZ13" s="180"/>
      <c r="FA13" s="180"/>
      <c r="FB13" s="180"/>
      <c r="FC13" s="180"/>
      <c r="FD13" s="180"/>
      <c r="FE13" s="180"/>
      <c r="FF13" s="181"/>
      <c r="FG13" s="179">
        <v>39</v>
      </c>
      <c r="FH13" s="180">
        <v>2951</v>
      </c>
      <c r="FI13" s="180">
        <v>1148</v>
      </c>
      <c r="FJ13" s="180">
        <v>90378</v>
      </c>
      <c r="FK13" s="180">
        <v>196</v>
      </c>
      <c r="FL13" s="180">
        <v>22942</v>
      </c>
      <c r="FM13" s="180">
        <v>4729</v>
      </c>
      <c r="FN13" s="180">
        <v>569805</v>
      </c>
      <c r="FO13" s="180">
        <v>187</v>
      </c>
      <c r="FP13" s="180">
        <v>18190</v>
      </c>
      <c r="FQ13" s="180">
        <v>5610</v>
      </c>
      <c r="FR13" s="180">
        <v>660725</v>
      </c>
      <c r="FS13" s="180">
        <v>278</v>
      </c>
      <c r="FT13" s="180">
        <v>45221</v>
      </c>
      <c r="FU13" s="180">
        <v>5688</v>
      </c>
      <c r="FV13" s="180">
        <v>881129</v>
      </c>
      <c r="FW13" s="180">
        <v>89304</v>
      </c>
      <c r="FX13" s="180">
        <v>89304</v>
      </c>
      <c r="FY13" s="180">
        <v>17176</v>
      </c>
      <c r="FZ13" s="181">
        <v>2202039</v>
      </c>
      <c r="GA13" s="179">
        <v>51</v>
      </c>
      <c r="GB13" s="180">
        <v>3726</v>
      </c>
      <c r="GC13" s="180">
        <v>1271</v>
      </c>
      <c r="GD13" s="180">
        <v>99671</v>
      </c>
      <c r="GE13" s="180">
        <v>164</v>
      </c>
      <c r="GF13" s="180">
        <v>19457</v>
      </c>
      <c r="GG13" s="180">
        <v>5316</v>
      </c>
      <c r="GH13" s="180">
        <v>637715</v>
      </c>
      <c r="GI13" s="180">
        <v>267</v>
      </c>
      <c r="GJ13" s="180">
        <v>36485</v>
      </c>
      <c r="GK13" s="180">
        <v>6335</v>
      </c>
      <c r="GL13" s="180">
        <v>745216</v>
      </c>
      <c r="GM13" s="180">
        <v>308</v>
      </c>
      <c r="GN13" s="180">
        <v>52901</v>
      </c>
      <c r="GO13" s="180">
        <v>6384</v>
      </c>
      <c r="GP13" s="180">
        <v>995561</v>
      </c>
      <c r="GQ13" s="180">
        <v>790</v>
      </c>
      <c r="GR13" s="180">
        <v>112571</v>
      </c>
      <c r="GS13" s="180">
        <v>19307</v>
      </c>
      <c r="GT13" s="181">
        <v>2478162</v>
      </c>
      <c r="GU13" s="179"/>
      <c r="GV13" s="180"/>
      <c r="GW13" s="180"/>
      <c r="GX13" s="180"/>
      <c r="GY13" s="180"/>
      <c r="GZ13" s="180"/>
      <c r="HA13" s="180"/>
      <c r="HB13" s="180"/>
      <c r="HC13" s="180"/>
      <c r="HD13" s="180"/>
      <c r="HE13" s="180"/>
      <c r="HF13" s="180"/>
      <c r="HG13" s="180"/>
      <c r="HH13" s="180"/>
      <c r="HI13" s="180"/>
      <c r="HJ13" s="180"/>
      <c r="HK13" s="180"/>
      <c r="HL13" s="180"/>
      <c r="HM13" s="180"/>
      <c r="HN13" s="181"/>
      <c r="HO13" s="179">
        <v>57</v>
      </c>
      <c r="HP13" s="180">
        <v>4329</v>
      </c>
      <c r="HQ13" s="180">
        <v>1567</v>
      </c>
      <c r="HR13" s="180">
        <v>120751</v>
      </c>
      <c r="HS13" s="180">
        <v>182</v>
      </c>
      <c r="HT13" s="180">
        <v>24431</v>
      </c>
      <c r="HU13" s="180">
        <v>6239</v>
      </c>
      <c r="HV13" s="180">
        <v>756748</v>
      </c>
      <c r="HW13" s="180">
        <v>198</v>
      </c>
      <c r="HX13" s="180">
        <v>24071</v>
      </c>
      <c r="HY13" s="180">
        <v>7527</v>
      </c>
      <c r="HZ13" s="180">
        <v>888443</v>
      </c>
      <c r="IA13" s="180">
        <v>305</v>
      </c>
      <c r="IB13" s="180">
        <v>52132</v>
      </c>
      <c r="IC13" s="180">
        <v>7961</v>
      </c>
      <c r="ID13" s="180">
        <v>1268577</v>
      </c>
      <c r="IE13" s="180">
        <v>743</v>
      </c>
      <c r="IF13" s="180">
        <v>104964</v>
      </c>
      <c r="IG13" s="180">
        <v>23294</v>
      </c>
      <c r="IH13" s="181">
        <v>3034519</v>
      </c>
    </row>
    <row r="14" spans="1:242">
      <c r="B14" s="175">
        <v>12</v>
      </c>
      <c r="C14" s="179"/>
      <c r="D14" s="180"/>
      <c r="E14" s="180"/>
      <c r="F14" s="180"/>
      <c r="G14" s="180"/>
      <c r="H14" s="180"/>
      <c r="I14" s="180"/>
      <c r="J14" s="180"/>
      <c r="K14" s="180"/>
      <c r="L14" s="180"/>
      <c r="M14" s="180"/>
      <c r="N14" s="180"/>
      <c r="O14" s="180"/>
      <c r="P14" s="180"/>
      <c r="Q14" s="180"/>
      <c r="R14" s="180"/>
      <c r="S14" s="180"/>
      <c r="T14" s="180"/>
      <c r="U14" s="180"/>
      <c r="V14" s="181"/>
      <c r="W14" s="179">
        <v>30</v>
      </c>
      <c r="X14" s="180">
        <v>2315</v>
      </c>
      <c r="Y14" s="180">
        <v>166</v>
      </c>
      <c r="Z14" s="180">
        <v>13141</v>
      </c>
      <c r="AA14" s="180">
        <v>250</v>
      </c>
      <c r="AB14" s="180">
        <v>26192</v>
      </c>
      <c r="AC14" s="180">
        <v>982</v>
      </c>
      <c r="AD14" s="180">
        <v>109519</v>
      </c>
      <c r="AE14" s="180">
        <v>249</v>
      </c>
      <c r="AF14" s="180">
        <v>33814</v>
      </c>
      <c r="AG14" s="180">
        <v>1044</v>
      </c>
      <c r="AH14" s="180">
        <v>139661</v>
      </c>
      <c r="AI14" s="180">
        <v>302</v>
      </c>
      <c r="AJ14" s="180">
        <v>47457</v>
      </c>
      <c r="AK14" s="180">
        <v>968</v>
      </c>
      <c r="AL14" s="180">
        <v>152396</v>
      </c>
      <c r="AM14" s="180">
        <v>109776</v>
      </c>
      <c r="AN14" s="180">
        <v>109776</v>
      </c>
      <c r="AO14" s="180">
        <v>3159</v>
      </c>
      <c r="AP14" s="181">
        <v>414716</v>
      </c>
      <c r="AQ14" s="179">
        <v>33</v>
      </c>
      <c r="AR14" s="180">
        <v>2517</v>
      </c>
      <c r="AS14" s="180">
        <v>284</v>
      </c>
      <c r="AT14" s="180">
        <v>21762</v>
      </c>
      <c r="AU14" s="180">
        <v>206</v>
      </c>
      <c r="AV14" s="180">
        <v>22127</v>
      </c>
      <c r="AW14" s="180">
        <v>1519</v>
      </c>
      <c r="AX14" s="180">
        <v>175459</v>
      </c>
      <c r="AY14" s="180">
        <v>288</v>
      </c>
      <c r="AZ14" s="180">
        <v>29402</v>
      </c>
      <c r="BA14" s="180">
        <v>1860</v>
      </c>
      <c r="BB14" s="180">
        <v>224951</v>
      </c>
      <c r="BC14" s="180">
        <v>276</v>
      </c>
      <c r="BD14" s="180">
        <v>41076</v>
      </c>
      <c r="BE14" s="180">
        <v>1598</v>
      </c>
      <c r="BF14" s="180">
        <v>250103</v>
      </c>
      <c r="BG14" s="180">
        <v>95121</v>
      </c>
      <c r="BH14" s="180">
        <v>95121</v>
      </c>
      <c r="BI14" s="180">
        <v>5260</v>
      </c>
      <c r="BJ14" s="181">
        <v>672275</v>
      </c>
      <c r="BK14" s="179">
        <v>68</v>
      </c>
      <c r="BL14" s="180">
        <v>5984</v>
      </c>
      <c r="BM14" s="180">
        <v>430</v>
      </c>
      <c r="BN14" s="180">
        <v>33461</v>
      </c>
      <c r="BO14" s="180">
        <v>232</v>
      </c>
      <c r="BP14" s="180">
        <v>29314</v>
      </c>
      <c r="BQ14" s="180">
        <v>2144</v>
      </c>
      <c r="BR14" s="180">
        <v>249027</v>
      </c>
      <c r="BS14" s="180">
        <v>276</v>
      </c>
      <c r="BT14" s="180">
        <v>33430</v>
      </c>
      <c r="BU14" s="180">
        <v>2681</v>
      </c>
      <c r="BV14" s="180">
        <v>311510</v>
      </c>
      <c r="BW14" s="180">
        <v>290</v>
      </c>
      <c r="BX14" s="180">
        <v>42180</v>
      </c>
      <c r="BY14" s="180">
        <v>2280</v>
      </c>
      <c r="BZ14" s="180">
        <v>352248</v>
      </c>
      <c r="CA14" s="180">
        <v>110908</v>
      </c>
      <c r="CB14" s="180">
        <v>110908</v>
      </c>
      <c r="CC14" s="180">
        <v>7535</v>
      </c>
      <c r="CD14" s="181">
        <v>946244</v>
      </c>
      <c r="CE14" s="179"/>
      <c r="CF14" s="180"/>
      <c r="CG14" s="180"/>
      <c r="CH14" s="180"/>
      <c r="CI14" s="180"/>
      <c r="CJ14" s="180"/>
      <c r="CK14" s="180"/>
      <c r="CL14" s="180"/>
      <c r="CM14" s="180"/>
      <c r="CN14" s="180"/>
      <c r="CO14" s="180"/>
      <c r="CP14" s="180"/>
      <c r="CQ14" s="180"/>
      <c r="CR14" s="180"/>
      <c r="CS14" s="180"/>
      <c r="CT14" s="180"/>
      <c r="CU14" s="180"/>
      <c r="CV14" s="180"/>
      <c r="CW14" s="180"/>
      <c r="CX14" s="181"/>
      <c r="CY14" s="179">
        <v>60</v>
      </c>
      <c r="CZ14" s="180">
        <v>5416</v>
      </c>
      <c r="DA14" s="180">
        <v>673</v>
      </c>
      <c r="DB14" s="180">
        <v>52453</v>
      </c>
      <c r="DC14" s="180">
        <v>246</v>
      </c>
      <c r="DD14" s="180">
        <v>26575</v>
      </c>
      <c r="DE14" s="180">
        <v>3170</v>
      </c>
      <c r="DF14" s="180">
        <v>371589</v>
      </c>
      <c r="DG14" s="180">
        <v>218</v>
      </c>
      <c r="DH14" s="180">
        <v>28308</v>
      </c>
      <c r="DI14" s="180">
        <v>3857</v>
      </c>
      <c r="DJ14" s="180">
        <v>453276</v>
      </c>
      <c r="DK14" s="180">
        <v>267</v>
      </c>
      <c r="DL14" s="180">
        <v>42423</v>
      </c>
      <c r="DM14" s="180">
        <v>3627</v>
      </c>
      <c r="DN14" s="180">
        <v>555976</v>
      </c>
      <c r="DO14" s="180">
        <v>102723</v>
      </c>
      <c r="DP14" s="180">
        <v>102723</v>
      </c>
      <c r="DQ14" s="180">
        <v>11327</v>
      </c>
      <c r="DR14" s="181">
        <v>1433295</v>
      </c>
      <c r="DS14" s="179">
        <v>53</v>
      </c>
      <c r="DT14" s="180">
        <v>3924</v>
      </c>
      <c r="DU14" s="180">
        <v>790</v>
      </c>
      <c r="DV14" s="180">
        <v>61101</v>
      </c>
      <c r="DW14" s="180">
        <v>242</v>
      </c>
      <c r="DX14" s="180">
        <v>34662</v>
      </c>
      <c r="DY14" s="180">
        <v>3748</v>
      </c>
      <c r="DZ14" s="180">
        <v>445083</v>
      </c>
      <c r="EA14" s="180">
        <v>344</v>
      </c>
      <c r="EB14" s="180">
        <v>36707</v>
      </c>
      <c r="EC14" s="180">
        <v>4618</v>
      </c>
      <c r="ED14" s="180">
        <v>542750</v>
      </c>
      <c r="EE14" s="180">
        <v>343</v>
      </c>
      <c r="EF14" s="180">
        <v>55540</v>
      </c>
      <c r="EG14" s="180">
        <v>4355</v>
      </c>
      <c r="EH14" s="180">
        <v>670938</v>
      </c>
      <c r="EI14" s="180">
        <v>130833</v>
      </c>
      <c r="EJ14" s="180">
        <v>130833</v>
      </c>
      <c r="EK14" s="180">
        <v>13511</v>
      </c>
      <c r="EL14" s="181">
        <v>1719872</v>
      </c>
      <c r="EM14" s="179">
        <v>88</v>
      </c>
      <c r="EN14" s="180">
        <v>7537</v>
      </c>
      <c r="EO14" s="180">
        <v>1012</v>
      </c>
      <c r="EP14" s="180">
        <v>79409</v>
      </c>
      <c r="EQ14" s="180">
        <v>172</v>
      </c>
      <c r="ER14" s="180">
        <v>21722</v>
      </c>
      <c r="ES14" s="180">
        <v>4210</v>
      </c>
      <c r="ET14" s="180">
        <v>502040</v>
      </c>
      <c r="EU14" s="180">
        <v>116</v>
      </c>
      <c r="EV14" s="180">
        <v>15487</v>
      </c>
      <c r="EW14" s="180">
        <v>5102</v>
      </c>
      <c r="EX14" s="180">
        <v>600092</v>
      </c>
      <c r="EY14" s="180">
        <v>260</v>
      </c>
      <c r="EZ14" s="180">
        <v>42120</v>
      </c>
      <c r="FA14" s="180">
        <v>5036</v>
      </c>
      <c r="FB14" s="180">
        <v>777815</v>
      </c>
      <c r="FC14" s="180">
        <v>86864</v>
      </c>
      <c r="FD14" s="180">
        <v>86864</v>
      </c>
      <c r="FE14" s="180">
        <v>15360</v>
      </c>
      <c r="FF14" s="181">
        <v>1959357</v>
      </c>
      <c r="FG14" s="179">
        <v>38</v>
      </c>
      <c r="FH14" s="180">
        <v>2838</v>
      </c>
      <c r="FI14" s="180">
        <v>1147</v>
      </c>
      <c r="FJ14" s="180">
        <v>90265</v>
      </c>
      <c r="FK14" s="180">
        <v>223</v>
      </c>
      <c r="FL14" s="180">
        <v>25270</v>
      </c>
      <c r="FM14" s="180">
        <v>4755</v>
      </c>
      <c r="FN14" s="180">
        <v>572135</v>
      </c>
      <c r="FO14" s="180">
        <v>217</v>
      </c>
      <c r="FP14" s="180">
        <v>21214</v>
      </c>
      <c r="FQ14" s="180">
        <v>5640</v>
      </c>
      <c r="FR14" s="180">
        <v>663750</v>
      </c>
      <c r="FS14" s="180">
        <v>316</v>
      </c>
      <c r="FT14" s="180">
        <v>50693</v>
      </c>
      <c r="FU14" s="180">
        <v>5726</v>
      </c>
      <c r="FV14" s="180">
        <v>886603</v>
      </c>
      <c r="FW14" s="180">
        <v>100016</v>
      </c>
      <c r="FX14" s="180">
        <v>100016</v>
      </c>
      <c r="FY14" s="180">
        <v>17269</v>
      </c>
      <c r="FZ14" s="181">
        <v>2212753</v>
      </c>
      <c r="GA14" s="179"/>
      <c r="GB14" s="180"/>
      <c r="GC14" s="180"/>
      <c r="GD14" s="180"/>
      <c r="GE14" s="180"/>
      <c r="GF14" s="180"/>
      <c r="GG14" s="180"/>
      <c r="GH14" s="180"/>
      <c r="GI14" s="180"/>
      <c r="GJ14" s="180"/>
      <c r="GK14" s="180"/>
      <c r="GL14" s="180"/>
      <c r="GM14" s="180"/>
      <c r="GN14" s="180"/>
      <c r="GO14" s="180"/>
      <c r="GP14" s="180"/>
      <c r="GQ14" s="180"/>
      <c r="GR14" s="180"/>
      <c r="GS14" s="180"/>
      <c r="GT14" s="181"/>
      <c r="GU14" s="179">
        <v>14</v>
      </c>
      <c r="GV14" s="180">
        <v>1071</v>
      </c>
      <c r="GW14" s="180">
        <v>1377</v>
      </c>
      <c r="GX14" s="180">
        <v>107001</v>
      </c>
      <c r="GY14" s="180">
        <v>133</v>
      </c>
      <c r="GZ14" s="180">
        <v>19570</v>
      </c>
      <c r="HA14" s="180">
        <v>5734</v>
      </c>
      <c r="HB14" s="180">
        <v>689685</v>
      </c>
      <c r="HC14" s="180">
        <v>158</v>
      </c>
      <c r="HD14" s="180">
        <v>20861</v>
      </c>
      <c r="HE14" s="180">
        <v>6938</v>
      </c>
      <c r="HF14" s="180">
        <v>821151</v>
      </c>
      <c r="HG14" s="180">
        <v>284</v>
      </c>
      <c r="HH14" s="180">
        <v>46003</v>
      </c>
      <c r="HI14" s="180">
        <v>7110</v>
      </c>
      <c r="HJ14" s="180">
        <v>1112365</v>
      </c>
      <c r="HK14" s="180">
        <v>591</v>
      </c>
      <c r="HL14" s="180">
        <v>87504</v>
      </c>
      <c r="HM14" s="180">
        <v>21159</v>
      </c>
      <c r="HN14" s="181">
        <v>2730203</v>
      </c>
      <c r="HO14" s="179">
        <v>57</v>
      </c>
      <c r="HP14" s="180">
        <v>4329</v>
      </c>
      <c r="HQ14" s="180">
        <v>1567</v>
      </c>
      <c r="HR14" s="180">
        <v>120751</v>
      </c>
      <c r="HS14" s="180">
        <v>195</v>
      </c>
      <c r="HT14" s="180">
        <v>26969</v>
      </c>
      <c r="HU14" s="180">
        <v>6253</v>
      </c>
      <c r="HV14" s="180">
        <v>759287</v>
      </c>
      <c r="HW14" s="180">
        <v>240</v>
      </c>
      <c r="HX14" s="180">
        <v>29881</v>
      </c>
      <c r="HY14" s="180">
        <v>7570</v>
      </c>
      <c r="HZ14" s="180">
        <v>894252</v>
      </c>
      <c r="IA14" s="180">
        <v>339</v>
      </c>
      <c r="IB14" s="180">
        <v>57378</v>
      </c>
      <c r="IC14" s="180">
        <v>7995</v>
      </c>
      <c r="ID14" s="180">
        <v>1273822</v>
      </c>
      <c r="IE14" s="180">
        <v>831</v>
      </c>
      <c r="IF14" s="180">
        <v>118556</v>
      </c>
      <c r="IG14" s="180">
        <v>23384</v>
      </c>
      <c r="IH14" s="181">
        <v>3048111</v>
      </c>
    </row>
    <row r="15" spans="1:242">
      <c r="B15" s="175">
        <v>13</v>
      </c>
      <c r="C15" s="179"/>
      <c r="D15" s="180"/>
      <c r="E15" s="180"/>
      <c r="F15" s="180"/>
      <c r="G15" s="180"/>
      <c r="H15" s="180"/>
      <c r="I15" s="180"/>
      <c r="J15" s="180"/>
      <c r="K15" s="180"/>
      <c r="L15" s="180"/>
      <c r="M15" s="180"/>
      <c r="N15" s="180"/>
      <c r="O15" s="180"/>
      <c r="P15" s="180"/>
      <c r="Q15" s="180"/>
      <c r="R15" s="180"/>
      <c r="S15" s="180"/>
      <c r="T15" s="180"/>
      <c r="U15" s="180"/>
      <c r="V15" s="181"/>
      <c r="W15" s="179">
        <v>40</v>
      </c>
      <c r="X15" s="180">
        <v>2926</v>
      </c>
      <c r="Y15" s="180">
        <v>176</v>
      </c>
      <c r="Z15" s="180">
        <v>13752</v>
      </c>
      <c r="AA15" s="180">
        <v>262</v>
      </c>
      <c r="AB15" s="180">
        <v>27035</v>
      </c>
      <c r="AC15" s="180">
        <v>994</v>
      </c>
      <c r="AD15" s="180">
        <v>110363</v>
      </c>
      <c r="AE15" s="180">
        <v>262</v>
      </c>
      <c r="AF15" s="180">
        <v>35266</v>
      </c>
      <c r="AG15" s="180">
        <v>1057</v>
      </c>
      <c r="AH15" s="180">
        <v>141112</v>
      </c>
      <c r="AI15" s="180">
        <v>327</v>
      </c>
      <c r="AJ15" s="180">
        <v>51610</v>
      </c>
      <c r="AK15" s="180">
        <v>992</v>
      </c>
      <c r="AL15" s="180">
        <v>156550</v>
      </c>
      <c r="AM15" s="180">
        <v>116836</v>
      </c>
      <c r="AN15" s="180">
        <v>116836</v>
      </c>
      <c r="AO15" s="180">
        <v>3219</v>
      </c>
      <c r="AP15" s="181">
        <v>421776</v>
      </c>
      <c r="AQ15" s="179">
        <v>36</v>
      </c>
      <c r="AR15" s="180">
        <v>2692</v>
      </c>
      <c r="AS15" s="180">
        <v>286</v>
      </c>
      <c r="AT15" s="180">
        <v>21937</v>
      </c>
      <c r="AU15" s="180">
        <v>230</v>
      </c>
      <c r="AV15" s="180">
        <v>25731</v>
      </c>
      <c r="AW15" s="180">
        <v>1544</v>
      </c>
      <c r="AX15" s="180">
        <v>179065</v>
      </c>
      <c r="AY15" s="180">
        <v>302</v>
      </c>
      <c r="AZ15" s="180">
        <v>31451</v>
      </c>
      <c r="BA15" s="180">
        <v>1874</v>
      </c>
      <c r="BB15" s="180">
        <v>226999</v>
      </c>
      <c r="BC15" s="180">
        <v>305</v>
      </c>
      <c r="BD15" s="180">
        <v>45452</v>
      </c>
      <c r="BE15" s="180">
        <v>1627</v>
      </c>
      <c r="BF15" s="180">
        <v>254480</v>
      </c>
      <c r="BG15" s="180">
        <v>105328</v>
      </c>
      <c r="BH15" s="180">
        <v>105328</v>
      </c>
      <c r="BI15" s="180">
        <v>5331</v>
      </c>
      <c r="BJ15" s="181">
        <v>682482</v>
      </c>
      <c r="BK15" s="179"/>
      <c r="BL15" s="180"/>
      <c r="BM15" s="180"/>
      <c r="BN15" s="180"/>
      <c r="BO15" s="180"/>
      <c r="BP15" s="180"/>
      <c r="BQ15" s="180"/>
      <c r="BR15" s="180"/>
      <c r="BS15" s="180"/>
      <c r="BT15" s="180"/>
      <c r="BU15" s="180"/>
      <c r="BV15" s="180"/>
      <c r="BW15" s="180"/>
      <c r="BX15" s="180"/>
      <c r="BY15" s="180"/>
      <c r="BZ15" s="180"/>
      <c r="CA15" s="180"/>
      <c r="CB15" s="180"/>
      <c r="CC15" s="180"/>
      <c r="CD15" s="181"/>
      <c r="CE15" s="179">
        <v>44</v>
      </c>
      <c r="CF15" s="180">
        <v>3428</v>
      </c>
      <c r="CG15" s="180">
        <v>554</v>
      </c>
      <c r="CH15" s="180">
        <v>43029</v>
      </c>
      <c r="CI15" s="180">
        <v>123</v>
      </c>
      <c r="CJ15" s="180">
        <v>13373</v>
      </c>
      <c r="CK15" s="180">
        <v>2535</v>
      </c>
      <c r="CL15" s="180">
        <v>294591</v>
      </c>
      <c r="CM15" s="180">
        <v>131</v>
      </c>
      <c r="CN15" s="180">
        <v>15097</v>
      </c>
      <c r="CO15" s="180">
        <v>3185</v>
      </c>
      <c r="CP15" s="180">
        <v>370840</v>
      </c>
      <c r="CQ15" s="180">
        <v>213</v>
      </c>
      <c r="CR15" s="180">
        <v>31155</v>
      </c>
      <c r="CS15" s="180">
        <v>2901</v>
      </c>
      <c r="CT15" s="180">
        <v>443139</v>
      </c>
      <c r="CU15" s="180">
        <v>63056</v>
      </c>
      <c r="CV15" s="180">
        <v>63056</v>
      </c>
      <c r="CW15" s="180">
        <v>9174</v>
      </c>
      <c r="CX15" s="181">
        <v>1151599</v>
      </c>
      <c r="CY15" s="179">
        <v>60</v>
      </c>
      <c r="CZ15" s="180">
        <v>5416</v>
      </c>
      <c r="DA15" s="180">
        <v>673</v>
      </c>
      <c r="DB15" s="180">
        <v>52453</v>
      </c>
      <c r="DC15" s="180">
        <v>277</v>
      </c>
      <c r="DD15" s="180">
        <v>30146</v>
      </c>
      <c r="DE15" s="180">
        <v>3200</v>
      </c>
      <c r="DF15" s="180">
        <v>375159</v>
      </c>
      <c r="DG15" s="180">
        <v>236</v>
      </c>
      <c r="DH15" s="180">
        <v>29454</v>
      </c>
      <c r="DI15" s="180">
        <v>3874</v>
      </c>
      <c r="DJ15" s="180">
        <v>454421</v>
      </c>
      <c r="DK15" s="180">
        <v>289</v>
      </c>
      <c r="DL15" s="180">
        <v>45382</v>
      </c>
      <c r="DM15" s="180">
        <v>3650</v>
      </c>
      <c r="DN15" s="180">
        <v>558936</v>
      </c>
      <c r="DO15" s="180">
        <v>110398</v>
      </c>
      <c r="DP15" s="180">
        <v>110398</v>
      </c>
      <c r="DQ15" s="180">
        <v>11397</v>
      </c>
      <c r="DR15" s="181">
        <v>1440970</v>
      </c>
      <c r="DS15" s="179"/>
      <c r="DT15" s="180"/>
      <c r="DU15" s="180"/>
      <c r="DV15" s="180"/>
      <c r="DW15" s="180"/>
      <c r="DX15" s="180"/>
      <c r="DY15" s="180"/>
      <c r="DZ15" s="180"/>
      <c r="EA15" s="180"/>
      <c r="EB15" s="180"/>
      <c r="EC15" s="180"/>
      <c r="ED15" s="180"/>
      <c r="EE15" s="180"/>
      <c r="EF15" s="180"/>
      <c r="EG15" s="180"/>
      <c r="EH15" s="180"/>
      <c r="EI15" s="180"/>
      <c r="EJ15" s="180"/>
      <c r="EK15" s="180"/>
      <c r="EL15" s="181"/>
      <c r="EM15" s="179">
        <v>91</v>
      </c>
      <c r="EN15" s="180">
        <v>7864</v>
      </c>
      <c r="EO15" s="180">
        <v>1015</v>
      </c>
      <c r="EP15" s="180">
        <v>79736</v>
      </c>
      <c r="EQ15" s="180">
        <v>206</v>
      </c>
      <c r="ER15" s="180">
        <v>25810</v>
      </c>
      <c r="ES15" s="180">
        <v>4243</v>
      </c>
      <c r="ET15" s="180">
        <v>506129</v>
      </c>
      <c r="EU15" s="180">
        <v>132</v>
      </c>
      <c r="EV15" s="180">
        <v>16811</v>
      </c>
      <c r="EW15" s="180">
        <v>5118</v>
      </c>
      <c r="EX15" s="180">
        <v>601417</v>
      </c>
      <c r="EY15" s="180">
        <v>285</v>
      </c>
      <c r="EZ15" s="180">
        <v>46208</v>
      </c>
      <c r="FA15" s="180">
        <v>5062</v>
      </c>
      <c r="FB15" s="180">
        <v>781903</v>
      </c>
      <c r="FC15" s="180">
        <v>96692</v>
      </c>
      <c r="FD15" s="180">
        <v>96692</v>
      </c>
      <c r="FE15" s="180">
        <v>15437</v>
      </c>
      <c r="FF15" s="181">
        <v>1969184</v>
      </c>
      <c r="FG15" s="179">
        <v>48</v>
      </c>
      <c r="FH15" s="180">
        <v>3724</v>
      </c>
      <c r="FI15" s="180">
        <v>1157</v>
      </c>
      <c r="FJ15" s="180">
        <v>91151</v>
      </c>
      <c r="FK15" s="180">
        <v>254</v>
      </c>
      <c r="FL15" s="180">
        <v>29176</v>
      </c>
      <c r="FM15" s="180">
        <v>4787</v>
      </c>
      <c r="FN15" s="180">
        <v>576040</v>
      </c>
      <c r="FO15" s="180">
        <v>278</v>
      </c>
      <c r="FP15" s="180">
        <v>28567</v>
      </c>
      <c r="FQ15" s="180">
        <v>5702</v>
      </c>
      <c r="FR15" s="180">
        <v>671103</v>
      </c>
      <c r="FS15" s="180">
        <v>351</v>
      </c>
      <c r="FT15" s="180">
        <v>56278</v>
      </c>
      <c r="FU15" s="180">
        <v>5761</v>
      </c>
      <c r="FV15" s="180">
        <v>892188</v>
      </c>
      <c r="FW15" s="180">
        <v>117745</v>
      </c>
      <c r="FX15" s="180">
        <v>117745</v>
      </c>
      <c r="FY15" s="180">
        <v>17407</v>
      </c>
      <c r="FZ15" s="181">
        <v>2230480</v>
      </c>
      <c r="GA15" s="179"/>
      <c r="GB15" s="180"/>
      <c r="GC15" s="180"/>
      <c r="GD15" s="180"/>
      <c r="GE15" s="180"/>
      <c r="GF15" s="180"/>
      <c r="GG15" s="180"/>
      <c r="GH15" s="180"/>
      <c r="GI15" s="180"/>
      <c r="GJ15" s="180"/>
      <c r="GK15" s="180"/>
      <c r="GL15" s="180"/>
      <c r="GM15" s="180"/>
      <c r="GN15" s="180"/>
      <c r="GO15" s="180"/>
      <c r="GP15" s="180"/>
      <c r="GQ15" s="180"/>
      <c r="GR15" s="180"/>
      <c r="GS15" s="180"/>
      <c r="GT15" s="181"/>
      <c r="GU15" s="179">
        <v>23</v>
      </c>
      <c r="GV15" s="180">
        <v>1609</v>
      </c>
      <c r="GW15" s="180">
        <v>1386</v>
      </c>
      <c r="GX15" s="180">
        <v>107539</v>
      </c>
      <c r="GY15" s="180">
        <v>151</v>
      </c>
      <c r="GZ15" s="180">
        <v>21071</v>
      </c>
      <c r="HA15" s="180">
        <v>5753</v>
      </c>
      <c r="HB15" s="180">
        <v>691186</v>
      </c>
      <c r="HC15" s="180">
        <v>178</v>
      </c>
      <c r="HD15" s="180">
        <v>22060</v>
      </c>
      <c r="HE15" s="180">
        <v>6958</v>
      </c>
      <c r="HF15" s="180">
        <v>822349</v>
      </c>
      <c r="HG15" s="180">
        <v>328</v>
      </c>
      <c r="HH15" s="180">
        <v>52861</v>
      </c>
      <c r="HI15" s="180">
        <v>7152</v>
      </c>
      <c r="HJ15" s="180">
        <v>1119222</v>
      </c>
      <c r="HK15" s="180">
        <v>680</v>
      </c>
      <c r="HL15" s="180">
        <v>97600</v>
      </c>
      <c r="HM15" s="180">
        <v>21249</v>
      </c>
      <c r="HN15" s="181">
        <v>2740300</v>
      </c>
      <c r="HO15" s="179">
        <v>66</v>
      </c>
      <c r="HP15" s="180">
        <v>5069</v>
      </c>
      <c r="HQ15" s="180">
        <v>1575</v>
      </c>
      <c r="HR15" s="180">
        <v>121491</v>
      </c>
      <c r="HS15" s="180">
        <v>217</v>
      </c>
      <c r="HT15" s="180">
        <v>30452</v>
      </c>
      <c r="HU15" s="180">
        <v>6274</v>
      </c>
      <c r="HV15" s="180">
        <v>762770</v>
      </c>
      <c r="HW15" s="180">
        <v>312</v>
      </c>
      <c r="HX15" s="180">
        <v>34181</v>
      </c>
      <c r="HY15" s="180">
        <v>7642</v>
      </c>
      <c r="HZ15" s="180">
        <v>898552</v>
      </c>
      <c r="IA15" s="180">
        <v>367</v>
      </c>
      <c r="IB15" s="180">
        <v>62161</v>
      </c>
      <c r="IC15" s="180">
        <v>8023</v>
      </c>
      <c r="ID15" s="180">
        <v>1278606</v>
      </c>
      <c r="IE15" s="180">
        <v>962</v>
      </c>
      <c r="IF15" s="180">
        <v>131863</v>
      </c>
      <c r="IG15" s="180">
        <v>23514</v>
      </c>
      <c r="IH15" s="181">
        <v>3061419</v>
      </c>
    </row>
    <row r="16" spans="1:242">
      <c r="B16" s="175">
        <v>14</v>
      </c>
      <c r="C16" s="179">
        <v>59</v>
      </c>
      <c r="D16" s="180">
        <v>4561</v>
      </c>
      <c r="E16" s="180">
        <v>59</v>
      </c>
      <c r="F16" s="180">
        <v>4561</v>
      </c>
      <c r="G16" s="180">
        <v>294</v>
      </c>
      <c r="H16" s="180">
        <v>29706</v>
      </c>
      <c r="I16" s="180">
        <v>294</v>
      </c>
      <c r="J16" s="180">
        <v>29706</v>
      </c>
      <c r="K16" s="180">
        <v>253</v>
      </c>
      <c r="L16" s="180">
        <v>36703</v>
      </c>
      <c r="M16" s="180">
        <v>253</v>
      </c>
      <c r="N16" s="180">
        <v>36703</v>
      </c>
      <c r="O16" s="180">
        <v>307</v>
      </c>
      <c r="P16" s="180">
        <v>46858</v>
      </c>
      <c r="Q16" s="180">
        <v>307</v>
      </c>
      <c r="R16" s="180">
        <v>46858</v>
      </c>
      <c r="S16" s="180">
        <v>117827</v>
      </c>
      <c r="T16" s="180">
        <v>117827</v>
      </c>
      <c r="U16" s="180">
        <v>913</v>
      </c>
      <c r="V16" s="181">
        <v>117827</v>
      </c>
      <c r="W16" s="179">
        <v>40</v>
      </c>
      <c r="X16" s="180">
        <v>2926</v>
      </c>
      <c r="Y16" s="180">
        <v>176</v>
      </c>
      <c r="Z16" s="180">
        <v>13752</v>
      </c>
      <c r="AA16" s="180">
        <v>278</v>
      </c>
      <c r="AB16" s="180">
        <v>30477</v>
      </c>
      <c r="AC16" s="180">
        <v>1011</v>
      </c>
      <c r="AD16" s="180">
        <v>113805</v>
      </c>
      <c r="AE16" s="180">
        <v>285</v>
      </c>
      <c r="AF16" s="180">
        <v>36313</v>
      </c>
      <c r="AG16" s="180">
        <v>1080</v>
      </c>
      <c r="AH16" s="180">
        <v>142159</v>
      </c>
      <c r="AI16" s="180">
        <v>366</v>
      </c>
      <c r="AJ16" s="180">
        <v>57374</v>
      </c>
      <c r="AK16" s="180">
        <v>1031</v>
      </c>
      <c r="AL16" s="180">
        <v>162313</v>
      </c>
      <c r="AM16" s="180">
        <v>127088</v>
      </c>
      <c r="AN16" s="180">
        <v>127088</v>
      </c>
      <c r="AO16" s="180">
        <v>3298</v>
      </c>
      <c r="AP16" s="181">
        <v>432029</v>
      </c>
      <c r="AQ16" s="179">
        <v>47</v>
      </c>
      <c r="AR16" s="180">
        <v>3668</v>
      </c>
      <c r="AS16" s="180">
        <v>297</v>
      </c>
      <c r="AT16" s="180">
        <v>22913</v>
      </c>
      <c r="AU16" s="180">
        <v>264</v>
      </c>
      <c r="AV16" s="180">
        <v>29629</v>
      </c>
      <c r="AW16" s="180">
        <v>1578</v>
      </c>
      <c r="AX16" s="180">
        <v>182963</v>
      </c>
      <c r="AY16" s="180">
        <v>366</v>
      </c>
      <c r="AZ16" s="180">
        <v>38409</v>
      </c>
      <c r="BA16" s="180">
        <v>1938</v>
      </c>
      <c r="BB16" s="180">
        <v>233957</v>
      </c>
      <c r="BC16" s="180">
        <v>332</v>
      </c>
      <c r="BD16" s="180">
        <v>48984</v>
      </c>
      <c r="BE16" s="180">
        <v>1654</v>
      </c>
      <c r="BF16" s="180">
        <v>258012</v>
      </c>
      <c r="BG16" s="180">
        <v>120690</v>
      </c>
      <c r="BH16" s="180">
        <v>120690</v>
      </c>
      <c r="BI16" s="180">
        <v>5467</v>
      </c>
      <c r="BJ16" s="181">
        <v>697844</v>
      </c>
      <c r="BK16" s="179"/>
      <c r="BL16" s="180"/>
      <c r="BM16" s="180"/>
      <c r="BN16" s="180"/>
      <c r="BO16" s="180"/>
      <c r="BP16" s="180"/>
      <c r="BQ16" s="180"/>
      <c r="BR16" s="180"/>
      <c r="BS16" s="180"/>
      <c r="BT16" s="180"/>
      <c r="BU16" s="180"/>
      <c r="BV16" s="180"/>
      <c r="BW16" s="180"/>
      <c r="BX16" s="180"/>
      <c r="BY16" s="180"/>
      <c r="BZ16" s="180"/>
      <c r="CA16" s="180"/>
      <c r="CB16" s="180"/>
      <c r="CC16" s="180"/>
      <c r="CD16" s="181"/>
      <c r="CE16" s="179">
        <v>44</v>
      </c>
      <c r="CF16" s="180">
        <v>3428</v>
      </c>
      <c r="CG16" s="180">
        <v>554</v>
      </c>
      <c r="CH16" s="180">
        <v>43029</v>
      </c>
      <c r="CI16" s="180">
        <v>137</v>
      </c>
      <c r="CJ16" s="180">
        <v>14614</v>
      </c>
      <c r="CK16" s="180">
        <v>2548</v>
      </c>
      <c r="CL16" s="180">
        <v>295831</v>
      </c>
      <c r="CM16" s="180">
        <v>138</v>
      </c>
      <c r="CN16" s="180">
        <v>15816</v>
      </c>
      <c r="CO16" s="180">
        <v>3192</v>
      </c>
      <c r="CP16" s="180">
        <v>371559</v>
      </c>
      <c r="CQ16" s="180">
        <v>267</v>
      </c>
      <c r="CR16" s="180">
        <v>39356</v>
      </c>
      <c r="CS16" s="180">
        <v>2955</v>
      </c>
      <c r="CT16" s="180">
        <v>451339</v>
      </c>
      <c r="CU16" s="180">
        <v>73214</v>
      </c>
      <c r="CV16" s="180">
        <v>73214</v>
      </c>
      <c r="CW16" s="180">
        <v>9248</v>
      </c>
      <c r="CX16" s="181">
        <v>1161759</v>
      </c>
      <c r="CY16" s="179">
        <v>62</v>
      </c>
      <c r="CZ16" s="180">
        <v>5533</v>
      </c>
      <c r="DA16" s="180">
        <v>676</v>
      </c>
      <c r="DB16" s="180">
        <v>52569</v>
      </c>
      <c r="DC16" s="180">
        <v>320</v>
      </c>
      <c r="DD16" s="180">
        <v>35086</v>
      </c>
      <c r="DE16" s="180">
        <v>3243</v>
      </c>
      <c r="DF16" s="180">
        <v>380102</v>
      </c>
      <c r="DG16" s="180">
        <v>263</v>
      </c>
      <c r="DH16" s="180">
        <v>36296</v>
      </c>
      <c r="DI16" s="180">
        <v>3901</v>
      </c>
      <c r="DJ16" s="180">
        <v>461264</v>
      </c>
      <c r="DK16" s="180">
        <v>324</v>
      </c>
      <c r="DL16" s="180">
        <v>51179</v>
      </c>
      <c r="DM16" s="180">
        <v>3685</v>
      </c>
      <c r="DN16" s="180">
        <v>564734</v>
      </c>
      <c r="DO16" s="180">
        <v>128094</v>
      </c>
      <c r="DP16" s="180">
        <v>128094</v>
      </c>
      <c r="DQ16" s="180">
        <v>11504</v>
      </c>
      <c r="DR16" s="181">
        <v>1458667</v>
      </c>
      <c r="DS16" s="179"/>
      <c r="DT16" s="180"/>
      <c r="DU16" s="180"/>
      <c r="DV16" s="180"/>
      <c r="DW16" s="180"/>
      <c r="DX16" s="180"/>
      <c r="DY16" s="180"/>
      <c r="DZ16" s="180"/>
      <c r="EA16" s="180"/>
      <c r="EB16" s="180"/>
      <c r="EC16" s="180"/>
      <c r="ED16" s="180"/>
      <c r="EE16" s="180"/>
      <c r="EF16" s="180"/>
      <c r="EG16" s="180"/>
      <c r="EH16" s="180"/>
      <c r="EI16" s="180"/>
      <c r="EJ16" s="180"/>
      <c r="EK16" s="180"/>
      <c r="EL16" s="181"/>
      <c r="EM16" s="179">
        <v>96</v>
      </c>
      <c r="EN16" s="180">
        <v>8312</v>
      </c>
      <c r="EO16" s="180">
        <v>1020</v>
      </c>
      <c r="EP16" s="180">
        <v>80184</v>
      </c>
      <c r="EQ16" s="180">
        <v>225</v>
      </c>
      <c r="ER16" s="180">
        <v>29193</v>
      </c>
      <c r="ES16" s="180">
        <v>4263</v>
      </c>
      <c r="ET16" s="180">
        <v>509511</v>
      </c>
      <c r="EU16" s="180">
        <v>145</v>
      </c>
      <c r="EV16" s="180">
        <v>18107</v>
      </c>
      <c r="EW16" s="180">
        <v>5131</v>
      </c>
      <c r="EX16" s="180">
        <v>602712</v>
      </c>
      <c r="EY16" s="180">
        <v>320</v>
      </c>
      <c r="EZ16" s="180">
        <v>51619</v>
      </c>
      <c r="FA16" s="180">
        <v>5096</v>
      </c>
      <c r="FB16" s="180">
        <v>787312</v>
      </c>
      <c r="FC16" s="180">
        <v>107230</v>
      </c>
      <c r="FD16" s="180">
        <v>107230</v>
      </c>
      <c r="FE16" s="180">
        <v>15511</v>
      </c>
      <c r="FF16" s="181">
        <v>1979721</v>
      </c>
      <c r="FG16" s="179"/>
      <c r="FH16" s="180"/>
      <c r="FI16" s="180"/>
      <c r="FJ16" s="180"/>
      <c r="FK16" s="180"/>
      <c r="FL16" s="180"/>
      <c r="FM16" s="180"/>
      <c r="FN16" s="180"/>
      <c r="FO16" s="180"/>
      <c r="FP16" s="180"/>
      <c r="FQ16" s="180"/>
      <c r="FR16" s="180"/>
      <c r="FS16" s="180"/>
      <c r="FT16" s="180"/>
      <c r="FU16" s="180"/>
      <c r="FV16" s="180"/>
      <c r="FW16" s="180"/>
      <c r="FX16" s="180"/>
      <c r="FY16" s="180"/>
      <c r="FZ16" s="181"/>
      <c r="GA16" s="179">
        <v>74</v>
      </c>
      <c r="GB16" s="180">
        <v>5083</v>
      </c>
      <c r="GC16" s="180">
        <v>1294</v>
      </c>
      <c r="GD16" s="180">
        <v>101027</v>
      </c>
      <c r="GE16" s="180">
        <v>190</v>
      </c>
      <c r="GF16" s="180">
        <v>21082</v>
      </c>
      <c r="GG16" s="180">
        <v>5343</v>
      </c>
      <c r="GH16" s="180">
        <v>639339</v>
      </c>
      <c r="GI16" s="180">
        <v>284</v>
      </c>
      <c r="GJ16" s="180">
        <v>37655</v>
      </c>
      <c r="GK16" s="180">
        <v>6353</v>
      </c>
      <c r="GL16" s="180">
        <v>746387</v>
      </c>
      <c r="GM16" s="180">
        <v>346</v>
      </c>
      <c r="GN16" s="180">
        <v>58789</v>
      </c>
      <c r="GO16" s="180">
        <v>6422</v>
      </c>
      <c r="GP16" s="180">
        <v>1001449</v>
      </c>
      <c r="GQ16" s="180">
        <v>894</v>
      </c>
      <c r="GR16" s="180">
        <v>122610</v>
      </c>
      <c r="GS16" s="180">
        <v>19411</v>
      </c>
      <c r="GT16" s="181">
        <v>2488204</v>
      </c>
      <c r="GU16" s="179">
        <v>31</v>
      </c>
      <c r="GV16" s="180">
        <v>2072</v>
      </c>
      <c r="GW16" s="180">
        <v>1394</v>
      </c>
      <c r="GX16" s="180">
        <v>108001</v>
      </c>
      <c r="GY16" s="180">
        <v>165</v>
      </c>
      <c r="GZ16" s="180">
        <v>22573</v>
      </c>
      <c r="HA16" s="180">
        <v>5767</v>
      </c>
      <c r="HB16" s="180">
        <v>692689</v>
      </c>
      <c r="HC16" s="180">
        <v>214</v>
      </c>
      <c r="HD16" s="180">
        <v>26753</v>
      </c>
      <c r="HE16" s="180">
        <v>6993</v>
      </c>
      <c r="HF16" s="180">
        <v>827043</v>
      </c>
      <c r="HG16" s="180">
        <v>362</v>
      </c>
      <c r="HH16" s="180">
        <v>58174</v>
      </c>
      <c r="HI16" s="180">
        <v>7187</v>
      </c>
      <c r="HJ16" s="180">
        <v>1124537</v>
      </c>
      <c r="HK16" s="180">
        <v>772</v>
      </c>
      <c r="HL16" s="180">
        <v>109573</v>
      </c>
      <c r="HM16" s="180">
        <v>21340</v>
      </c>
      <c r="HN16" s="181">
        <v>2752271</v>
      </c>
      <c r="HO16" s="179"/>
      <c r="HP16" s="180"/>
      <c r="HQ16" s="180"/>
      <c r="HR16" s="180"/>
      <c r="HS16" s="180"/>
      <c r="HT16" s="180"/>
      <c r="HU16" s="180"/>
      <c r="HV16" s="180"/>
      <c r="HW16" s="180"/>
      <c r="HX16" s="180"/>
      <c r="HY16" s="180"/>
      <c r="HZ16" s="180"/>
      <c r="IA16" s="180"/>
      <c r="IB16" s="180"/>
      <c r="IC16" s="180"/>
      <c r="ID16" s="180"/>
      <c r="IE16" s="180"/>
      <c r="IF16" s="180"/>
      <c r="IG16" s="180"/>
      <c r="IH16" s="181"/>
    </row>
    <row r="17" spans="2:242">
      <c r="B17" s="175">
        <v>15</v>
      </c>
      <c r="C17" s="179">
        <v>59</v>
      </c>
      <c r="D17" s="180">
        <v>4561</v>
      </c>
      <c r="E17" s="180">
        <v>59</v>
      </c>
      <c r="F17" s="180">
        <v>4561</v>
      </c>
      <c r="G17" s="180">
        <v>341</v>
      </c>
      <c r="H17" s="180">
        <v>35563</v>
      </c>
      <c r="I17" s="180">
        <v>341</v>
      </c>
      <c r="J17" s="180">
        <v>35563</v>
      </c>
      <c r="K17" s="180">
        <v>265</v>
      </c>
      <c r="L17" s="180">
        <v>38258</v>
      </c>
      <c r="M17" s="180">
        <v>265</v>
      </c>
      <c r="N17" s="180">
        <v>38258</v>
      </c>
      <c r="O17" s="180">
        <v>330</v>
      </c>
      <c r="P17" s="180">
        <v>50965</v>
      </c>
      <c r="Q17" s="180">
        <v>330</v>
      </c>
      <c r="R17" s="180">
        <v>50965</v>
      </c>
      <c r="S17" s="180">
        <v>129346</v>
      </c>
      <c r="T17" s="180">
        <v>129346</v>
      </c>
      <c r="U17" s="180">
        <v>995</v>
      </c>
      <c r="V17" s="181">
        <v>129346</v>
      </c>
      <c r="W17" s="179">
        <v>46</v>
      </c>
      <c r="X17" s="180">
        <v>3311</v>
      </c>
      <c r="Y17" s="180">
        <v>183</v>
      </c>
      <c r="Z17" s="180">
        <v>14137</v>
      </c>
      <c r="AA17" s="180">
        <v>337</v>
      </c>
      <c r="AB17" s="180">
        <v>37613</v>
      </c>
      <c r="AC17" s="180">
        <v>1069</v>
      </c>
      <c r="AD17" s="180">
        <v>120942</v>
      </c>
      <c r="AE17" s="180">
        <v>345</v>
      </c>
      <c r="AF17" s="180">
        <v>42534</v>
      </c>
      <c r="AG17" s="180">
        <v>1140</v>
      </c>
      <c r="AH17" s="180">
        <v>148380</v>
      </c>
      <c r="AI17" s="180">
        <v>407</v>
      </c>
      <c r="AJ17" s="180">
        <v>64573</v>
      </c>
      <c r="AK17" s="180">
        <v>1071</v>
      </c>
      <c r="AL17" s="180">
        <v>169512</v>
      </c>
      <c r="AM17" s="180">
        <v>148029</v>
      </c>
      <c r="AN17" s="180">
        <v>148029</v>
      </c>
      <c r="AO17" s="180">
        <v>3463</v>
      </c>
      <c r="AP17" s="181">
        <v>452969</v>
      </c>
      <c r="AQ17" s="179">
        <v>54</v>
      </c>
      <c r="AR17" s="180">
        <v>4348</v>
      </c>
      <c r="AS17" s="180">
        <v>304</v>
      </c>
      <c r="AT17" s="180">
        <v>23593</v>
      </c>
      <c r="AU17" s="180">
        <v>296</v>
      </c>
      <c r="AV17" s="180">
        <v>32770</v>
      </c>
      <c r="AW17" s="180">
        <v>1609</v>
      </c>
      <c r="AX17" s="180">
        <v>186103</v>
      </c>
      <c r="AY17" s="180">
        <v>366</v>
      </c>
      <c r="AZ17" s="180">
        <v>38409</v>
      </c>
      <c r="BA17" s="180">
        <v>1938</v>
      </c>
      <c r="BB17" s="180">
        <v>233957</v>
      </c>
      <c r="BC17" s="180">
        <v>364</v>
      </c>
      <c r="BD17" s="180">
        <v>53915</v>
      </c>
      <c r="BE17" s="180">
        <v>1686</v>
      </c>
      <c r="BF17" s="180">
        <v>262942</v>
      </c>
      <c r="BG17" s="180">
        <v>129444</v>
      </c>
      <c r="BH17" s="180">
        <v>129444</v>
      </c>
      <c r="BI17" s="180">
        <v>5538</v>
      </c>
      <c r="BJ17" s="181">
        <v>706597</v>
      </c>
      <c r="BK17" s="179">
        <v>77</v>
      </c>
      <c r="BL17" s="180">
        <v>6410</v>
      </c>
      <c r="BM17" s="180">
        <v>439</v>
      </c>
      <c r="BN17" s="180">
        <v>33886</v>
      </c>
      <c r="BO17" s="180">
        <v>255</v>
      </c>
      <c r="BP17" s="180">
        <v>31900</v>
      </c>
      <c r="BQ17" s="180">
        <v>2167</v>
      </c>
      <c r="BR17" s="180">
        <v>251614</v>
      </c>
      <c r="BS17" s="180">
        <v>298</v>
      </c>
      <c r="BT17" s="180">
        <v>36280</v>
      </c>
      <c r="BU17" s="180">
        <v>2704</v>
      </c>
      <c r="BV17" s="180">
        <v>314360</v>
      </c>
      <c r="BW17" s="180">
        <v>325</v>
      </c>
      <c r="BX17" s="180">
        <v>47723</v>
      </c>
      <c r="BY17" s="180">
        <v>2315</v>
      </c>
      <c r="BZ17" s="180">
        <v>357790</v>
      </c>
      <c r="CA17" s="180">
        <v>122312</v>
      </c>
      <c r="CB17" s="180">
        <v>122312</v>
      </c>
      <c r="CC17" s="180">
        <v>7625</v>
      </c>
      <c r="CD17" s="181">
        <v>957650</v>
      </c>
      <c r="CE17" s="179">
        <v>58</v>
      </c>
      <c r="CF17" s="180">
        <v>4330</v>
      </c>
      <c r="CG17" s="180">
        <v>568</v>
      </c>
      <c r="CH17" s="180">
        <v>43930</v>
      </c>
      <c r="CI17" s="180">
        <v>192</v>
      </c>
      <c r="CJ17" s="180">
        <v>21412</v>
      </c>
      <c r="CK17" s="180">
        <v>2603</v>
      </c>
      <c r="CL17" s="180">
        <v>302629</v>
      </c>
      <c r="CM17" s="180">
        <v>163</v>
      </c>
      <c r="CN17" s="180">
        <v>18089</v>
      </c>
      <c r="CO17" s="180">
        <v>3218</v>
      </c>
      <c r="CP17" s="180">
        <v>373832</v>
      </c>
      <c r="CQ17" s="180">
        <v>303</v>
      </c>
      <c r="CR17" s="180">
        <v>44381</v>
      </c>
      <c r="CS17" s="180">
        <v>2991</v>
      </c>
      <c r="CT17" s="180">
        <v>456365</v>
      </c>
      <c r="CU17" s="180">
        <v>88214</v>
      </c>
      <c r="CV17" s="180">
        <v>88214</v>
      </c>
      <c r="CW17" s="180">
        <v>9378</v>
      </c>
      <c r="CX17" s="181">
        <v>1176757</v>
      </c>
      <c r="CY17" s="179"/>
      <c r="CZ17" s="180"/>
      <c r="DA17" s="180"/>
      <c r="DB17" s="180"/>
      <c r="DC17" s="180"/>
      <c r="DD17" s="180"/>
      <c r="DE17" s="180"/>
      <c r="DF17" s="180"/>
      <c r="DG17" s="180"/>
      <c r="DH17" s="180"/>
      <c r="DI17" s="180"/>
      <c r="DJ17" s="180"/>
      <c r="DK17" s="180"/>
      <c r="DL17" s="180"/>
      <c r="DM17" s="180"/>
      <c r="DN17" s="180"/>
      <c r="DO17" s="180"/>
      <c r="DP17" s="180"/>
      <c r="DQ17" s="180"/>
      <c r="DR17" s="181"/>
      <c r="DS17" s="179">
        <v>93</v>
      </c>
      <c r="DT17" s="180">
        <v>7221</v>
      </c>
      <c r="DU17" s="180">
        <v>830</v>
      </c>
      <c r="DV17" s="180">
        <v>64398</v>
      </c>
      <c r="DW17" s="180">
        <v>267</v>
      </c>
      <c r="DX17" s="180">
        <v>37654</v>
      </c>
      <c r="DY17" s="180">
        <v>3773</v>
      </c>
      <c r="DZ17" s="180">
        <v>448075</v>
      </c>
      <c r="EA17" s="180">
        <v>391</v>
      </c>
      <c r="EB17" s="180">
        <v>42862</v>
      </c>
      <c r="EC17" s="180">
        <v>4665</v>
      </c>
      <c r="ED17" s="180">
        <v>548905</v>
      </c>
      <c r="EE17" s="180">
        <v>362</v>
      </c>
      <c r="EF17" s="180">
        <v>58978</v>
      </c>
      <c r="EG17" s="180">
        <v>4375</v>
      </c>
      <c r="EH17" s="180">
        <v>674376</v>
      </c>
      <c r="EI17" s="180">
        <v>146717</v>
      </c>
      <c r="EJ17" s="180">
        <v>146717</v>
      </c>
      <c r="EK17" s="180">
        <v>13642</v>
      </c>
      <c r="EL17" s="181">
        <v>1735755</v>
      </c>
      <c r="EM17" s="179"/>
      <c r="EN17" s="180"/>
      <c r="EO17" s="180"/>
      <c r="EP17" s="180"/>
      <c r="EQ17" s="180"/>
      <c r="ER17" s="180"/>
      <c r="ES17" s="180"/>
      <c r="ET17" s="180"/>
      <c r="EU17" s="180"/>
      <c r="EV17" s="180"/>
      <c r="EW17" s="180"/>
      <c r="EX17" s="180"/>
      <c r="EY17" s="180"/>
      <c r="EZ17" s="180"/>
      <c r="FA17" s="180"/>
      <c r="FB17" s="180"/>
      <c r="FC17" s="180"/>
      <c r="FD17" s="180"/>
      <c r="FE17" s="180"/>
      <c r="FF17" s="181"/>
      <c r="FG17" s="179"/>
      <c r="FH17" s="180"/>
      <c r="FI17" s="180"/>
      <c r="FJ17" s="180"/>
      <c r="FK17" s="180"/>
      <c r="FL17" s="180"/>
      <c r="FM17" s="180"/>
      <c r="FN17" s="180"/>
      <c r="FO17" s="180"/>
      <c r="FP17" s="180"/>
      <c r="FQ17" s="180"/>
      <c r="FR17" s="180"/>
      <c r="FS17" s="180"/>
      <c r="FT17" s="180"/>
      <c r="FU17" s="180"/>
      <c r="FV17" s="180"/>
      <c r="FW17" s="180"/>
      <c r="FX17" s="180"/>
      <c r="FY17" s="180"/>
      <c r="FZ17" s="181"/>
      <c r="GA17" s="179">
        <v>74</v>
      </c>
      <c r="GB17" s="180">
        <v>5083</v>
      </c>
      <c r="GC17" s="180">
        <v>1294</v>
      </c>
      <c r="GD17" s="180">
        <v>101027</v>
      </c>
      <c r="GE17" s="180">
        <v>214</v>
      </c>
      <c r="GF17" s="180">
        <v>23288</v>
      </c>
      <c r="GG17" s="180">
        <v>5367</v>
      </c>
      <c r="GH17" s="180">
        <v>641545</v>
      </c>
      <c r="GI17" s="180">
        <v>288</v>
      </c>
      <c r="GJ17" s="180">
        <v>38362</v>
      </c>
      <c r="GK17" s="180">
        <v>6357</v>
      </c>
      <c r="GL17" s="180">
        <v>747093</v>
      </c>
      <c r="GM17" s="180">
        <v>380</v>
      </c>
      <c r="GN17" s="180">
        <v>63603</v>
      </c>
      <c r="GO17" s="180">
        <v>6456</v>
      </c>
      <c r="GP17" s="180">
        <v>1006262</v>
      </c>
      <c r="GQ17" s="180">
        <v>957</v>
      </c>
      <c r="GR17" s="180">
        <v>130335</v>
      </c>
      <c r="GS17" s="180">
        <v>19474</v>
      </c>
      <c r="GT17" s="181">
        <v>2495928</v>
      </c>
      <c r="GU17" s="179">
        <v>47</v>
      </c>
      <c r="GV17" s="180">
        <v>2924</v>
      </c>
      <c r="GW17" s="180">
        <v>1410</v>
      </c>
      <c r="GX17" s="180">
        <v>108853</v>
      </c>
      <c r="GY17" s="180">
        <v>187</v>
      </c>
      <c r="GZ17" s="180">
        <v>25706</v>
      </c>
      <c r="HA17" s="180">
        <v>5789</v>
      </c>
      <c r="HB17" s="180">
        <v>695822</v>
      </c>
      <c r="HC17" s="180">
        <v>226</v>
      </c>
      <c r="HD17" s="180">
        <v>28846</v>
      </c>
      <c r="HE17" s="180">
        <v>7005</v>
      </c>
      <c r="HF17" s="180">
        <v>829136</v>
      </c>
      <c r="HG17" s="180">
        <v>414</v>
      </c>
      <c r="HH17" s="180">
        <v>65783</v>
      </c>
      <c r="HI17" s="180">
        <v>7238</v>
      </c>
      <c r="HJ17" s="180">
        <v>1132146</v>
      </c>
      <c r="HK17" s="180">
        <v>873</v>
      </c>
      <c r="HL17" s="180">
        <v>123259</v>
      </c>
      <c r="HM17" s="180">
        <v>21441</v>
      </c>
      <c r="HN17" s="181">
        <v>2765958</v>
      </c>
      <c r="HO17" s="179"/>
      <c r="HP17" s="180"/>
      <c r="HQ17" s="180"/>
      <c r="HR17" s="180"/>
      <c r="HS17" s="180"/>
      <c r="HT17" s="180"/>
      <c r="HU17" s="180"/>
      <c r="HV17" s="180"/>
      <c r="HW17" s="180"/>
      <c r="HX17" s="180"/>
      <c r="HY17" s="180"/>
      <c r="HZ17" s="180"/>
      <c r="IA17" s="180"/>
      <c r="IB17" s="180"/>
      <c r="IC17" s="180"/>
      <c r="ID17" s="180"/>
      <c r="IE17" s="180"/>
      <c r="IF17" s="180"/>
      <c r="IG17" s="180"/>
      <c r="IH17" s="181"/>
    </row>
    <row r="18" spans="2:242">
      <c r="B18" s="175">
        <v>16</v>
      </c>
      <c r="C18" s="179">
        <v>67</v>
      </c>
      <c r="D18" s="180">
        <v>5071</v>
      </c>
      <c r="E18" s="180">
        <v>67</v>
      </c>
      <c r="F18" s="180">
        <v>5071</v>
      </c>
      <c r="G18" s="180">
        <v>357</v>
      </c>
      <c r="H18" s="180">
        <v>37006</v>
      </c>
      <c r="I18" s="180">
        <v>357</v>
      </c>
      <c r="J18" s="180">
        <v>37006</v>
      </c>
      <c r="K18" s="180">
        <v>304</v>
      </c>
      <c r="L18" s="180">
        <v>43554</v>
      </c>
      <c r="M18" s="180">
        <v>304</v>
      </c>
      <c r="N18" s="180">
        <v>43554</v>
      </c>
      <c r="O18" s="180">
        <v>371</v>
      </c>
      <c r="P18" s="180">
        <v>56918</v>
      </c>
      <c r="Q18" s="180">
        <v>371</v>
      </c>
      <c r="R18" s="180">
        <v>56918</v>
      </c>
      <c r="S18" s="180">
        <v>142551</v>
      </c>
      <c r="T18" s="180">
        <v>142551</v>
      </c>
      <c r="U18" s="180">
        <v>1099</v>
      </c>
      <c r="V18" s="181">
        <v>142551</v>
      </c>
      <c r="W18" s="179"/>
      <c r="X18" s="180"/>
      <c r="Y18" s="180"/>
      <c r="Z18" s="180"/>
      <c r="AA18" s="180"/>
      <c r="AB18" s="180"/>
      <c r="AC18" s="180"/>
      <c r="AD18" s="180"/>
      <c r="AE18" s="180"/>
      <c r="AF18" s="180"/>
      <c r="AG18" s="180"/>
      <c r="AH18" s="180"/>
      <c r="AI18" s="180"/>
      <c r="AJ18" s="180"/>
      <c r="AK18" s="180"/>
      <c r="AL18" s="180"/>
      <c r="AM18" s="180"/>
      <c r="AN18" s="180"/>
      <c r="AO18" s="180"/>
      <c r="AP18" s="181"/>
      <c r="AQ18" s="179"/>
      <c r="AR18" s="180"/>
      <c r="AS18" s="180"/>
      <c r="AT18" s="180"/>
      <c r="AU18" s="180"/>
      <c r="AV18" s="180"/>
      <c r="AW18" s="180"/>
      <c r="AX18" s="180"/>
      <c r="AY18" s="180"/>
      <c r="AZ18" s="180"/>
      <c r="BA18" s="180"/>
      <c r="BB18" s="180"/>
      <c r="BC18" s="180"/>
      <c r="BD18" s="180"/>
      <c r="BE18" s="180"/>
      <c r="BF18" s="180"/>
      <c r="BG18" s="180"/>
      <c r="BH18" s="180"/>
      <c r="BI18" s="180"/>
      <c r="BJ18" s="181"/>
      <c r="BK18" s="179">
        <v>80</v>
      </c>
      <c r="BL18" s="180">
        <v>6562</v>
      </c>
      <c r="BM18" s="180">
        <v>441</v>
      </c>
      <c r="BN18" s="180">
        <v>34038</v>
      </c>
      <c r="BO18" s="180">
        <v>270</v>
      </c>
      <c r="BP18" s="180">
        <v>33844</v>
      </c>
      <c r="BQ18" s="180">
        <v>2181</v>
      </c>
      <c r="BR18" s="180">
        <v>253559</v>
      </c>
      <c r="BS18" s="180">
        <v>320</v>
      </c>
      <c r="BT18" s="180">
        <v>37783</v>
      </c>
      <c r="BU18" s="180">
        <v>2726</v>
      </c>
      <c r="BV18" s="180">
        <v>315864</v>
      </c>
      <c r="BW18" s="180">
        <v>355</v>
      </c>
      <c r="BX18" s="180">
        <v>51879</v>
      </c>
      <c r="BY18" s="180">
        <v>2345</v>
      </c>
      <c r="BZ18" s="180">
        <v>361947</v>
      </c>
      <c r="CA18" s="180">
        <v>130070</v>
      </c>
      <c r="CB18" s="180">
        <v>130070</v>
      </c>
      <c r="CC18" s="180">
        <v>7693</v>
      </c>
      <c r="CD18" s="181">
        <v>965407</v>
      </c>
      <c r="CE18" s="179">
        <v>67</v>
      </c>
      <c r="CF18" s="180">
        <v>5040</v>
      </c>
      <c r="CG18" s="180">
        <v>576</v>
      </c>
      <c r="CH18" s="180">
        <v>44640</v>
      </c>
      <c r="CI18" s="180">
        <v>242</v>
      </c>
      <c r="CJ18" s="180">
        <v>26718</v>
      </c>
      <c r="CK18" s="180">
        <v>2654</v>
      </c>
      <c r="CL18" s="180">
        <v>307934</v>
      </c>
      <c r="CM18" s="180">
        <v>198</v>
      </c>
      <c r="CN18" s="180">
        <v>22914</v>
      </c>
      <c r="CO18" s="180">
        <v>3253</v>
      </c>
      <c r="CP18" s="180">
        <v>378657</v>
      </c>
      <c r="CQ18" s="180">
        <v>350</v>
      </c>
      <c r="CR18" s="180">
        <v>51013</v>
      </c>
      <c r="CS18" s="180">
        <v>3037</v>
      </c>
      <c r="CT18" s="180">
        <v>462996</v>
      </c>
      <c r="CU18" s="180">
        <v>105687</v>
      </c>
      <c r="CV18" s="180">
        <v>105687</v>
      </c>
      <c r="CW18" s="180">
        <v>9519</v>
      </c>
      <c r="CX18" s="181">
        <v>1194229</v>
      </c>
      <c r="CY18" s="179"/>
      <c r="CZ18" s="180"/>
      <c r="DA18" s="180"/>
      <c r="DB18" s="180"/>
      <c r="DC18" s="180"/>
      <c r="DD18" s="180"/>
      <c r="DE18" s="180"/>
      <c r="DF18" s="180"/>
      <c r="DG18" s="180"/>
      <c r="DH18" s="180"/>
      <c r="DI18" s="180"/>
      <c r="DJ18" s="180"/>
      <c r="DK18" s="180"/>
      <c r="DL18" s="180"/>
      <c r="DM18" s="180"/>
      <c r="DN18" s="180"/>
      <c r="DO18" s="180"/>
      <c r="DP18" s="180"/>
      <c r="DQ18" s="180"/>
      <c r="DR18" s="181"/>
      <c r="DS18" s="179">
        <v>99</v>
      </c>
      <c r="DT18" s="180">
        <v>7854</v>
      </c>
      <c r="DU18" s="180">
        <v>836</v>
      </c>
      <c r="DV18" s="180">
        <v>65032</v>
      </c>
      <c r="DW18" s="180">
        <v>282</v>
      </c>
      <c r="DX18" s="180">
        <v>39153</v>
      </c>
      <c r="DY18" s="180">
        <v>3787</v>
      </c>
      <c r="DZ18" s="180">
        <v>449574</v>
      </c>
      <c r="EA18" s="180">
        <v>419</v>
      </c>
      <c r="EB18" s="180">
        <v>47116</v>
      </c>
      <c r="EC18" s="180">
        <v>4693</v>
      </c>
      <c r="ED18" s="180">
        <v>553159</v>
      </c>
      <c r="EE18" s="180">
        <v>404</v>
      </c>
      <c r="EF18" s="180">
        <v>65163</v>
      </c>
      <c r="EG18" s="180">
        <v>4416</v>
      </c>
      <c r="EH18" s="180">
        <v>680561</v>
      </c>
      <c r="EI18" s="180">
        <v>159288</v>
      </c>
      <c r="EJ18" s="180">
        <v>159288</v>
      </c>
      <c r="EK18" s="180">
        <v>13732</v>
      </c>
      <c r="EL18" s="181">
        <v>1748325</v>
      </c>
      <c r="EM18" s="179">
        <v>102</v>
      </c>
      <c r="EN18" s="180">
        <v>8824</v>
      </c>
      <c r="EO18" s="180">
        <v>1026</v>
      </c>
      <c r="EP18" s="180">
        <v>80696</v>
      </c>
      <c r="EQ18" s="180">
        <v>244</v>
      </c>
      <c r="ER18" s="180">
        <v>32442</v>
      </c>
      <c r="ES18" s="180">
        <v>4281</v>
      </c>
      <c r="ET18" s="180">
        <v>512761</v>
      </c>
      <c r="EU18" s="180">
        <v>169</v>
      </c>
      <c r="EV18" s="180">
        <v>21493</v>
      </c>
      <c r="EW18" s="180">
        <v>5155</v>
      </c>
      <c r="EX18" s="180">
        <v>606099</v>
      </c>
      <c r="EY18" s="180">
        <v>340</v>
      </c>
      <c r="EZ18" s="180">
        <v>54922</v>
      </c>
      <c r="FA18" s="180">
        <v>5117</v>
      </c>
      <c r="FB18" s="180">
        <v>790617</v>
      </c>
      <c r="FC18" s="180">
        <v>117682</v>
      </c>
      <c r="FD18" s="180">
        <v>117682</v>
      </c>
      <c r="FE18" s="180">
        <v>15579</v>
      </c>
      <c r="FF18" s="181">
        <v>1990173</v>
      </c>
      <c r="FG18" s="179">
        <v>49</v>
      </c>
      <c r="FH18" s="180">
        <v>3860</v>
      </c>
      <c r="FI18" s="180">
        <v>1158</v>
      </c>
      <c r="FJ18" s="180">
        <v>91288</v>
      </c>
      <c r="FK18" s="180">
        <v>284</v>
      </c>
      <c r="FL18" s="180">
        <v>32240</v>
      </c>
      <c r="FM18" s="180">
        <v>4817</v>
      </c>
      <c r="FN18" s="180">
        <v>579105</v>
      </c>
      <c r="FO18" s="180">
        <v>301</v>
      </c>
      <c r="FP18" s="180">
        <v>31697</v>
      </c>
      <c r="FQ18" s="180">
        <v>5724</v>
      </c>
      <c r="FR18" s="180">
        <v>674232</v>
      </c>
      <c r="FS18" s="180">
        <v>380</v>
      </c>
      <c r="FT18" s="180">
        <v>61003</v>
      </c>
      <c r="FU18" s="180">
        <v>5791</v>
      </c>
      <c r="FV18" s="180">
        <v>896913</v>
      </c>
      <c r="FW18" s="180">
        <v>128801</v>
      </c>
      <c r="FX18" s="180">
        <v>128801</v>
      </c>
      <c r="FY18" s="180">
        <v>17490</v>
      </c>
      <c r="FZ18" s="181">
        <v>2241537</v>
      </c>
      <c r="GA18" s="179">
        <v>79</v>
      </c>
      <c r="GB18" s="180">
        <v>5491</v>
      </c>
      <c r="GC18" s="180">
        <v>1299</v>
      </c>
      <c r="GD18" s="180">
        <v>101436</v>
      </c>
      <c r="GE18" s="180">
        <v>237</v>
      </c>
      <c r="GF18" s="180">
        <v>25365</v>
      </c>
      <c r="GG18" s="180">
        <v>5390</v>
      </c>
      <c r="GH18" s="180">
        <v>643622</v>
      </c>
      <c r="GI18" s="180">
        <v>312</v>
      </c>
      <c r="GJ18" s="180">
        <v>41920</v>
      </c>
      <c r="GK18" s="180">
        <v>6381</v>
      </c>
      <c r="GL18" s="180">
        <v>750650</v>
      </c>
      <c r="GM18" s="180">
        <v>404</v>
      </c>
      <c r="GN18" s="180">
        <v>68168</v>
      </c>
      <c r="GO18" s="180">
        <v>6480</v>
      </c>
      <c r="GP18" s="180">
        <v>1010827</v>
      </c>
      <c r="GQ18" s="180">
        <v>1033</v>
      </c>
      <c r="GR18" s="180">
        <v>140944</v>
      </c>
      <c r="GS18" s="180">
        <v>19550</v>
      </c>
      <c r="GT18" s="181">
        <v>2506536</v>
      </c>
      <c r="GU18" s="179"/>
      <c r="GV18" s="180"/>
      <c r="GW18" s="180"/>
      <c r="GX18" s="180"/>
      <c r="GY18" s="180"/>
      <c r="GZ18" s="180"/>
      <c r="HA18" s="180"/>
      <c r="HB18" s="180"/>
      <c r="HC18" s="180"/>
      <c r="HD18" s="180"/>
      <c r="HE18" s="180"/>
      <c r="HF18" s="180"/>
      <c r="HG18" s="180"/>
      <c r="HH18" s="180"/>
      <c r="HI18" s="180"/>
      <c r="HJ18" s="180"/>
      <c r="HK18" s="180"/>
      <c r="HL18" s="180"/>
      <c r="HM18" s="180"/>
      <c r="HN18" s="181"/>
      <c r="HO18" s="179">
        <v>69</v>
      </c>
      <c r="HP18" s="180">
        <v>5430</v>
      </c>
      <c r="HQ18" s="180">
        <v>1579</v>
      </c>
      <c r="HR18" s="180">
        <v>121852</v>
      </c>
      <c r="HS18" s="180">
        <v>231</v>
      </c>
      <c r="HT18" s="180">
        <v>31715</v>
      </c>
      <c r="HU18" s="180">
        <v>6288</v>
      </c>
      <c r="HV18" s="180">
        <v>764033</v>
      </c>
      <c r="HW18" s="180">
        <v>313</v>
      </c>
      <c r="HX18" s="180">
        <v>34338</v>
      </c>
      <c r="HY18" s="180">
        <v>7642</v>
      </c>
      <c r="HZ18" s="180">
        <v>898709</v>
      </c>
      <c r="IA18" s="180">
        <v>399</v>
      </c>
      <c r="IB18" s="180">
        <v>66910</v>
      </c>
      <c r="IC18" s="180">
        <v>8055</v>
      </c>
      <c r="ID18" s="180">
        <v>1283356</v>
      </c>
      <c r="IE18" s="180">
        <v>1012</v>
      </c>
      <c r="IF18" s="180">
        <v>138394</v>
      </c>
      <c r="IG18" s="180">
        <v>23564</v>
      </c>
      <c r="IH18" s="181">
        <v>3067948</v>
      </c>
    </row>
    <row r="19" spans="2:242">
      <c r="B19" s="175">
        <v>17</v>
      </c>
      <c r="C19" s="179">
        <v>81</v>
      </c>
      <c r="D19" s="180">
        <v>5930</v>
      </c>
      <c r="E19" s="180">
        <v>81</v>
      </c>
      <c r="F19" s="180">
        <v>5930</v>
      </c>
      <c r="G19" s="180">
        <v>399</v>
      </c>
      <c r="H19" s="180">
        <v>43398</v>
      </c>
      <c r="I19" s="180">
        <v>399</v>
      </c>
      <c r="J19" s="180">
        <v>43398</v>
      </c>
      <c r="K19" s="180">
        <v>354</v>
      </c>
      <c r="L19" s="180">
        <v>48445</v>
      </c>
      <c r="M19" s="180">
        <v>354</v>
      </c>
      <c r="N19" s="180">
        <v>48445</v>
      </c>
      <c r="O19" s="180">
        <v>408</v>
      </c>
      <c r="P19" s="180">
        <v>62783</v>
      </c>
      <c r="Q19" s="180">
        <v>408</v>
      </c>
      <c r="R19" s="180">
        <v>62783</v>
      </c>
      <c r="S19" s="180">
        <v>160555</v>
      </c>
      <c r="T19" s="180">
        <v>160555</v>
      </c>
      <c r="U19" s="180">
        <v>1242</v>
      </c>
      <c r="V19" s="181">
        <v>160555</v>
      </c>
      <c r="W19" s="179"/>
      <c r="X19" s="180"/>
      <c r="Y19" s="180"/>
      <c r="Z19" s="180"/>
      <c r="AA19" s="180"/>
      <c r="AB19" s="180"/>
      <c r="AC19" s="180"/>
      <c r="AD19" s="180"/>
      <c r="AE19" s="180"/>
      <c r="AF19" s="180"/>
      <c r="AG19" s="180"/>
      <c r="AH19" s="180"/>
      <c r="AI19" s="180"/>
      <c r="AJ19" s="180"/>
      <c r="AK19" s="180"/>
      <c r="AL19" s="180"/>
      <c r="AM19" s="180"/>
      <c r="AN19" s="180"/>
      <c r="AO19" s="180"/>
      <c r="AP19" s="181"/>
      <c r="AQ19" s="179"/>
      <c r="AR19" s="180"/>
      <c r="AS19" s="180"/>
      <c r="AT19" s="180"/>
      <c r="AU19" s="180"/>
      <c r="AV19" s="180"/>
      <c r="AW19" s="180"/>
      <c r="AX19" s="180"/>
      <c r="AY19" s="180"/>
      <c r="AZ19" s="180"/>
      <c r="BA19" s="180"/>
      <c r="BB19" s="180"/>
      <c r="BC19" s="180"/>
      <c r="BD19" s="180"/>
      <c r="BE19" s="180"/>
      <c r="BF19" s="180"/>
      <c r="BG19" s="180"/>
      <c r="BH19" s="180"/>
      <c r="BI19" s="180"/>
      <c r="BJ19" s="181"/>
      <c r="BK19" s="179">
        <v>80</v>
      </c>
      <c r="BL19" s="180">
        <v>6562</v>
      </c>
      <c r="BM19" s="180">
        <v>441</v>
      </c>
      <c r="BN19" s="180">
        <v>34038</v>
      </c>
      <c r="BO19" s="180">
        <v>300</v>
      </c>
      <c r="BP19" s="180">
        <v>38454</v>
      </c>
      <c r="BQ19" s="180">
        <v>2212</v>
      </c>
      <c r="BR19" s="180">
        <v>258168</v>
      </c>
      <c r="BS19" s="180">
        <v>377</v>
      </c>
      <c r="BT19" s="180">
        <v>43882</v>
      </c>
      <c r="BU19" s="180">
        <v>2783</v>
      </c>
      <c r="BV19" s="180">
        <v>321961</v>
      </c>
      <c r="BW19" s="180">
        <v>394</v>
      </c>
      <c r="BX19" s="180">
        <v>56312</v>
      </c>
      <c r="BY19" s="180">
        <v>2384</v>
      </c>
      <c r="BZ19" s="180">
        <v>366380</v>
      </c>
      <c r="CA19" s="180">
        <v>145208</v>
      </c>
      <c r="CB19" s="180">
        <v>145208</v>
      </c>
      <c r="CC19" s="180">
        <v>7820</v>
      </c>
      <c r="CD19" s="181">
        <v>980546</v>
      </c>
      <c r="CE19" s="179">
        <v>72</v>
      </c>
      <c r="CF19" s="180">
        <v>5316</v>
      </c>
      <c r="CG19" s="180">
        <v>582</v>
      </c>
      <c r="CH19" s="180">
        <v>44916</v>
      </c>
      <c r="CI19" s="180">
        <v>259</v>
      </c>
      <c r="CJ19" s="180">
        <v>28989</v>
      </c>
      <c r="CK19" s="180">
        <v>2671</v>
      </c>
      <c r="CL19" s="180">
        <v>310206</v>
      </c>
      <c r="CM19" s="180">
        <v>267</v>
      </c>
      <c r="CN19" s="180">
        <v>32356</v>
      </c>
      <c r="CO19" s="180">
        <v>3322</v>
      </c>
      <c r="CP19" s="180">
        <v>388098</v>
      </c>
      <c r="CQ19" s="180">
        <v>387</v>
      </c>
      <c r="CR19" s="180">
        <v>57484</v>
      </c>
      <c r="CS19" s="180">
        <v>3074</v>
      </c>
      <c r="CT19" s="180">
        <v>469468</v>
      </c>
      <c r="CU19" s="180">
        <v>124145</v>
      </c>
      <c r="CV19" s="180">
        <v>124145</v>
      </c>
      <c r="CW19" s="180">
        <v>9649</v>
      </c>
      <c r="CX19" s="181">
        <v>1212689</v>
      </c>
      <c r="CY19" s="179">
        <v>62</v>
      </c>
      <c r="CZ19" s="180">
        <v>5533</v>
      </c>
      <c r="DA19" s="180">
        <v>676</v>
      </c>
      <c r="DB19" s="180">
        <v>52569</v>
      </c>
      <c r="DC19" s="180">
        <v>330</v>
      </c>
      <c r="DD19" s="180">
        <v>35905</v>
      </c>
      <c r="DE19" s="180">
        <v>3254</v>
      </c>
      <c r="DF19" s="180">
        <v>380919</v>
      </c>
      <c r="DG19" s="180">
        <v>290</v>
      </c>
      <c r="DH19" s="180">
        <v>38615</v>
      </c>
      <c r="DI19" s="180">
        <v>3928</v>
      </c>
      <c r="DJ19" s="180">
        <v>463582</v>
      </c>
      <c r="DK19" s="180">
        <v>354</v>
      </c>
      <c r="DL19" s="180">
        <v>56588</v>
      </c>
      <c r="DM19" s="180">
        <v>3715</v>
      </c>
      <c r="DN19" s="180">
        <v>570143</v>
      </c>
      <c r="DO19" s="180">
        <v>136639</v>
      </c>
      <c r="DP19" s="180">
        <v>136639</v>
      </c>
      <c r="DQ19" s="180">
        <v>11572</v>
      </c>
      <c r="DR19" s="181">
        <v>1467214</v>
      </c>
      <c r="DS19" s="179">
        <v>111</v>
      </c>
      <c r="DT19" s="180">
        <v>8871</v>
      </c>
      <c r="DU19" s="180">
        <v>848</v>
      </c>
      <c r="DV19" s="180">
        <v>66049</v>
      </c>
      <c r="DW19" s="180">
        <v>308</v>
      </c>
      <c r="DX19" s="180">
        <v>42374</v>
      </c>
      <c r="DY19" s="180">
        <v>3815</v>
      </c>
      <c r="DZ19" s="180">
        <v>452794</v>
      </c>
      <c r="EA19" s="180">
        <v>423</v>
      </c>
      <c r="EB19" s="180">
        <v>49084</v>
      </c>
      <c r="EC19" s="180">
        <v>4696</v>
      </c>
      <c r="ED19" s="180">
        <v>555126</v>
      </c>
      <c r="EE19" s="180">
        <v>446</v>
      </c>
      <c r="EF19" s="180">
        <v>71385</v>
      </c>
      <c r="EG19" s="180">
        <v>4458</v>
      </c>
      <c r="EH19" s="180">
        <v>686782</v>
      </c>
      <c r="EI19" s="180">
        <v>171715</v>
      </c>
      <c r="EJ19" s="180">
        <v>171715</v>
      </c>
      <c r="EK19" s="180">
        <v>13817</v>
      </c>
      <c r="EL19" s="181">
        <v>1760749</v>
      </c>
      <c r="EM19" s="179"/>
      <c r="EN19" s="180"/>
      <c r="EO19" s="180"/>
      <c r="EP19" s="180"/>
      <c r="EQ19" s="180"/>
      <c r="ER19" s="180"/>
      <c r="ES19" s="180"/>
      <c r="ET19" s="180"/>
      <c r="EU19" s="180"/>
      <c r="EV19" s="180"/>
      <c r="EW19" s="180"/>
      <c r="EX19" s="180"/>
      <c r="EY19" s="180"/>
      <c r="EZ19" s="180"/>
      <c r="FA19" s="180"/>
      <c r="FB19" s="180"/>
      <c r="FC19" s="180"/>
      <c r="FD19" s="180"/>
      <c r="FE19" s="180"/>
      <c r="FF19" s="181"/>
      <c r="FG19" s="179">
        <v>49</v>
      </c>
      <c r="FH19" s="180">
        <v>3860</v>
      </c>
      <c r="FI19" s="180">
        <v>1158</v>
      </c>
      <c r="FJ19" s="180">
        <v>91288</v>
      </c>
      <c r="FK19" s="180">
        <v>298</v>
      </c>
      <c r="FL19" s="180">
        <v>33594</v>
      </c>
      <c r="FM19" s="180">
        <v>4831</v>
      </c>
      <c r="FN19" s="180">
        <v>580458</v>
      </c>
      <c r="FO19" s="180">
        <v>385</v>
      </c>
      <c r="FP19" s="180">
        <v>38647</v>
      </c>
      <c r="FQ19" s="180">
        <v>5808</v>
      </c>
      <c r="FR19" s="180">
        <v>681183</v>
      </c>
      <c r="FS19" s="180">
        <v>410</v>
      </c>
      <c r="FT19" s="180">
        <v>65066</v>
      </c>
      <c r="FU19" s="180">
        <v>5822</v>
      </c>
      <c r="FV19" s="180">
        <v>900974</v>
      </c>
      <c r="FW19" s="180">
        <v>141168</v>
      </c>
      <c r="FX19" s="180">
        <v>141168</v>
      </c>
      <c r="FY19" s="180">
        <v>17619</v>
      </c>
      <c r="FZ19" s="181">
        <v>2253902</v>
      </c>
      <c r="GA19" s="179">
        <v>82</v>
      </c>
      <c r="GB19" s="180">
        <v>5694</v>
      </c>
      <c r="GC19" s="180">
        <v>1302</v>
      </c>
      <c r="GD19" s="180">
        <v>101638</v>
      </c>
      <c r="GE19" s="180">
        <v>252</v>
      </c>
      <c r="GF19" s="180">
        <v>27442</v>
      </c>
      <c r="GG19" s="180">
        <v>5405</v>
      </c>
      <c r="GH19" s="180">
        <v>645697</v>
      </c>
      <c r="GI19" s="180">
        <v>340</v>
      </c>
      <c r="GJ19" s="180">
        <v>47026</v>
      </c>
      <c r="GK19" s="180">
        <v>6409</v>
      </c>
      <c r="GL19" s="180">
        <v>755757</v>
      </c>
      <c r="GM19" s="180">
        <v>424</v>
      </c>
      <c r="GN19" s="180">
        <v>72160</v>
      </c>
      <c r="GO19" s="180">
        <v>6500</v>
      </c>
      <c r="GP19" s="180">
        <v>1014820</v>
      </c>
      <c r="GQ19" s="180">
        <v>1100</v>
      </c>
      <c r="GR19" s="180">
        <v>152321</v>
      </c>
      <c r="GS19" s="180">
        <v>19616</v>
      </c>
      <c r="GT19" s="181">
        <v>2517913</v>
      </c>
      <c r="GU19" s="179"/>
      <c r="GV19" s="180"/>
      <c r="GW19" s="180"/>
      <c r="GX19" s="180"/>
      <c r="GY19" s="180"/>
      <c r="GZ19" s="180"/>
      <c r="HA19" s="180"/>
      <c r="HB19" s="180"/>
      <c r="HC19" s="180"/>
      <c r="HD19" s="180"/>
      <c r="HE19" s="180"/>
      <c r="HF19" s="180"/>
      <c r="HG19" s="180"/>
      <c r="HH19" s="180"/>
      <c r="HI19" s="180"/>
      <c r="HJ19" s="180"/>
      <c r="HK19" s="180"/>
      <c r="HL19" s="180"/>
      <c r="HM19" s="180"/>
      <c r="HN19" s="181"/>
      <c r="HO19" s="179">
        <v>86</v>
      </c>
      <c r="HP19" s="180">
        <v>6531</v>
      </c>
      <c r="HQ19" s="180">
        <v>1596</v>
      </c>
      <c r="HR19" s="180">
        <v>122953</v>
      </c>
      <c r="HS19" s="180">
        <v>254</v>
      </c>
      <c r="HT19" s="180">
        <v>33773</v>
      </c>
      <c r="HU19" s="180">
        <v>6311</v>
      </c>
      <c r="HV19" s="180">
        <v>766091</v>
      </c>
      <c r="HW19" s="180">
        <v>315</v>
      </c>
      <c r="HX19" s="180">
        <v>34594</v>
      </c>
      <c r="HY19" s="180">
        <v>7644</v>
      </c>
      <c r="HZ19" s="180">
        <v>898965</v>
      </c>
      <c r="IA19" s="180">
        <v>482</v>
      </c>
      <c r="IB19" s="180">
        <v>78807</v>
      </c>
      <c r="IC19" s="180">
        <v>8139</v>
      </c>
      <c r="ID19" s="180">
        <v>1295252</v>
      </c>
      <c r="IE19" s="180">
        <v>1137</v>
      </c>
      <c r="IF19" s="180">
        <v>153704</v>
      </c>
      <c r="IG19" s="180">
        <v>23690</v>
      </c>
      <c r="IH19" s="181">
        <v>3083262</v>
      </c>
    </row>
    <row r="20" spans="2:242">
      <c r="B20" s="175">
        <v>18</v>
      </c>
      <c r="C20" s="179">
        <v>86</v>
      </c>
      <c r="D20" s="180">
        <v>6291</v>
      </c>
      <c r="E20" s="180">
        <v>86</v>
      </c>
      <c r="F20" s="180">
        <v>6291</v>
      </c>
      <c r="G20" s="180">
        <v>438</v>
      </c>
      <c r="H20" s="180">
        <v>48346</v>
      </c>
      <c r="I20" s="180">
        <v>438</v>
      </c>
      <c r="J20" s="180">
        <v>48346</v>
      </c>
      <c r="K20" s="180">
        <v>356</v>
      </c>
      <c r="L20" s="180">
        <v>48543</v>
      </c>
      <c r="M20" s="180">
        <v>356</v>
      </c>
      <c r="N20" s="180">
        <v>48543</v>
      </c>
      <c r="O20" s="180">
        <v>445</v>
      </c>
      <c r="P20" s="180">
        <v>69538</v>
      </c>
      <c r="Q20" s="180">
        <v>445</v>
      </c>
      <c r="R20" s="180">
        <v>69538</v>
      </c>
      <c r="S20" s="180">
        <v>172717</v>
      </c>
      <c r="T20" s="180">
        <v>172717</v>
      </c>
      <c r="U20" s="180">
        <v>1325</v>
      </c>
      <c r="V20" s="181">
        <v>172717</v>
      </c>
      <c r="W20" s="179">
        <v>46</v>
      </c>
      <c r="X20" s="180">
        <v>3311</v>
      </c>
      <c r="Y20" s="180">
        <v>183</v>
      </c>
      <c r="Z20" s="180">
        <v>14137</v>
      </c>
      <c r="AA20" s="180">
        <v>367</v>
      </c>
      <c r="AB20" s="180">
        <v>40846</v>
      </c>
      <c r="AC20" s="180">
        <v>1099</v>
      </c>
      <c r="AD20" s="180">
        <v>124175</v>
      </c>
      <c r="AE20" s="180">
        <v>352</v>
      </c>
      <c r="AF20" s="180">
        <v>43011</v>
      </c>
      <c r="AG20" s="180">
        <v>1147</v>
      </c>
      <c r="AH20" s="180">
        <v>148856</v>
      </c>
      <c r="AI20" s="180">
        <v>433</v>
      </c>
      <c r="AJ20" s="180">
        <v>68803</v>
      </c>
      <c r="AK20" s="180">
        <v>1098</v>
      </c>
      <c r="AL20" s="180">
        <v>173742</v>
      </c>
      <c r="AM20" s="180">
        <v>155970</v>
      </c>
      <c r="AN20" s="180">
        <v>155970</v>
      </c>
      <c r="AO20" s="180">
        <v>3527</v>
      </c>
      <c r="AP20" s="181">
        <v>460909</v>
      </c>
      <c r="AQ20" s="179">
        <v>69</v>
      </c>
      <c r="AR20" s="180">
        <v>5539</v>
      </c>
      <c r="AS20" s="180">
        <v>320</v>
      </c>
      <c r="AT20" s="180">
        <v>24784</v>
      </c>
      <c r="AU20" s="180">
        <v>307</v>
      </c>
      <c r="AV20" s="180">
        <v>33815</v>
      </c>
      <c r="AW20" s="180">
        <v>1620</v>
      </c>
      <c r="AX20" s="180">
        <v>187148</v>
      </c>
      <c r="AY20" s="180">
        <v>371</v>
      </c>
      <c r="AZ20" s="180">
        <v>39464</v>
      </c>
      <c r="BA20" s="180">
        <v>1943</v>
      </c>
      <c r="BB20" s="180">
        <v>235013</v>
      </c>
      <c r="BC20" s="180">
        <v>392</v>
      </c>
      <c r="BD20" s="180">
        <v>57801</v>
      </c>
      <c r="BE20" s="180">
        <v>1714</v>
      </c>
      <c r="BF20" s="180">
        <v>266828</v>
      </c>
      <c r="BG20" s="180">
        <v>136620</v>
      </c>
      <c r="BH20" s="180">
        <v>136620</v>
      </c>
      <c r="BI20" s="180">
        <v>5596</v>
      </c>
      <c r="BJ20" s="181">
        <v>713773</v>
      </c>
      <c r="BK20" s="179">
        <v>80</v>
      </c>
      <c r="BL20" s="180">
        <v>6562</v>
      </c>
      <c r="BM20" s="180">
        <v>441</v>
      </c>
      <c r="BN20" s="180">
        <v>34038</v>
      </c>
      <c r="BO20" s="180">
        <v>315</v>
      </c>
      <c r="BP20" s="180">
        <v>40524</v>
      </c>
      <c r="BQ20" s="180">
        <v>2227</v>
      </c>
      <c r="BR20" s="180">
        <v>260238</v>
      </c>
      <c r="BS20" s="180">
        <v>448</v>
      </c>
      <c r="BT20" s="180">
        <v>52953</v>
      </c>
      <c r="BU20" s="180">
        <v>2854</v>
      </c>
      <c r="BV20" s="180">
        <v>331033</v>
      </c>
      <c r="BW20" s="180">
        <v>427</v>
      </c>
      <c r="BX20" s="180">
        <v>61601</v>
      </c>
      <c r="BY20" s="180">
        <v>2418</v>
      </c>
      <c r="BZ20" s="180">
        <v>371669</v>
      </c>
      <c r="CA20" s="180">
        <v>161640</v>
      </c>
      <c r="CB20" s="180">
        <v>161640</v>
      </c>
      <c r="CC20" s="180">
        <v>7939</v>
      </c>
      <c r="CD20" s="181">
        <v>996979</v>
      </c>
      <c r="CE20" s="179"/>
      <c r="CF20" s="180"/>
      <c r="CG20" s="180"/>
      <c r="CH20" s="180"/>
      <c r="CI20" s="180"/>
      <c r="CJ20" s="180"/>
      <c r="CK20" s="180"/>
      <c r="CL20" s="180"/>
      <c r="CM20" s="180"/>
      <c r="CN20" s="180"/>
      <c r="CO20" s="180"/>
      <c r="CP20" s="180"/>
      <c r="CQ20" s="180"/>
      <c r="CR20" s="180"/>
      <c r="CS20" s="180"/>
      <c r="CT20" s="180"/>
      <c r="CU20" s="180"/>
      <c r="CV20" s="180"/>
      <c r="CW20" s="180"/>
      <c r="CX20" s="181"/>
      <c r="CY20" s="179">
        <v>73</v>
      </c>
      <c r="CZ20" s="180">
        <v>6262</v>
      </c>
      <c r="DA20" s="180">
        <v>686</v>
      </c>
      <c r="DB20" s="180">
        <v>53299</v>
      </c>
      <c r="DC20" s="180">
        <v>354</v>
      </c>
      <c r="DD20" s="180">
        <v>39765</v>
      </c>
      <c r="DE20" s="180">
        <v>3278</v>
      </c>
      <c r="DF20" s="180">
        <v>384780</v>
      </c>
      <c r="DG20" s="180">
        <v>336</v>
      </c>
      <c r="DH20" s="180">
        <v>43800</v>
      </c>
      <c r="DI20" s="180">
        <v>3975</v>
      </c>
      <c r="DJ20" s="180">
        <v>468768</v>
      </c>
      <c r="DK20" s="180">
        <v>388</v>
      </c>
      <c r="DL20" s="180">
        <v>61030</v>
      </c>
      <c r="DM20" s="180">
        <v>3748</v>
      </c>
      <c r="DN20" s="180">
        <v>574586</v>
      </c>
      <c r="DO20" s="180">
        <v>150857</v>
      </c>
      <c r="DP20" s="180">
        <v>150857</v>
      </c>
      <c r="DQ20" s="180">
        <v>11687</v>
      </c>
      <c r="DR20" s="181">
        <v>1481431</v>
      </c>
      <c r="DS20" s="179">
        <v>113</v>
      </c>
      <c r="DT20" s="180">
        <v>9053</v>
      </c>
      <c r="DU20" s="180">
        <v>850</v>
      </c>
      <c r="DV20" s="180">
        <v>66231</v>
      </c>
      <c r="DW20" s="180">
        <v>332</v>
      </c>
      <c r="DX20" s="180">
        <v>44989</v>
      </c>
      <c r="DY20" s="180">
        <v>3838</v>
      </c>
      <c r="DZ20" s="180">
        <v>455408</v>
      </c>
      <c r="EA20" s="180">
        <v>443</v>
      </c>
      <c r="EB20" s="180">
        <v>51054</v>
      </c>
      <c r="EC20" s="180">
        <v>4717</v>
      </c>
      <c r="ED20" s="180">
        <v>557097</v>
      </c>
      <c r="EE20" s="180">
        <v>486</v>
      </c>
      <c r="EF20" s="180">
        <v>77012</v>
      </c>
      <c r="EG20" s="180">
        <v>4499</v>
      </c>
      <c r="EH20" s="180">
        <v>692409</v>
      </c>
      <c r="EI20" s="180">
        <v>182107</v>
      </c>
      <c r="EJ20" s="180">
        <v>182107</v>
      </c>
      <c r="EK20" s="180">
        <v>13903</v>
      </c>
      <c r="EL20" s="181">
        <v>1771145</v>
      </c>
      <c r="EM20" s="179"/>
      <c r="EN20" s="180"/>
      <c r="EO20" s="180"/>
      <c r="EP20" s="180"/>
      <c r="EQ20" s="180"/>
      <c r="ER20" s="180"/>
      <c r="ES20" s="180"/>
      <c r="ET20" s="180"/>
      <c r="EU20" s="180"/>
      <c r="EV20" s="180"/>
      <c r="EW20" s="180"/>
      <c r="EX20" s="180"/>
      <c r="EY20" s="180"/>
      <c r="EZ20" s="180"/>
      <c r="FA20" s="180"/>
      <c r="FB20" s="180"/>
      <c r="FC20" s="180"/>
      <c r="FD20" s="180"/>
      <c r="FE20" s="180"/>
      <c r="FF20" s="181"/>
      <c r="FG20" s="179">
        <v>51</v>
      </c>
      <c r="FH20" s="180">
        <v>4196</v>
      </c>
      <c r="FI20" s="180">
        <v>1160</v>
      </c>
      <c r="FJ20" s="180">
        <v>91623</v>
      </c>
      <c r="FK20" s="180">
        <v>340</v>
      </c>
      <c r="FL20" s="180">
        <v>38820</v>
      </c>
      <c r="FM20" s="180">
        <v>4872</v>
      </c>
      <c r="FN20" s="180">
        <v>585684</v>
      </c>
      <c r="FO20" s="180">
        <v>398</v>
      </c>
      <c r="FP20" s="180">
        <v>41582</v>
      </c>
      <c r="FQ20" s="180">
        <v>5821</v>
      </c>
      <c r="FR20" s="180">
        <v>684117</v>
      </c>
      <c r="FS20" s="180">
        <v>446</v>
      </c>
      <c r="FT20" s="180">
        <v>70354</v>
      </c>
      <c r="FU20" s="180">
        <v>5857</v>
      </c>
      <c r="FV20" s="180">
        <v>906264</v>
      </c>
      <c r="FW20" s="180">
        <v>154951</v>
      </c>
      <c r="FX20" s="180">
        <v>154951</v>
      </c>
      <c r="FY20" s="180">
        <v>17710</v>
      </c>
      <c r="FZ20" s="181">
        <v>2267687</v>
      </c>
      <c r="GA20" s="179">
        <v>82</v>
      </c>
      <c r="GB20" s="180">
        <v>5694</v>
      </c>
      <c r="GC20" s="180">
        <v>1302</v>
      </c>
      <c r="GD20" s="180">
        <v>101638</v>
      </c>
      <c r="GE20" s="180">
        <v>270</v>
      </c>
      <c r="GF20" s="180">
        <v>29119</v>
      </c>
      <c r="GG20" s="180">
        <v>5423</v>
      </c>
      <c r="GH20" s="180">
        <v>647374</v>
      </c>
      <c r="GI20" s="180">
        <v>374</v>
      </c>
      <c r="GJ20" s="180">
        <v>52344</v>
      </c>
      <c r="GK20" s="180">
        <v>6443</v>
      </c>
      <c r="GL20" s="180">
        <v>761075</v>
      </c>
      <c r="GM20" s="180">
        <v>463</v>
      </c>
      <c r="GN20" s="180">
        <v>79375</v>
      </c>
      <c r="GO20" s="180">
        <v>6539</v>
      </c>
      <c r="GP20" s="180">
        <v>1022036</v>
      </c>
      <c r="GQ20" s="180">
        <v>1189</v>
      </c>
      <c r="GR20" s="180">
        <v>166532</v>
      </c>
      <c r="GS20" s="180">
        <v>19706</v>
      </c>
      <c r="GT20" s="181">
        <v>2532124</v>
      </c>
      <c r="GU20" s="179">
        <v>54</v>
      </c>
      <c r="GV20" s="180">
        <v>3840</v>
      </c>
      <c r="GW20" s="180">
        <v>1418</v>
      </c>
      <c r="GX20" s="180">
        <v>109770</v>
      </c>
      <c r="GY20" s="180">
        <v>197</v>
      </c>
      <c r="GZ20" s="180">
        <v>27182</v>
      </c>
      <c r="HA20" s="180">
        <v>5799</v>
      </c>
      <c r="HB20" s="180">
        <v>697296</v>
      </c>
      <c r="HC20" s="180">
        <v>241</v>
      </c>
      <c r="HD20" s="180">
        <v>30383</v>
      </c>
      <c r="HE20" s="180">
        <v>7022</v>
      </c>
      <c r="HF20" s="180">
        <v>830674</v>
      </c>
      <c r="HG20" s="180">
        <v>452</v>
      </c>
      <c r="HH20" s="180">
        <v>72135</v>
      </c>
      <c r="HI20" s="180">
        <v>7277</v>
      </c>
      <c r="HJ20" s="180">
        <v>1138497</v>
      </c>
      <c r="HK20" s="180">
        <v>945</v>
      </c>
      <c r="HL20" s="180">
        <v>133539</v>
      </c>
      <c r="HM20" s="180">
        <v>21514</v>
      </c>
      <c r="HN20" s="181">
        <v>2776237</v>
      </c>
      <c r="HO20" s="179">
        <v>90</v>
      </c>
      <c r="HP20" s="180">
        <v>6728</v>
      </c>
      <c r="HQ20" s="180">
        <v>1600</v>
      </c>
      <c r="HR20" s="180">
        <v>123149</v>
      </c>
      <c r="HS20" s="180">
        <v>289</v>
      </c>
      <c r="HT20" s="180">
        <v>37111</v>
      </c>
      <c r="HU20" s="180">
        <v>6346</v>
      </c>
      <c r="HV20" s="180">
        <v>769429</v>
      </c>
      <c r="HW20" s="180">
        <v>353</v>
      </c>
      <c r="HX20" s="180">
        <v>42490</v>
      </c>
      <c r="HY20" s="180">
        <v>7683</v>
      </c>
      <c r="HZ20" s="180">
        <v>906861</v>
      </c>
      <c r="IA20" s="180">
        <v>507</v>
      </c>
      <c r="IB20" s="180">
        <v>83496</v>
      </c>
      <c r="IC20" s="180">
        <v>8164</v>
      </c>
      <c r="ID20" s="180">
        <v>1299940</v>
      </c>
      <c r="IE20" s="180">
        <v>1240</v>
      </c>
      <c r="IF20" s="180">
        <v>169823</v>
      </c>
      <c r="IG20" s="180">
        <v>23792</v>
      </c>
      <c r="IH20" s="181">
        <v>3099380</v>
      </c>
    </row>
    <row r="21" spans="2:242">
      <c r="B21" s="175">
        <v>19</v>
      </c>
      <c r="C21" s="179"/>
      <c r="D21" s="180"/>
      <c r="E21" s="180"/>
      <c r="F21" s="180"/>
      <c r="G21" s="180"/>
      <c r="H21" s="180"/>
      <c r="I21" s="180"/>
      <c r="J21" s="180"/>
      <c r="K21" s="180"/>
      <c r="L21" s="180"/>
      <c r="M21" s="180"/>
      <c r="N21" s="180"/>
      <c r="O21" s="180"/>
      <c r="P21" s="180"/>
      <c r="Q21" s="180"/>
      <c r="R21" s="180"/>
      <c r="S21" s="180"/>
      <c r="T21" s="180"/>
      <c r="U21" s="180"/>
      <c r="V21" s="181"/>
      <c r="W21" s="179">
        <v>46</v>
      </c>
      <c r="X21" s="180">
        <v>3311</v>
      </c>
      <c r="Y21" s="180">
        <v>183</v>
      </c>
      <c r="Z21" s="180">
        <v>14137</v>
      </c>
      <c r="AA21" s="180">
        <v>370</v>
      </c>
      <c r="AB21" s="180">
        <v>41588</v>
      </c>
      <c r="AC21" s="180">
        <v>1103</v>
      </c>
      <c r="AD21" s="180">
        <v>124916</v>
      </c>
      <c r="AE21" s="180">
        <v>390</v>
      </c>
      <c r="AF21" s="180">
        <v>49579</v>
      </c>
      <c r="AG21" s="180">
        <v>1185</v>
      </c>
      <c r="AH21" s="180">
        <v>155426</v>
      </c>
      <c r="AI21" s="180">
        <v>464</v>
      </c>
      <c r="AJ21" s="180">
        <v>73531</v>
      </c>
      <c r="AK21" s="180">
        <v>1129</v>
      </c>
      <c r="AL21" s="180">
        <v>178470</v>
      </c>
      <c r="AM21" s="180">
        <v>168008</v>
      </c>
      <c r="AN21" s="180">
        <v>168008</v>
      </c>
      <c r="AO21" s="180">
        <v>3599</v>
      </c>
      <c r="AP21" s="181">
        <v>472948</v>
      </c>
      <c r="AQ21" s="179">
        <v>71</v>
      </c>
      <c r="AR21" s="180">
        <v>5664</v>
      </c>
      <c r="AS21" s="180">
        <v>321</v>
      </c>
      <c r="AT21" s="180">
        <v>24909</v>
      </c>
      <c r="AU21" s="180">
        <v>334</v>
      </c>
      <c r="AV21" s="180">
        <v>37041</v>
      </c>
      <c r="AW21" s="180">
        <v>1648</v>
      </c>
      <c r="AX21" s="180">
        <v>190374</v>
      </c>
      <c r="AY21" s="180">
        <v>403</v>
      </c>
      <c r="AZ21" s="180">
        <v>41863</v>
      </c>
      <c r="BA21" s="180">
        <v>1975</v>
      </c>
      <c r="BB21" s="180">
        <v>237410</v>
      </c>
      <c r="BC21" s="180">
        <v>418</v>
      </c>
      <c r="BD21" s="180">
        <v>61625</v>
      </c>
      <c r="BE21" s="180">
        <v>1739</v>
      </c>
      <c r="BF21" s="180">
        <v>270653</v>
      </c>
      <c r="BG21" s="180">
        <v>146191</v>
      </c>
      <c r="BH21" s="180">
        <v>146191</v>
      </c>
      <c r="BI21" s="180">
        <v>5683</v>
      </c>
      <c r="BJ21" s="181">
        <v>723345</v>
      </c>
      <c r="BK21" s="179">
        <v>83</v>
      </c>
      <c r="BL21" s="180">
        <v>6947</v>
      </c>
      <c r="BM21" s="180">
        <v>445</v>
      </c>
      <c r="BN21" s="180">
        <v>34423</v>
      </c>
      <c r="BO21" s="180">
        <v>345</v>
      </c>
      <c r="BP21" s="180">
        <v>44398</v>
      </c>
      <c r="BQ21" s="180">
        <v>2257</v>
      </c>
      <c r="BR21" s="180">
        <v>264111</v>
      </c>
      <c r="BS21" s="180">
        <v>459</v>
      </c>
      <c r="BT21" s="180">
        <v>54139</v>
      </c>
      <c r="BU21" s="180">
        <v>2864</v>
      </c>
      <c r="BV21" s="180">
        <v>332218</v>
      </c>
      <c r="BW21" s="180">
        <v>466</v>
      </c>
      <c r="BX21" s="180">
        <v>67459</v>
      </c>
      <c r="BY21" s="180">
        <v>2457</v>
      </c>
      <c r="BZ21" s="180">
        <v>377526</v>
      </c>
      <c r="CA21" s="180">
        <v>172942</v>
      </c>
      <c r="CB21" s="180">
        <v>172942</v>
      </c>
      <c r="CC21" s="180">
        <v>8023</v>
      </c>
      <c r="CD21" s="181">
        <v>1008280</v>
      </c>
      <c r="CE21" s="179"/>
      <c r="CF21" s="180"/>
      <c r="CG21" s="180"/>
      <c r="CH21" s="180"/>
      <c r="CI21" s="180"/>
      <c r="CJ21" s="180"/>
      <c r="CK21" s="180"/>
      <c r="CL21" s="180"/>
      <c r="CM21" s="180"/>
      <c r="CN21" s="180"/>
      <c r="CO21" s="180"/>
      <c r="CP21" s="180"/>
      <c r="CQ21" s="180"/>
      <c r="CR21" s="180"/>
      <c r="CS21" s="180"/>
      <c r="CT21" s="180"/>
      <c r="CU21" s="180"/>
      <c r="CV21" s="180"/>
      <c r="CW21" s="180"/>
      <c r="CX21" s="181"/>
      <c r="CY21" s="179">
        <v>75</v>
      </c>
      <c r="CZ21" s="180">
        <v>6390</v>
      </c>
      <c r="DA21" s="180">
        <v>689</v>
      </c>
      <c r="DB21" s="180">
        <v>53426</v>
      </c>
      <c r="DC21" s="180">
        <v>392</v>
      </c>
      <c r="DD21" s="180">
        <v>43520</v>
      </c>
      <c r="DE21" s="180">
        <v>3315</v>
      </c>
      <c r="DF21" s="180">
        <v>388535</v>
      </c>
      <c r="DG21" s="180">
        <v>338</v>
      </c>
      <c r="DH21" s="180">
        <v>43786</v>
      </c>
      <c r="DI21" s="180">
        <v>3977</v>
      </c>
      <c r="DJ21" s="180">
        <v>468753</v>
      </c>
      <c r="DK21" s="180">
        <v>426</v>
      </c>
      <c r="DL21" s="180">
        <v>66825</v>
      </c>
      <c r="DM21" s="180">
        <v>3785</v>
      </c>
      <c r="DN21" s="180">
        <v>580381</v>
      </c>
      <c r="DO21" s="180">
        <v>160521</v>
      </c>
      <c r="DP21" s="180">
        <v>160521</v>
      </c>
      <c r="DQ21" s="180">
        <v>11767</v>
      </c>
      <c r="DR21" s="181">
        <v>1491094</v>
      </c>
      <c r="DS21" s="179">
        <v>124</v>
      </c>
      <c r="DT21" s="180">
        <v>10256</v>
      </c>
      <c r="DU21" s="180">
        <v>861</v>
      </c>
      <c r="DV21" s="180">
        <v>67433</v>
      </c>
      <c r="DW21" s="180">
        <v>366</v>
      </c>
      <c r="DX21" s="180">
        <v>49879</v>
      </c>
      <c r="DY21" s="180">
        <v>3872</v>
      </c>
      <c r="DZ21" s="180">
        <v>460298</v>
      </c>
      <c r="EA21" s="180">
        <v>485</v>
      </c>
      <c r="EB21" s="180">
        <v>54281</v>
      </c>
      <c r="EC21" s="180">
        <v>4759</v>
      </c>
      <c r="ED21" s="180">
        <v>560325</v>
      </c>
      <c r="EE21" s="180">
        <v>515</v>
      </c>
      <c r="EF21" s="180">
        <v>81683</v>
      </c>
      <c r="EG21" s="180">
        <v>4527</v>
      </c>
      <c r="EH21" s="180">
        <v>697079</v>
      </c>
      <c r="EI21" s="180">
        <v>196099</v>
      </c>
      <c r="EJ21" s="180">
        <v>196099</v>
      </c>
      <c r="EK21" s="180">
        <v>14018</v>
      </c>
      <c r="EL21" s="181">
        <v>1785135</v>
      </c>
      <c r="EM21" s="179">
        <v>106</v>
      </c>
      <c r="EN21" s="180">
        <v>9093</v>
      </c>
      <c r="EO21" s="180">
        <v>1030</v>
      </c>
      <c r="EP21" s="180">
        <v>80965</v>
      </c>
      <c r="EQ21" s="180">
        <v>257</v>
      </c>
      <c r="ER21" s="180">
        <v>33658</v>
      </c>
      <c r="ES21" s="180">
        <v>4294</v>
      </c>
      <c r="ET21" s="180">
        <v>513978</v>
      </c>
      <c r="EU21" s="180">
        <v>180</v>
      </c>
      <c r="EV21" s="180">
        <v>22511</v>
      </c>
      <c r="EW21" s="180">
        <v>5166</v>
      </c>
      <c r="EX21" s="180">
        <v>607117</v>
      </c>
      <c r="EY21" s="180">
        <v>367</v>
      </c>
      <c r="EZ21" s="180">
        <v>59190</v>
      </c>
      <c r="FA21" s="180">
        <v>5143</v>
      </c>
      <c r="FB21" s="180">
        <v>794884</v>
      </c>
      <c r="FC21" s="180">
        <v>124452</v>
      </c>
      <c r="FD21" s="180">
        <v>124452</v>
      </c>
      <c r="FE21" s="180">
        <v>15633</v>
      </c>
      <c r="FF21" s="181">
        <v>1996943</v>
      </c>
      <c r="FG21" s="179">
        <v>62</v>
      </c>
      <c r="FH21" s="180">
        <v>5253</v>
      </c>
      <c r="FI21" s="180">
        <v>1171</v>
      </c>
      <c r="FJ21" s="180">
        <v>92680</v>
      </c>
      <c r="FK21" s="180">
        <v>391</v>
      </c>
      <c r="FL21" s="180">
        <v>47649</v>
      </c>
      <c r="FM21" s="180">
        <v>4924</v>
      </c>
      <c r="FN21" s="180">
        <v>594513</v>
      </c>
      <c r="FO21" s="180">
        <v>416</v>
      </c>
      <c r="FP21" s="180">
        <v>43802</v>
      </c>
      <c r="FQ21" s="180">
        <v>5839</v>
      </c>
      <c r="FR21" s="180">
        <v>686339</v>
      </c>
      <c r="FS21" s="180">
        <v>469</v>
      </c>
      <c r="FT21" s="180">
        <v>74013</v>
      </c>
      <c r="FU21" s="180">
        <v>5880</v>
      </c>
      <c r="FV21" s="180">
        <v>909921</v>
      </c>
      <c r="FW21" s="180">
        <v>170717</v>
      </c>
      <c r="FX21" s="180">
        <v>170717</v>
      </c>
      <c r="FY21" s="180">
        <v>17814</v>
      </c>
      <c r="FZ21" s="181">
        <v>2283451</v>
      </c>
      <c r="GA21" s="179"/>
      <c r="GB21" s="180"/>
      <c r="GC21" s="180"/>
      <c r="GD21" s="180"/>
      <c r="GE21" s="180"/>
      <c r="GF21" s="180"/>
      <c r="GG21" s="180"/>
      <c r="GH21" s="180"/>
      <c r="GI21" s="180"/>
      <c r="GJ21" s="180"/>
      <c r="GK21" s="180"/>
      <c r="GL21" s="180"/>
      <c r="GM21" s="180"/>
      <c r="GN21" s="180"/>
      <c r="GO21" s="180"/>
      <c r="GP21" s="180"/>
      <c r="GQ21" s="180"/>
      <c r="GR21" s="180"/>
      <c r="GS21" s="180"/>
      <c r="GT21" s="181"/>
      <c r="GU21" s="179">
        <v>54</v>
      </c>
      <c r="GV21" s="180">
        <v>3840</v>
      </c>
      <c r="GW21" s="180">
        <v>1418</v>
      </c>
      <c r="GX21" s="180">
        <v>109770</v>
      </c>
      <c r="GY21" s="180">
        <v>244</v>
      </c>
      <c r="GZ21" s="180">
        <v>35174</v>
      </c>
      <c r="HA21" s="180">
        <v>5845</v>
      </c>
      <c r="HB21" s="180">
        <v>705289</v>
      </c>
      <c r="HC21" s="180">
        <v>263</v>
      </c>
      <c r="HD21" s="180">
        <v>32488</v>
      </c>
      <c r="HE21" s="180">
        <v>7043</v>
      </c>
      <c r="HF21" s="180">
        <v>832778</v>
      </c>
      <c r="HG21" s="180">
        <v>497</v>
      </c>
      <c r="HH21" s="180">
        <v>78382</v>
      </c>
      <c r="HI21" s="180">
        <v>7321</v>
      </c>
      <c r="HJ21" s="180">
        <v>1144744</v>
      </c>
      <c r="HK21" s="180">
        <v>1058</v>
      </c>
      <c r="HL21" s="180">
        <v>149883</v>
      </c>
      <c r="HM21" s="180">
        <v>21626</v>
      </c>
      <c r="HN21" s="181">
        <v>2792581</v>
      </c>
      <c r="HO21" s="179">
        <v>90</v>
      </c>
      <c r="HP21" s="180">
        <v>6728</v>
      </c>
      <c r="HQ21" s="180">
        <v>1600</v>
      </c>
      <c r="HR21" s="180">
        <v>123149</v>
      </c>
      <c r="HS21" s="180">
        <v>292</v>
      </c>
      <c r="HT21" s="180">
        <v>37385</v>
      </c>
      <c r="HU21" s="180">
        <v>6349</v>
      </c>
      <c r="HV21" s="180">
        <v>769702</v>
      </c>
      <c r="HW21" s="180">
        <v>368</v>
      </c>
      <c r="HX21" s="180">
        <v>43973</v>
      </c>
      <c r="HY21" s="180">
        <v>7697</v>
      </c>
      <c r="HZ21" s="180">
        <v>908344</v>
      </c>
      <c r="IA21" s="180">
        <v>536</v>
      </c>
      <c r="IB21" s="180">
        <v>87195</v>
      </c>
      <c r="IC21" s="180">
        <v>8193</v>
      </c>
      <c r="ID21" s="180">
        <v>1303639</v>
      </c>
      <c r="IE21" s="180">
        <v>1287</v>
      </c>
      <c r="IF21" s="180">
        <v>175282</v>
      </c>
      <c r="IG21" s="180">
        <v>23839</v>
      </c>
      <c r="IH21" s="181">
        <v>3104836</v>
      </c>
    </row>
    <row r="22" spans="2:242">
      <c r="B22" s="175">
        <v>20</v>
      </c>
      <c r="C22" s="179"/>
      <c r="D22" s="180"/>
      <c r="E22" s="180"/>
      <c r="F22" s="180"/>
      <c r="G22" s="180"/>
      <c r="H22" s="180"/>
      <c r="I22" s="180"/>
      <c r="J22" s="180"/>
      <c r="K22" s="180"/>
      <c r="L22" s="180"/>
      <c r="M22" s="180"/>
      <c r="N22" s="180"/>
      <c r="O22" s="180"/>
      <c r="P22" s="180"/>
      <c r="Q22" s="180"/>
      <c r="R22" s="180"/>
      <c r="S22" s="180"/>
      <c r="T22" s="180"/>
      <c r="U22" s="180"/>
      <c r="V22" s="181"/>
      <c r="W22" s="179">
        <v>71</v>
      </c>
      <c r="X22" s="180">
        <v>5258</v>
      </c>
      <c r="Y22" s="180">
        <v>207</v>
      </c>
      <c r="Z22" s="180">
        <v>16084</v>
      </c>
      <c r="AA22" s="180">
        <v>425</v>
      </c>
      <c r="AB22" s="180">
        <v>48606</v>
      </c>
      <c r="AC22" s="180">
        <v>1158</v>
      </c>
      <c r="AD22" s="180">
        <v>131934</v>
      </c>
      <c r="AE22" s="180">
        <v>459</v>
      </c>
      <c r="AF22" s="180">
        <v>58358</v>
      </c>
      <c r="AG22" s="180">
        <v>1253</v>
      </c>
      <c r="AH22" s="180">
        <v>164204</v>
      </c>
      <c r="AI22" s="180">
        <v>500</v>
      </c>
      <c r="AJ22" s="180">
        <v>78585</v>
      </c>
      <c r="AK22" s="180">
        <v>1165</v>
      </c>
      <c r="AL22" s="180">
        <v>183523</v>
      </c>
      <c r="AM22" s="180">
        <v>190806</v>
      </c>
      <c r="AN22" s="180">
        <v>190806</v>
      </c>
      <c r="AO22" s="180">
        <v>3783</v>
      </c>
      <c r="AP22" s="181">
        <v>495745</v>
      </c>
      <c r="AQ22" s="179">
        <v>76</v>
      </c>
      <c r="AR22" s="180">
        <v>6118</v>
      </c>
      <c r="AS22" s="180">
        <v>326</v>
      </c>
      <c r="AT22" s="180">
        <v>25364</v>
      </c>
      <c r="AU22" s="180">
        <v>371</v>
      </c>
      <c r="AV22" s="180">
        <v>42343</v>
      </c>
      <c r="AW22" s="180">
        <v>1685</v>
      </c>
      <c r="AX22" s="180">
        <v>195677</v>
      </c>
      <c r="AY22" s="180">
        <v>405</v>
      </c>
      <c r="AZ22" s="180">
        <v>41962</v>
      </c>
      <c r="BA22" s="180">
        <v>1977</v>
      </c>
      <c r="BB22" s="180">
        <v>237509</v>
      </c>
      <c r="BC22" s="180">
        <v>434</v>
      </c>
      <c r="BD22" s="180">
        <v>63895</v>
      </c>
      <c r="BE22" s="180">
        <v>1756</v>
      </c>
      <c r="BF22" s="180">
        <v>272922</v>
      </c>
      <c r="BG22" s="180">
        <v>154318</v>
      </c>
      <c r="BH22" s="180">
        <v>154318</v>
      </c>
      <c r="BI22" s="180">
        <v>5743</v>
      </c>
      <c r="BJ22" s="181">
        <v>731471</v>
      </c>
      <c r="BK22" s="179"/>
      <c r="BL22" s="180"/>
      <c r="BM22" s="180"/>
      <c r="BN22" s="180"/>
      <c r="BO22" s="180"/>
      <c r="BP22" s="180"/>
      <c r="BQ22" s="180"/>
      <c r="BR22" s="180"/>
      <c r="BS22" s="180"/>
      <c r="BT22" s="180"/>
      <c r="BU22" s="180"/>
      <c r="BV22" s="180"/>
      <c r="BW22" s="180"/>
      <c r="BX22" s="180"/>
      <c r="BY22" s="180"/>
      <c r="BZ22" s="180"/>
      <c r="CA22" s="180"/>
      <c r="CB22" s="180"/>
      <c r="CC22" s="180"/>
      <c r="CD22" s="181"/>
      <c r="CE22" s="179"/>
      <c r="CF22" s="180"/>
      <c r="CG22" s="180"/>
      <c r="CH22" s="180"/>
      <c r="CI22" s="180"/>
      <c r="CJ22" s="180"/>
      <c r="CK22" s="180"/>
      <c r="CL22" s="180"/>
      <c r="CM22" s="180"/>
      <c r="CN22" s="180"/>
      <c r="CO22" s="180"/>
      <c r="CP22" s="180"/>
      <c r="CQ22" s="180"/>
      <c r="CR22" s="180"/>
      <c r="CS22" s="180"/>
      <c r="CT22" s="180"/>
      <c r="CU22" s="180"/>
      <c r="CV22" s="180"/>
      <c r="CW22" s="180"/>
      <c r="CX22" s="181"/>
      <c r="CY22" s="179">
        <v>80</v>
      </c>
      <c r="CZ22" s="180">
        <v>6762</v>
      </c>
      <c r="DA22" s="180">
        <v>694</v>
      </c>
      <c r="DB22" s="180">
        <v>53798</v>
      </c>
      <c r="DC22" s="180">
        <v>416</v>
      </c>
      <c r="DD22" s="180">
        <v>46529</v>
      </c>
      <c r="DE22" s="180">
        <v>3341</v>
      </c>
      <c r="DF22" s="180">
        <v>391544</v>
      </c>
      <c r="DG22" s="180">
        <v>362</v>
      </c>
      <c r="DH22" s="180">
        <v>46746</v>
      </c>
      <c r="DI22" s="180">
        <v>4002</v>
      </c>
      <c r="DJ22" s="180">
        <v>471713</v>
      </c>
      <c r="DK22" s="180">
        <v>461</v>
      </c>
      <c r="DL22" s="180">
        <v>71744</v>
      </c>
      <c r="DM22" s="180">
        <v>3821</v>
      </c>
      <c r="DN22" s="180">
        <v>585299</v>
      </c>
      <c r="DO22" s="180">
        <v>171780</v>
      </c>
      <c r="DP22" s="180">
        <v>171780</v>
      </c>
      <c r="DQ22" s="180">
        <v>11857</v>
      </c>
      <c r="DR22" s="181">
        <v>1502354</v>
      </c>
      <c r="DS22" s="179"/>
      <c r="DT22" s="180"/>
      <c r="DU22" s="180"/>
      <c r="DV22" s="180"/>
      <c r="DW22" s="180"/>
      <c r="DX22" s="180"/>
      <c r="DY22" s="180"/>
      <c r="DZ22" s="180"/>
      <c r="EA22" s="180"/>
      <c r="EB22" s="180"/>
      <c r="EC22" s="180"/>
      <c r="ED22" s="180"/>
      <c r="EE22" s="180"/>
      <c r="EF22" s="180"/>
      <c r="EG22" s="180"/>
      <c r="EH22" s="180"/>
      <c r="EI22" s="180"/>
      <c r="EJ22" s="180"/>
      <c r="EK22" s="180"/>
      <c r="EL22" s="181"/>
      <c r="EM22" s="179">
        <v>112</v>
      </c>
      <c r="EN22" s="180">
        <v>9575</v>
      </c>
      <c r="EO22" s="180">
        <v>1036</v>
      </c>
      <c r="EP22" s="180">
        <v>81447</v>
      </c>
      <c r="EQ22" s="180">
        <v>277</v>
      </c>
      <c r="ER22" s="180">
        <v>36356</v>
      </c>
      <c r="ES22" s="180">
        <v>4314</v>
      </c>
      <c r="ET22" s="180">
        <v>516675</v>
      </c>
      <c r="EU22" s="180">
        <v>238</v>
      </c>
      <c r="EV22" s="180">
        <v>31934</v>
      </c>
      <c r="EW22" s="180">
        <v>5224</v>
      </c>
      <c r="EX22" s="180">
        <v>616540</v>
      </c>
      <c r="EY22" s="180">
        <v>390</v>
      </c>
      <c r="EZ22" s="180">
        <v>62174</v>
      </c>
      <c r="FA22" s="180">
        <v>5166</v>
      </c>
      <c r="FB22" s="180">
        <v>797868</v>
      </c>
      <c r="FC22" s="180">
        <v>140038</v>
      </c>
      <c r="FD22" s="180">
        <v>140038</v>
      </c>
      <c r="FE22" s="180">
        <v>15739</v>
      </c>
      <c r="FF22" s="181">
        <v>2012530</v>
      </c>
      <c r="FG22" s="179">
        <v>62</v>
      </c>
      <c r="FH22" s="180">
        <v>5253</v>
      </c>
      <c r="FI22" s="180">
        <v>1171</v>
      </c>
      <c r="FJ22" s="180">
        <v>92680</v>
      </c>
      <c r="FK22" s="180">
        <v>408</v>
      </c>
      <c r="FL22" s="180">
        <v>49826</v>
      </c>
      <c r="FM22" s="180">
        <v>4941</v>
      </c>
      <c r="FN22" s="180">
        <v>596691</v>
      </c>
      <c r="FO22" s="180">
        <v>500</v>
      </c>
      <c r="FP22" s="180">
        <v>50396</v>
      </c>
      <c r="FQ22" s="180">
        <v>5924</v>
      </c>
      <c r="FR22" s="180">
        <v>692931</v>
      </c>
      <c r="FS22" s="180">
        <v>497</v>
      </c>
      <c r="FT22" s="180">
        <v>78454</v>
      </c>
      <c r="FU22" s="180">
        <v>5908</v>
      </c>
      <c r="FV22" s="180">
        <v>914364</v>
      </c>
      <c r="FW22" s="180">
        <v>183930</v>
      </c>
      <c r="FX22" s="180">
        <v>183930</v>
      </c>
      <c r="FY22" s="180">
        <v>17945</v>
      </c>
      <c r="FZ22" s="181">
        <v>2296666</v>
      </c>
      <c r="GA22" s="179"/>
      <c r="GB22" s="180"/>
      <c r="GC22" s="180"/>
      <c r="GD22" s="180"/>
      <c r="GE22" s="180"/>
      <c r="GF22" s="180"/>
      <c r="GG22" s="180"/>
      <c r="GH22" s="180"/>
      <c r="GI22" s="180"/>
      <c r="GJ22" s="180"/>
      <c r="GK22" s="180"/>
      <c r="GL22" s="180"/>
      <c r="GM22" s="180"/>
      <c r="GN22" s="180"/>
      <c r="GO22" s="180"/>
      <c r="GP22" s="180"/>
      <c r="GQ22" s="180"/>
      <c r="GR22" s="180"/>
      <c r="GS22" s="180"/>
      <c r="GT22" s="181"/>
      <c r="GU22" s="179">
        <v>54</v>
      </c>
      <c r="GV22" s="180">
        <v>3840</v>
      </c>
      <c r="GW22" s="180">
        <v>1418</v>
      </c>
      <c r="GX22" s="180">
        <v>109770</v>
      </c>
      <c r="GY22" s="180">
        <v>277</v>
      </c>
      <c r="GZ22" s="180">
        <v>39077</v>
      </c>
      <c r="HA22" s="180">
        <v>5878</v>
      </c>
      <c r="HB22" s="180">
        <v>709192</v>
      </c>
      <c r="HC22" s="180">
        <v>306</v>
      </c>
      <c r="HD22" s="180">
        <v>34950</v>
      </c>
      <c r="HE22" s="180">
        <v>7085</v>
      </c>
      <c r="HF22" s="180">
        <v>835240</v>
      </c>
      <c r="HG22" s="180">
        <v>523</v>
      </c>
      <c r="HH22" s="180">
        <v>82934</v>
      </c>
      <c r="HI22" s="180">
        <v>7348</v>
      </c>
      <c r="HJ22" s="180">
        <v>1149297</v>
      </c>
      <c r="HK22" s="180">
        <v>1159</v>
      </c>
      <c r="HL22" s="180">
        <v>160800</v>
      </c>
      <c r="HM22" s="180">
        <v>21727</v>
      </c>
      <c r="HN22" s="181">
        <v>2803499</v>
      </c>
      <c r="HO22" s="179">
        <v>97</v>
      </c>
      <c r="HP22" s="180">
        <v>7081</v>
      </c>
      <c r="HQ22" s="180">
        <v>1606</v>
      </c>
      <c r="HR22" s="180">
        <v>123503</v>
      </c>
      <c r="HS22" s="180">
        <v>316</v>
      </c>
      <c r="HT22" s="180">
        <v>40436</v>
      </c>
      <c r="HU22" s="180">
        <v>6373</v>
      </c>
      <c r="HV22" s="180">
        <v>772752</v>
      </c>
      <c r="HW22" s="180">
        <v>383</v>
      </c>
      <c r="HX22" s="180">
        <v>44994</v>
      </c>
      <c r="HY22" s="180">
        <v>7713</v>
      </c>
      <c r="HZ22" s="180">
        <v>909365</v>
      </c>
      <c r="IA22" s="180">
        <v>554</v>
      </c>
      <c r="IB22" s="180">
        <v>91343</v>
      </c>
      <c r="IC22" s="180">
        <v>8210</v>
      </c>
      <c r="ID22" s="180">
        <v>1307786</v>
      </c>
      <c r="IE22" s="180">
        <v>1350</v>
      </c>
      <c r="IF22" s="180">
        <v>183854</v>
      </c>
      <c r="IG22" s="180">
        <v>23902</v>
      </c>
      <c r="IH22" s="181">
        <v>3113408</v>
      </c>
    </row>
    <row r="23" spans="2:242">
      <c r="B23" s="175">
        <v>21</v>
      </c>
      <c r="C23" s="179">
        <v>91</v>
      </c>
      <c r="D23" s="180">
        <v>6596</v>
      </c>
      <c r="E23" s="180">
        <v>91</v>
      </c>
      <c r="F23" s="180">
        <v>6596</v>
      </c>
      <c r="G23" s="180">
        <v>454</v>
      </c>
      <c r="H23" s="180">
        <v>50135</v>
      </c>
      <c r="I23" s="180">
        <v>454</v>
      </c>
      <c r="J23" s="180">
        <v>50135</v>
      </c>
      <c r="K23" s="180">
        <v>378</v>
      </c>
      <c r="L23" s="180">
        <v>51782</v>
      </c>
      <c r="M23" s="180">
        <v>378</v>
      </c>
      <c r="N23" s="180">
        <v>51782</v>
      </c>
      <c r="O23" s="180">
        <v>471</v>
      </c>
      <c r="P23" s="180">
        <v>74711</v>
      </c>
      <c r="Q23" s="180">
        <v>471</v>
      </c>
      <c r="R23" s="180">
        <v>74711</v>
      </c>
      <c r="S23" s="180">
        <v>183222</v>
      </c>
      <c r="T23" s="180">
        <v>183222</v>
      </c>
      <c r="U23" s="180">
        <v>1393</v>
      </c>
      <c r="V23" s="181">
        <v>183222</v>
      </c>
      <c r="W23" s="179">
        <v>71</v>
      </c>
      <c r="X23" s="180">
        <v>5258</v>
      </c>
      <c r="Y23" s="180">
        <v>207</v>
      </c>
      <c r="Z23" s="180">
        <v>16084</v>
      </c>
      <c r="AA23" s="180">
        <v>446</v>
      </c>
      <c r="AB23" s="180">
        <v>50784</v>
      </c>
      <c r="AC23" s="180">
        <v>1179</v>
      </c>
      <c r="AD23" s="180">
        <v>134112</v>
      </c>
      <c r="AE23" s="180">
        <v>508</v>
      </c>
      <c r="AF23" s="180">
        <v>66107</v>
      </c>
      <c r="AG23" s="180">
        <v>1303</v>
      </c>
      <c r="AH23" s="180">
        <v>171952</v>
      </c>
      <c r="AI23" s="180">
        <v>526</v>
      </c>
      <c r="AJ23" s="180">
        <v>82578</v>
      </c>
      <c r="AK23" s="180">
        <v>1192</v>
      </c>
      <c r="AL23" s="180">
        <v>187518</v>
      </c>
      <c r="AM23" s="180">
        <v>204726</v>
      </c>
      <c r="AN23" s="180">
        <v>204726</v>
      </c>
      <c r="AO23" s="180">
        <v>3880</v>
      </c>
      <c r="AP23" s="181">
        <v>509666</v>
      </c>
      <c r="AQ23" s="179">
        <v>81</v>
      </c>
      <c r="AR23" s="180">
        <v>6351</v>
      </c>
      <c r="AS23" s="180">
        <v>331</v>
      </c>
      <c r="AT23" s="180">
        <v>25596</v>
      </c>
      <c r="AU23" s="180">
        <v>399</v>
      </c>
      <c r="AV23" s="180">
        <v>45398</v>
      </c>
      <c r="AW23" s="180">
        <v>1713</v>
      </c>
      <c r="AX23" s="180">
        <v>198730</v>
      </c>
      <c r="AY23" s="180">
        <v>485</v>
      </c>
      <c r="AZ23" s="180">
        <v>49330</v>
      </c>
      <c r="BA23" s="180">
        <v>2057</v>
      </c>
      <c r="BB23" s="180">
        <v>244877</v>
      </c>
      <c r="BC23" s="180">
        <v>462</v>
      </c>
      <c r="BD23" s="180">
        <v>68413</v>
      </c>
      <c r="BE23" s="180">
        <v>1784</v>
      </c>
      <c r="BF23" s="180">
        <v>277440</v>
      </c>
      <c r="BG23" s="180">
        <v>169493</v>
      </c>
      <c r="BH23" s="180">
        <v>169493</v>
      </c>
      <c r="BI23" s="180">
        <v>5884</v>
      </c>
      <c r="BJ23" s="181">
        <v>746645</v>
      </c>
      <c r="BK23" s="179"/>
      <c r="BL23" s="180"/>
      <c r="BM23" s="180"/>
      <c r="BN23" s="180"/>
      <c r="BO23" s="180"/>
      <c r="BP23" s="180"/>
      <c r="BQ23" s="180"/>
      <c r="BR23" s="180"/>
      <c r="BS23" s="180"/>
      <c r="BT23" s="180"/>
      <c r="BU23" s="180"/>
      <c r="BV23" s="180"/>
      <c r="BW23" s="180"/>
      <c r="BX23" s="180"/>
      <c r="BY23" s="180"/>
      <c r="BZ23" s="180"/>
      <c r="CA23" s="180"/>
      <c r="CB23" s="180"/>
      <c r="CC23" s="180"/>
      <c r="CD23" s="181"/>
      <c r="CE23" s="179">
        <v>80</v>
      </c>
      <c r="CF23" s="180">
        <v>5849</v>
      </c>
      <c r="CG23" s="180">
        <v>590</v>
      </c>
      <c r="CH23" s="180">
        <v>45449</v>
      </c>
      <c r="CI23" s="180">
        <v>273</v>
      </c>
      <c r="CJ23" s="180">
        <v>30597</v>
      </c>
      <c r="CK23" s="180">
        <v>2684</v>
      </c>
      <c r="CL23" s="180">
        <v>311815</v>
      </c>
      <c r="CM23" s="180">
        <v>295</v>
      </c>
      <c r="CN23" s="180">
        <v>36680</v>
      </c>
      <c r="CO23" s="180">
        <v>3350</v>
      </c>
      <c r="CP23" s="180">
        <v>392423</v>
      </c>
      <c r="CQ23" s="180">
        <v>418</v>
      </c>
      <c r="CR23" s="180">
        <v>61966</v>
      </c>
      <c r="CS23" s="180">
        <v>3105</v>
      </c>
      <c r="CT23" s="180">
        <v>473950</v>
      </c>
      <c r="CU23" s="180">
        <v>135091</v>
      </c>
      <c r="CV23" s="180">
        <v>135091</v>
      </c>
      <c r="CW23" s="180">
        <v>9729</v>
      </c>
      <c r="CX23" s="181">
        <v>1223636</v>
      </c>
      <c r="CY23" s="179">
        <v>83</v>
      </c>
      <c r="CZ23" s="180">
        <v>7032</v>
      </c>
      <c r="DA23" s="180">
        <v>696</v>
      </c>
      <c r="DB23" s="180">
        <v>54069</v>
      </c>
      <c r="DC23" s="180">
        <v>447</v>
      </c>
      <c r="DD23" s="180">
        <v>49960</v>
      </c>
      <c r="DE23" s="180">
        <v>3372</v>
      </c>
      <c r="DF23" s="180">
        <v>394975</v>
      </c>
      <c r="DG23" s="180">
        <v>416</v>
      </c>
      <c r="DH23" s="180">
        <v>54009</v>
      </c>
      <c r="DI23" s="180">
        <v>4055</v>
      </c>
      <c r="DJ23" s="180">
        <v>478974</v>
      </c>
      <c r="DK23" s="180">
        <v>499</v>
      </c>
      <c r="DL23" s="180">
        <v>78003</v>
      </c>
      <c r="DM23" s="180">
        <v>3858</v>
      </c>
      <c r="DN23" s="180">
        <v>591558</v>
      </c>
      <c r="DO23" s="180">
        <v>189002</v>
      </c>
      <c r="DP23" s="180">
        <v>189002</v>
      </c>
      <c r="DQ23" s="180">
        <v>11981</v>
      </c>
      <c r="DR23" s="181">
        <v>1519575</v>
      </c>
      <c r="DS23" s="179"/>
      <c r="DT23" s="180"/>
      <c r="DU23" s="180"/>
      <c r="DV23" s="180"/>
      <c r="DW23" s="180"/>
      <c r="DX23" s="180"/>
      <c r="DY23" s="180"/>
      <c r="DZ23" s="180"/>
      <c r="EA23" s="180"/>
      <c r="EB23" s="180"/>
      <c r="EC23" s="180"/>
      <c r="ED23" s="180"/>
      <c r="EE23" s="180"/>
      <c r="EF23" s="180"/>
      <c r="EG23" s="180"/>
      <c r="EH23" s="180"/>
      <c r="EI23" s="180"/>
      <c r="EJ23" s="180"/>
      <c r="EK23" s="180"/>
      <c r="EL23" s="181"/>
      <c r="EM23" s="179">
        <v>113</v>
      </c>
      <c r="EN23" s="180">
        <v>9675</v>
      </c>
      <c r="EO23" s="180">
        <v>1037</v>
      </c>
      <c r="EP23" s="180">
        <v>81547</v>
      </c>
      <c r="EQ23" s="180">
        <v>293</v>
      </c>
      <c r="ER23" s="180">
        <v>37503</v>
      </c>
      <c r="ES23" s="180">
        <v>4330</v>
      </c>
      <c r="ET23" s="180">
        <v>517822</v>
      </c>
      <c r="EU23" s="180">
        <v>246</v>
      </c>
      <c r="EV23" s="180">
        <v>33449</v>
      </c>
      <c r="EW23" s="180">
        <v>5232</v>
      </c>
      <c r="EX23" s="180">
        <v>618055</v>
      </c>
      <c r="EY23" s="180">
        <v>413</v>
      </c>
      <c r="EZ23" s="180">
        <v>66527</v>
      </c>
      <c r="FA23" s="180">
        <v>5189</v>
      </c>
      <c r="FB23" s="180">
        <v>802221</v>
      </c>
      <c r="FC23" s="180">
        <v>147153</v>
      </c>
      <c r="FD23" s="180">
        <v>147153</v>
      </c>
      <c r="FE23" s="180">
        <v>15788</v>
      </c>
      <c r="FF23" s="181">
        <v>2019645</v>
      </c>
      <c r="FG23" s="179">
        <v>86</v>
      </c>
      <c r="FH23" s="180">
        <v>6534</v>
      </c>
      <c r="FI23" s="180">
        <v>1195</v>
      </c>
      <c r="FJ23" s="180">
        <v>93961</v>
      </c>
      <c r="FK23" s="180">
        <v>416</v>
      </c>
      <c r="FL23" s="180">
        <v>50784</v>
      </c>
      <c r="FM23" s="180">
        <v>4949</v>
      </c>
      <c r="FN23" s="180">
        <v>597648</v>
      </c>
      <c r="FO23" s="180">
        <v>500</v>
      </c>
      <c r="FP23" s="180">
        <v>50407</v>
      </c>
      <c r="FQ23" s="180">
        <v>5924</v>
      </c>
      <c r="FR23" s="180">
        <v>692942</v>
      </c>
      <c r="FS23" s="180">
        <v>515</v>
      </c>
      <c r="FT23" s="180">
        <v>81488</v>
      </c>
      <c r="FU23" s="180">
        <v>5927</v>
      </c>
      <c r="FV23" s="180">
        <v>917398</v>
      </c>
      <c r="FW23" s="180">
        <v>189213</v>
      </c>
      <c r="FX23" s="180">
        <v>189213</v>
      </c>
      <c r="FY23" s="180">
        <v>17994</v>
      </c>
      <c r="FZ23" s="181">
        <v>2301948</v>
      </c>
      <c r="GA23" s="179">
        <v>93</v>
      </c>
      <c r="GB23" s="180">
        <v>6442</v>
      </c>
      <c r="GC23" s="180">
        <v>1313</v>
      </c>
      <c r="GD23" s="180">
        <v>102388</v>
      </c>
      <c r="GE23" s="180">
        <v>285</v>
      </c>
      <c r="GF23" s="180">
        <v>31495</v>
      </c>
      <c r="GG23" s="180">
        <v>5438</v>
      </c>
      <c r="GH23" s="180">
        <v>649750</v>
      </c>
      <c r="GI23" s="180">
        <v>434</v>
      </c>
      <c r="GJ23" s="180">
        <v>57057</v>
      </c>
      <c r="GK23" s="180">
        <v>6503</v>
      </c>
      <c r="GL23" s="180">
        <v>765787</v>
      </c>
      <c r="GM23" s="180">
        <v>497</v>
      </c>
      <c r="GN23" s="180">
        <v>83953</v>
      </c>
      <c r="GO23" s="180">
        <v>6573</v>
      </c>
      <c r="GP23" s="180">
        <v>1026612</v>
      </c>
      <c r="GQ23" s="180">
        <v>1310</v>
      </c>
      <c r="GR23" s="180">
        <v>178946</v>
      </c>
      <c r="GS23" s="180">
        <v>19827</v>
      </c>
      <c r="GT23" s="181">
        <v>2544539</v>
      </c>
      <c r="GU23" s="179">
        <v>78</v>
      </c>
      <c r="GV23" s="180">
        <v>5885</v>
      </c>
      <c r="GW23" s="180">
        <v>1441</v>
      </c>
      <c r="GX23" s="180">
        <v>111814</v>
      </c>
      <c r="GY23" s="180">
        <v>311</v>
      </c>
      <c r="GZ23" s="180">
        <v>45162</v>
      </c>
      <c r="HA23" s="180">
        <v>5913</v>
      </c>
      <c r="HB23" s="180">
        <v>715278</v>
      </c>
      <c r="HC23" s="180">
        <v>352</v>
      </c>
      <c r="HD23" s="180">
        <v>41431</v>
      </c>
      <c r="HE23" s="180">
        <v>7131</v>
      </c>
      <c r="HF23" s="180">
        <v>841720</v>
      </c>
      <c r="HG23" s="180">
        <v>564</v>
      </c>
      <c r="HH23" s="180">
        <v>88495</v>
      </c>
      <c r="HI23" s="180">
        <v>7389</v>
      </c>
      <c r="HJ23" s="180">
        <v>1154857</v>
      </c>
      <c r="HK23" s="180">
        <v>1305</v>
      </c>
      <c r="HL23" s="180">
        <v>180972</v>
      </c>
      <c r="HM23" s="180">
        <v>21873</v>
      </c>
      <c r="HN23" s="181">
        <v>2823670</v>
      </c>
      <c r="HO23" s="179"/>
      <c r="HP23" s="180"/>
      <c r="HQ23" s="180"/>
      <c r="HR23" s="180"/>
      <c r="HS23" s="180"/>
      <c r="HT23" s="180"/>
      <c r="HU23" s="180"/>
      <c r="HV23" s="180"/>
      <c r="HW23" s="180"/>
      <c r="HX23" s="180"/>
      <c r="HY23" s="180"/>
      <c r="HZ23" s="180"/>
      <c r="IA23" s="180"/>
      <c r="IB23" s="180"/>
      <c r="IC23" s="180"/>
      <c r="ID23" s="180"/>
      <c r="IE23" s="180"/>
      <c r="IF23" s="180"/>
      <c r="IG23" s="180"/>
      <c r="IH23" s="181"/>
    </row>
    <row r="24" spans="2:242">
      <c r="B24" s="175">
        <v>22</v>
      </c>
      <c r="C24" s="179">
        <v>91</v>
      </c>
      <c r="D24" s="180">
        <v>6596</v>
      </c>
      <c r="E24" s="180">
        <v>91</v>
      </c>
      <c r="F24" s="180">
        <v>6596</v>
      </c>
      <c r="G24" s="180">
        <v>496</v>
      </c>
      <c r="H24" s="180">
        <v>55463</v>
      </c>
      <c r="I24" s="180">
        <v>496</v>
      </c>
      <c r="J24" s="180">
        <v>55463</v>
      </c>
      <c r="K24" s="180">
        <v>426</v>
      </c>
      <c r="L24" s="180">
        <v>58069</v>
      </c>
      <c r="M24" s="180">
        <v>426</v>
      </c>
      <c r="N24" s="180">
        <v>58069</v>
      </c>
      <c r="O24" s="180">
        <v>507</v>
      </c>
      <c r="P24" s="180">
        <v>80266</v>
      </c>
      <c r="Q24" s="180">
        <v>507</v>
      </c>
      <c r="R24" s="180">
        <v>80266</v>
      </c>
      <c r="S24" s="180">
        <v>200395</v>
      </c>
      <c r="T24" s="180">
        <v>200395</v>
      </c>
      <c r="U24" s="180">
        <v>1520</v>
      </c>
      <c r="V24" s="181">
        <v>200395</v>
      </c>
      <c r="W24" s="179">
        <v>76</v>
      </c>
      <c r="X24" s="180">
        <v>5633</v>
      </c>
      <c r="Y24" s="180">
        <v>212</v>
      </c>
      <c r="Z24" s="180">
        <v>16458</v>
      </c>
      <c r="AA24" s="180">
        <v>472</v>
      </c>
      <c r="AB24" s="180">
        <v>53105</v>
      </c>
      <c r="AC24" s="180">
        <v>1204</v>
      </c>
      <c r="AD24" s="180">
        <v>136432</v>
      </c>
      <c r="AE24" s="180">
        <v>556</v>
      </c>
      <c r="AF24" s="180">
        <v>68524</v>
      </c>
      <c r="AG24" s="180">
        <v>1351</v>
      </c>
      <c r="AH24" s="180">
        <v>174370</v>
      </c>
      <c r="AI24" s="180">
        <v>561</v>
      </c>
      <c r="AJ24" s="180">
        <v>89333</v>
      </c>
      <c r="AK24" s="180">
        <v>1226</v>
      </c>
      <c r="AL24" s="180">
        <v>194273</v>
      </c>
      <c r="AM24" s="180">
        <v>216594</v>
      </c>
      <c r="AN24" s="180">
        <v>216594</v>
      </c>
      <c r="AO24" s="180">
        <v>3993</v>
      </c>
      <c r="AP24" s="181">
        <v>521533</v>
      </c>
      <c r="AQ24" s="179">
        <v>81</v>
      </c>
      <c r="AR24" s="180">
        <v>6351</v>
      </c>
      <c r="AS24" s="180">
        <v>331</v>
      </c>
      <c r="AT24" s="180">
        <v>25596</v>
      </c>
      <c r="AU24" s="180">
        <v>451</v>
      </c>
      <c r="AV24" s="180">
        <v>50913</v>
      </c>
      <c r="AW24" s="180">
        <v>1764</v>
      </c>
      <c r="AX24" s="180">
        <v>204247</v>
      </c>
      <c r="AY24" s="180">
        <v>592</v>
      </c>
      <c r="AZ24" s="180">
        <v>57291</v>
      </c>
      <c r="BA24" s="180">
        <v>2163</v>
      </c>
      <c r="BB24" s="180">
        <v>252838</v>
      </c>
      <c r="BC24" s="180">
        <v>503</v>
      </c>
      <c r="BD24" s="180">
        <v>74273</v>
      </c>
      <c r="BE24" s="180">
        <v>1824</v>
      </c>
      <c r="BF24" s="180">
        <v>283301</v>
      </c>
      <c r="BG24" s="180">
        <v>188828</v>
      </c>
      <c r="BH24" s="180">
        <v>188828</v>
      </c>
      <c r="BI24" s="180">
        <v>6083</v>
      </c>
      <c r="BJ24" s="181">
        <v>765981</v>
      </c>
      <c r="BK24" s="179">
        <v>113</v>
      </c>
      <c r="BL24" s="180">
        <v>9279</v>
      </c>
      <c r="BM24" s="180">
        <v>475</v>
      </c>
      <c r="BN24" s="180">
        <v>36756</v>
      </c>
      <c r="BO24" s="180">
        <v>362</v>
      </c>
      <c r="BP24" s="180">
        <v>46027</v>
      </c>
      <c r="BQ24" s="180">
        <v>2274</v>
      </c>
      <c r="BR24" s="180">
        <v>265740</v>
      </c>
      <c r="BS24" s="180">
        <v>475</v>
      </c>
      <c r="BT24" s="180">
        <v>55450</v>
      </c>
      <c r="BU24" s="180">
        <v>2880</v>
      </c>
      <c r="BV24" s="180">
        <v>333530</v>
      </c>
      <c r="BW24" s="180">
        <v>489</v>
      </c>
      <c r="BX24" s="180">
        <v>71171</v>
      </c>
      <c r="BY24" s="180">
        <v>2480</v>
      </c>
      <c r="BZ24" s="180">
        <v>381238</v>
      </c>
      <c r="CA24" s="180">
        <v>181925</v>
      </c>
      <c r="CB24" s="180">
        <v>181925</v>
      </c>
      <c r="CC24" s="180">
        <v>8109</v>
      </c>
      <c r="CD24" s="181">
        <v>1017263</v>
      </c>
      <c r="CE24" s="179">
        <v>80</v>
      </c>
      <c r="CF24" s="180">
        <v>5849</v>
      </c>
      <c r="CG24" s="180">
        <v>590</v>
      </c>
      <c r="CH24" s="180">
        <v>45449</v>
      </c>
      <c r="CI24" s="180">
        <v>299</v>
      </c>
      <c r="CJ24" s="180">
        <v>33064</v>
      </c>
      <c r="CK24" s="180">
        <v>2711</v>
      </c>
      <c r="CL24" s="180">
        <v>314281</v>
      </c>
      <c r="CM24" s="180">
        <v>310</v>
      </c>
      <c r="CN24" s="180">
        <v>38531</v>
      </c>
      <c r="CO24" s="180">
        <v>3365</v>
      </c>
      <c r="CP24" s="180">
        <v>394274</v>
      </c>
      <c r="CQ24" s="180">
        <v>445</v>
      </c>
      <c r="CR24" s="180">
        <v>66529</v>
      </c>
      <c r="CS24" s="180">
        <v>3132</v>
      </c>
      <c r="CT24" s="180">
        <v>478513</v>
      </c>
      <c r="CU24" s="180">
        <v>143973</v>
      </c>
      <c r="CV24" s="180">
        <v>143973</v>
      </c>
      <c r="CW24" s="180">
        <v>9797</v>
      </c>
      <c r="CX24" s="181">
        <v>1232517</v>
      </c>
      <c r="CY24" s="179"/>
      <c r="CZ24" s="180"/>
      <c r="DA24" s="180"/>
      <c r="DB24" s="180"/>
      <c r="DC24" s="180"/>
      <c r="DD24" s="180"/>
      <c r="DE24" s="180"/>
      <c r="DF24" s="180"/>
      <c r="DG24" s="180"/>
      <c r="DH24" s="180"/>
      <c r="DI24" s="180"/>
      <c r="DJ24" s="180"/>
      <c r="DK24" s="180"/>
      <c r="DL24" s="180"/>
      <c r="DM24" s="180"/>
      <c r="DN24" s="180"/>
      <c r="DO24" s="180"/>
      <c r="DP24" s="180"/>
      <c r="DQ24" s="180"/>
      <c r="DR24" s="181"/>
      <c r="DS24" s="179">
        <v>151</v>
      </c>
      <c r="DT24" s="180">
        <v>12508</v>
      </c>
      <c r="DU24" s="180">
        <v>888</v>
      </c>
      <c r="DV24" s="180">
        <v>69684</v>
      </c>
      <c r="DW24" s="180">
        <v>381</v>
      </c>
      <c r="DX24" s="180">
        <v>51387</v>
      </c>
      <c r="DY24" s="180">
        <v>3886</v>
      </c>
      <c r="DZ24" s="180">
        <v>461805</v>
      </c>
      <c r="EA24" s="180">
        <v>511</v>
      </c>
      <c r="EB24" s="180">
        <v>55861</v>
      </c>
      <c r="EC24" s="180">
        <v>4785</v>
      </c>
      <c r="ED24" s="180">
        <v>561905</v>
      </c>
      <c r="EE24" s="180">
        <v>547</v>
      </c>
      <c r="EF24" s="180">
        <v>86814</v>
      </c>
      <c r="EG24" s="180">
        <v>4560</v>
      </c>
      <c r="EH24" s="180">
        <v>702211</v>
      </c>
      <c r="EI24" s="180">
        <v>206570</v>
      </c>
      <c r="EJ24" s="180">
        <v>206570</v>
      </c>
      <c r="EK24" s="180">
        <v>14118</v>
      </c>
      <c r="EL24" s="181">
        <v>1795609</v>
      </c>
      <c r="EM24" s="179">
        <v>113</v>
      </c>
      <c r="EN24" s="180">
        <v>9675</v>
      </c>
      <c r="EO24" s="180">
        <v>1037</v>
      </c>
      <c r="EP24" s="180">
        <v>81547</v>
      </c>
      <c r="EQ24" s="180">
        <v>325</v>
      </c>
      <c r="ER24" s="180">
        <v>41940</v>
      </c>
      <c r="ES24" s="180">
        <v>4363</v>
      </c>
      <c r="ET24" s="180">
        <v>522261</v>
      </c>
      <c r="EU24" s="180">
        <v>261</v>
      </c>
      <c r="EV24" s="180">
        <v>34674</v>
      </c>
      <c r="EW24" s="180">
        <v>5247</v>
      </c>
      <c r="EX24" s="180">
        <v>619278</v>
      </c>
      <c r="EY24" s="180">
        <v>434</v>
      </c>
      <c r="EZ24" s="180">
        <v>69569</v>
      </c>
      <c r="FA24" s="180">
        <v>5210</v>
      </c>
      <c r="FB24" s="180">
        <v>805262</v>
      </c>
      <c r="FC24" s="180">
        <v>155856</v>
      </c>
      <c r="FD24" s="180">
        <v>155856</v>
      </c>
      <c r="FE24" s="180">
        <v>15857</v>
      </c>
      <c r="FF24" s="181">
        <v>2028347</v>
      </c>
      <c r="FG24" s="179"/>
      <c r="FH24" s="180"/>
      <c r="FI24" s="180"/>
      <c r="FJ24" s="180"/>
      <c r="FK24" s="180"/>
      <c r="FL24" s="180"/>
      <c r="FM24" s="180"/>
      <c r="FN24" s="180"/>
      <c r="FO24" s="180"/>
      <c r="FP24" s="180"/>
      <c r="FQ24" s="180"/>
      <c r="FR24" s="180"/>
      <c r="FS24" s="180"/>
      <c r="FT24" s="180"/>
      <c r="FU24" s="180"/>
      <c r="FV24" s="180"/>
      <c r="FW24" s="180"/>
      <c r="FX24" s="180"/>
      <c r="FY24" s="180"/>
      <c r="FZ24" s="181"/>
      <c r="GA24" s="179">
        <v>93</v>
      </c>
      <c r="GB24" s="180">
        <v>6442</v>
      </c>
      <c r="GC24" s="180">
        <v>1313</v>
      </c>
      <c r="GD24" s="180">
        <v>102388</v>
      </c>
      <c r="GE24" s="180">
        <v>311</v>
      </c>
      <c r="GF24" s="180">
        <v>33765</v>
      </c>
      <c r="GG24" s="180">
        <v>5464</v>
      </c>
      <c r="GH24" s="180">
        <v>652021</v>
      </c>
      <c r="GI24" s="180">
        <v>474</v>
      </c>
      <c r="GJ24" s="180">
        <v>60431</v>
      </c>
      <c r="GK24" s="180">
        <v>6543</v>
      </c>
      <c r="GL24" s="180">
        <v>769162</v>
      </c>
      <c r="GM24" s="180">
        <v>550</v>
      </c>
      <c r="GN24" s="180">
        <v>91423</v>
      </c>
      <c r="GO24" s="180">
        <v>6626</v>
      </c>
      <c r="GP24" s="180">
        <v>1034084</v>
      </c>
      <c r="GQ24" s="180">
        <v>1428</v>
      </c>
      <c r="GR24" s="180">
        <v>192062</v>
      </c>
      <c r="GS24" s="180">
        <v>19945</v>
      </c>
      <c r="GT24" s="181">
        <v>2557655</v>
      </c>
      <c r="GU24" s="179">
        <v>91</v>
      </c>
      <c r="GV24" s="180">
        <v>6606</v>
      </c>
      <c r="GW24" s="180">
        <v>1455</v>
      </c>
      <c r="GX24" s="180">
        <v>112535</v>
      </c>
      <c r="GY24" s="180">
        <v>330</v>
      </c>
      <c r="GZ24" s="180">
        <v>47119</v>
      </c>
      <c r="HA24" s="180">
        <v>5931</v>
      </c>
      <c r="HB24" s="180">
        <v>717235</v>
      </c>
      <c r="HC24" s="180">
        <v>414</v>
      </c>
      <c r="HD24" s="180">
        <v>45569</v>
      </c>
      <c r="HE24" s="180">
        <v>7193</v>
      </c>
      <c r="HF24" s="180">
        <v>845858</v>
      </c>
      <c r="HG24" s="180">
        <v>676</v>
      </c>
      <c r="HH24" s="180">
        <v>124806</v>
      </c>
      <c r="HI24" s="180">
        <v>7501</v>
      </c>
      <c r="HJ24" s="180">
        <v>1191168</v>
      </c>
      <c r="HK24" s="180">
        <v>1512</v>
      </c>
      <c r="HL24" s="180">
        <v>224099</v>
      </c>
      <c r="HM24" s="180">
        <v>22080</v>
      </c>
      <c r="HN24" s="181">
        <v>2866797</v>
      </c>
      <c r="HO24" s="179"/>
      <c r="HP24" s="180"/>
      <c r="HQ24" s="180"/>
      <c r="HR24" s="180"/>
      <c r="HS24" s="180"/>
      <c r="HT24" s="180"/>
      <c r="HU24" s="180"/>
      <c r="HV24" s="180"/>
      <c r="HW24" s="180"/>
      <c r="HX24" s="180"/>
      <c r="HY24" s="180"/>
      <c r="HZ24" s="180"/>
      <c r="IA24" s="180"/>
      <c r="IB24" s="180"/>
      <c r="IC24" s="180"/>
      <c r="ID24" s="180"/>
      <c r="IE24" s="180"/>
      <c r="IF24" s="180"/>
      <c r="IG24" s="180"/>
      <c r="IH24" s="181"/>
    </row>
    <row r="25" spans="2:242">
      <c r="B25" s="175">
        <v>23</v>
      </c>
      <c r="C25" s="179">
        <v>92</v>
      </c>
      <c r="D25" s="180">
        <v>6664</v>
      </c>
      <c r="E25" s="180">
        <v>92</v>
      </c>
      <c r="F25" s="180">
        <v>6664</v>
      </c>
      <c r="G25" s="180">
        <v>532</v>
      </c>
      <c r="H25" s="180">
        <v>60069</v>
      </c>
      <c r="I25" s="180">
        <v>532</v>
      </c>
      <c r="J25" s="180">
        <v>60069</v>
      </c>
      <c r="K25" s="180">
        <v>465</v>
      </c>
      <c r="L25" s="180">
        <v>64712</v>
      </c>
      <c r="M25" s="180">
        <v>465</v>
      </c>
      <c r="N25" s="180">
        <v>64712</v>
      </c>
      <c r="O25" s="180">
        <v>538</v>
      </c>
      <c r="P25" s="180">
        <v>85073</v>
      </c>
      <c r="Q25" s="180">
        <v>538</v>
      </c>
      <c r="R25" s="180">
        <v>85073</v>
      </c>
      <c r="S25" s="180">
        <v>216520</v>
      </c>
      <c r="T25" s="180">
        <v>216520</v>
      </c>
      <c r="U25" s="180">
        <v>1626</v>
      </c>
      <c r="V25" s="181">
        <v>216520</v>
      </c>
      <c r="W25" s="179"/>
      <c r="X25" s="180"/>
      <c r="Y25" s="180"/>
      <c r="Z25" s="180"/>
      <c r="AA25" s="180"/>
      <c r="AB25" s="180"/>
      <c r="AC25" s="180"/>
      <c r="AD25" s="180"/>
      <c r="AE25" s="180"/>
      <c r="AF25" s="180"/>
      <c r="AG25" s="180"/>
      <c r="AH25" s="180"/>
      <c r="AI25" s="180"/>
      <c r="AJ25" s="180"/>
      <c r="AK25" s="180"/>
      <c r="AL25" s="180"/>
      <c r="AM25" s="180"/>
      <c r="AN25" s="180"/>
      <c r="AO25" s="180"/>
      <c r="AP25" s="181"/>
      <c r="AQ25" s="179"/>
      <c r="AR25" s="180"/>
      <c r="AS25" s="180"/>
      <c r="AT25" s="180"/>
      <c r="AU25" s="180"/>
      <c r="AV25" s="180"/>
      <c r="AW25" s="180"/>
      <c r="AX25" s="180"/>
      <c r="AY25" s="180"/>
      <c r="AZ25" s="180"/>
      <c r="BA25" s="180"/>
      <c r="BB25" s="180"/>
      <c r="BC25" s="180"/>
      <c r="BD25" s="180"/>
      <c r="BE25" s="180"/>
      <c r="BF25" s="180"/>
      <c r="BG25" s="180"/>
      <c r="BH25" s="180"/>
      <c r="BI25" s="180"/>
      <c r="BJ25" s="181"/>
      <c r="BK25" s="179">
        <v>113</v>
      </c>
      <c r="BL25" s="180">
        <v>9279</v>
      </c>
      <c r="BM25" s="180">
        <v>475</v>
      </c>
      <c r="BN25" s="180">
        <v>36756</v>
      </c>
      <c r="BO25" s="180">
        <v>385</v>
      </c>
      <c r="BP25" s="180">
        <v>47775</v>
      </c>
      <c r="BQ25" s="180">
        <v>2297</v>
      </c>
      <c r="BR25" s="180">
        <v>267486</v>
      </c>
      <c r="BS25" s="180">
        <v>487</v>
      </c>
      <c r="BT25" s="180">
        <v>57951</v>
      </c>
      <c r="BU25" s="180">
        <v>2893</v>
      </c>
      <c r="BV25" s="180">
        <v>336030</v>
      </c>
      <c r="BW25" s="180">
        <v>534</v>
      </c>
      <c r="BX25" s="180">
        <v>78136</v>
      </c>
      <c r="BY25" s="180">
        <v>2525</v>
      </c>
      <c r="BZ25" s="180">
        <v>388203</v>
      </c>
      <c r="CA25" s="180">
        <v>193141</v>
      </c>
      <c r="CB25" s="180">
        <v>193141</v>
      </c>
      <c r="CC25" s="180">
        <v>8190</v>
      </c>
      <c r="CD25" s="181">
        <v>1028479</v>
      </c>
      <c r="CE25" s="179">
        <v>84</v>
      </c>
      <c r="CF25" s="180">
        <v>6033</v>
      </c>
      <c r="CG25" s="180">
        <v>594</v>
      </c>
      <c r="CH25" s="180">
        <v>45633</v>
      </c>
      <c r="CI25" s="180">
        <v>341</v>
      </c>
      <c r="CJ25" s="180">
        <v>38163</v>
      </c>
      <c r="CK25" s="180">
        <v>2753</v>
      </c>
      <c r="CL25" s="180">
        <v>319380</v>
      </c>
      <c r="CM25" s="180">
        <v>335</v>
      </c>
      <c r="CN25" s="180">
        <v>42187</v>
      </c>
      <c r="CO25" s="180">
        <v>3390</v>
      </c>
      <c r="CP25" s="180">
        <v>397930</v>
      </c>
      <c r="CQ25" s="180">
        <v>487</v>
      </c>
      <c r="CR25" s="180">
        <v>72598</v>
      </c>
      <c r="CS25" s="180">
        <v>3174</v>
      </c>
      <c r="CT25" s="180">
        <v>484583</v>
      </c>
      <c r="CU25" s="180">
        <v>158982</v>
      </c>
      <c r="CV25" s="180">
        <v>158982</v>
      </c>
      <c r="CW25" s="180">
        <v>9910</v>
      </c>
      <c r="CX25" s="181">
        <v>1247526</v>
      </c>
      <c r="CY25" s="179"/>
      <c r="CZ25" s="180"/>
      <c r="DA25" s="180"/>
      <c r="DB25" s="180"/>
      <c r="DC25" s="180"/>
      <c r="DD25" s="180"/>
      <c r="DE25" s="180"/>
      <c r="DF25" s="180"/>
      <c r="DG25" s="180"/>
      <c r="DH25" s="180"/>
      <c r="DI25" s="180"/>
      <c r="DJ25" s="180"/>
      <c r="DK25" s="180"/>
      <c r="DL25" s="180"/>
      <c r="DM25" s="180"/>
      <c r="DN25" s="180"/>
      <c r="DO25" s="180"/>
      <c r="DP25" s="180"/>
      <c r="DQ25" s="180"/>
      <c r="DR25" s="181"/>
      <c r="DS25" s="179">
        <v>151</v>
      </c>
      <c r="DT25" s="180">
        <v>12508</v>
      </c>
      <c r="DU25" s="180">
        <v>888</v>
      </c>
      <c r="DV25" s="180">
        <v>69684</v>
      </c>
      <c r="DW25" s="180">
        <v>392</v>
      </c>
      <c r="DX25" s="180">
        <v>53134</v>
      </c>
      <c r="DY25" s="180">
        <v>3898</v>
      </c>
      <c r="DZ25" s="180">
        <v>463553</v>
      </c>
      <c r="EA25" s="180">
        <v>542</v>
      </c>
      <c r="EB25" s="180">
        <v>59459</v>
      </c>
      <c r="EC25" s="180">
        <v>4815</v>
      </c>
      <c r="ED25" s="180">
        <v>565503</v>
      </c>
      <c r="EE25" s="180">
        <v>584</v>
      </c>
      <c r="EF25" s="180">
        <v>92198</v>
      </c>
      <c r="EG25" s="180">
        <v>4597</v>
      </c>
      <c r="EH25" s="180">
        <v>707596</v>
      </c>
      <c r="EI25" s="180">
        <v>217302</v>
      </c>
      <c r="EJ25" s="180">
        <v>217302</v>
      </c>
      <c r="EK25" s="180">
        <v>14199</v>
      </c>
      <c r="EL25" s="181">
        <v>1806337</v>
      </c>
      <c r="EM25" s="179">
        <v>122</v>
      </c>
      <c r="EN25" s="180">
        <v>10256</v>
      </c>
      <c r="EO25" s="180">
        <v>1046</v>
      </c>
      <c r="EP25" s="180">
        <v>82128</v>
      </c>
      <c r="EQ25" s="180">
        <v>371</v>
      </c>
      <c r="ER25" s="180">
        <v>48553</v>
      </c>
      <c r="ES25" s="180">
        <v>4409</v>
      </c>
      <c r="ET25" s="180">
        <v>528873</v>
      </c>
      <c r="EU25" s="180">
        <v>284</v>
      </c>
      <c r="EV25" s="180">
        <v>37586</v>
      </c>
      <c r="EW25" s="180">
        <v>5270</v>
      </c>
      <c r="EX25" s="180">
        <v>622192</v>
      </c>
      <c r="EY25" s="180">
        <v>459</v>
      </c>
      <c r="EZ25" s="180">
        <v>73559</v>
      </c>
      <c r="FA25" s="180">
        <v>5235</v>
      </c>
      <c r="FB25" s="180">
        <v>809254</v>
      </c>
      <c r="FC25" s="180">
        <v>169954</v>
      </c>
      <c r="FD25" s="180">
        <v>169954</v>
      </c>
      <c r="FE25" s="180">
        <v>15959</v>
      </c>
      <c r="FF25" s="181">
        <v>2042445</v>
      </c>
      <c r="FG25" s="179">
        <v>86</v>
      </c>
      <c r="FH25" s="180">
        <v>6534</v>
      </c>
      <c r="FI25" s="180">
        <v>1195</v>
      </c>
      <c r="FJ25" s="180">
        <v>93961</v>
      </c>
      <c r="FK25" s="180">
        <v>416</v>
      </c>
      <c r="FL25" s="180">
        <v>50784</v>
      </c>
      <c r="FM25" s="180">
        <v>4949</v>
      </c>
      <c r="FN25" s="180">
        <v>597648</v>
      </c>
      <c r="FO25" s="180">
        <v>500</v>
      </c>
      <c r="FP25" s="180">
        <v>50407</v>
      </c>
      <c r="FQ25" s="180">
        <v>5924</v>
      </c>
      <c r="FR25" s="180">
        <v>692942</v>
      </c>
      <c r="FS25" s="180">
        <v>515</v>
      </c>
      <c r="FT25" s="180">
        <v>81488</v>
      </c>
      <c r="FU25" s="180">
        <v>5927</v>
      </c>
      <c r="FV25" s="180">
        <v>917398</v>
      </c>
      <c r="FW25" s="180">
        <v>189213</v>
      </c>
      <c r="FX25" s="180">
        <v>189213</v>
      </c>
      <c r="FY25" s="180">
        <v>17994</v>
      </c>
      <c r="FZ25" s="181">
        <v>2301948</v>
      </c>
      <c r="GA25" s="179">
        <v>100</v>
      </c>
      <c r="GB25" s="180">
        <v>6759</v>
      </c>
      <c r="GC25" s="180">
        <v>1320</v>
      </c>
      <c r="GD25" s="180">
        <v>102705</v>
      </c>
      <c r="GE25" s="180">
        <v>325</v>
      </c>
      <c r="GF25" s="180">
        <v>35480</v>
      </c>
      <c r="GG25" s="180">
        <v>5478</v>
      </c>
      <c r="GH25" s="180">
        <v>653735</v>
      </c>
      <c r="GI25" s="180">
        <v>508</v>
      </c>
      <c r="GJ25" s="180">
        <v>65295</v>
      </c>
      <c r="GK25" s="180">
        <v>6577</v>
      </c>
      <c r="GL25" s="180">
        <v>774026</v>
      </c>
      <c r="GM25" s="180">
        <v>579</v>
      </c>
      <c r="GN25" s="180">
        <v>95471</v>
      </c>
      <c r="GO25" s="180">
        <v>6655</v>
      </c>
      <c r="GP25" s="180">
        <v>1038131</v>
      </c>
      <c r="GQ25" s="180">
        <v>1511</v>
      </c>
      <c r="GR25" s="180">
        <v>203006</v>
      </c>
      <c r="GS25" s="180">
        <v>20029</v>
      </c>
      <c r="GT25" s="181">
        <v>2568597</v>
      </c>
      <c r="GU25" s="179"/>
      <c r="GV25" s="180"/>
      <c r="GW25" s="180"/>
      <c r="GX25" s="180"/>
      <c r="GY25" s="180"/>
      <c r="GZ25" s="180"/>
      <c r="HA25" s="180"/>
      <c r="HB25" s="180"/>
      <c r="HC25" s="180"/>
      <c r="HD25" s="180"/>
      <c r="HE25" s="180"/>
      <c r="HF25" s="180"/>
      <c r="HG25" s="180"/>
      <c r="HH25" s="180"/>
      <c r="HI25" s="180"/>
      <c r="HJ25" s="180"/>
      <c r="HK25" s="180"/>
      <c r="HL25" s="180"/>
      <c r="HM25" s="180"/>
      <c r="HN25" s="181"/>
      <c r="HO25" s="179">
        <v>108</v>
      </c>
      <c r="HP25" s="180">
        <v>7737</v>
      </c>
      <c r="HQ25" s="180">
        <v>1617</v>
      </c>
      <c r="HR25" s="180">
        <v>124159</v>
      </c>
      <c r="HS25" s="180">
        <v>333</v>
      </c>
      <c r="HT25" s="180">
        <v>41530</v>
      </c>
      <c r="HU25" s="180">
        <v>6389</v>
      </c>
      <c r="HV25" s="180">
        <v>773846</v>
      </c>
      <c r="HW25" s="180">
        <v>431</v>
      </c>
      <c r="HX25" s="180">
        <v>51499</v>
      </c>
      <c r="HY25" s="180">
        <v>7761</v>
      </c>
      <c r="HZ25" s="180">
        <v>915870</v>
      </c>
      <c r="IA25" s="180">
        <v>573</v>
      </c>
      <c r="IB25" s="180">
        <v>94330</v>
      </c>
      <c r="IC25" s="180">
        <v>8229</v>
      </c>
      <c r="ID25" s="180">
        <v>1310776</v>
      </c>
      <c r="IE25" s="180">
        <v>1444</v>
      </c>
      <c r="IF25" s="180">
        <v>195096</v>
      </c>
      <c r="IG25" s="180">
        <v>23997</v>
      </c>
      <c r="IH25" s="181">
        <v>3124652</v>
      </c>
    </row>
    <row r="26" spans="2:242">
      <c r="B26" s="175">
        <v>24</v>
      </c>
      <c r="C26" s="179">
        <v>99</v>
      </c>
      <c r="D26" s="180">
        <v>7098</v>
      </c>
      <c r="E26" s="180">
        <v>99</v>
      </c>
      <c r="F26" s="180">
        <v>7098</v>
      </c>
      <c r="G26" s="180">
        <v>545</v>
      </c>
      <c r="H26" s="180">
        <v>61866</v>
      </c>
      <c r="I26" s="180">
        <v>545</v>
      </c>
      <c r="J26" s="180">
        <v>61866</v>
      </c>
      <c r="K26" s="180">
        <v>514</v>
      </c>
      <c r="L26" s="180">
        <v>68313</v>
      </c>
      <c r="M26" s="180">
        <v>514</v>
      </c>
      <c r="N26" s="180">
        <v>68313</v>
      </c>
      <c r="O26" s="180">
        <v>563</v>
      </c>
      <c r="P26" s="180">
        <v>88829</v>
      </c>
      <c r="Q26" s="180">
        <v>563</v>
      </c>
      <c r="R26" s="180">
        <v>88829</v>
      </c>
      <c r="S26" s="180">
        <v>226106</v>
      </c>
      <c r="T26" s="180">
        <v>226106</v>
      </c>
      <c r="U26" s="180">
        <v>1721</v>
      </c>
      <c r="V26" s="181">
        <v>226106</v>
      </c>
      <c r="W26" s="179"/>
      <c r="X26" s="180"/>
      <c r="Y26" s="180"/>
      <c r="Z26" s="180"/>
      <c r="AA26" s="180"/>
      <c r="AB26" s="180"/>
      <c r="AC26" s="180"/>
      <c r="AD26" s="180"/>
      <c r="AE26" s="180"/>
      <c r="AF26" s="180"/>
      <c r="AG26" s="180"/>
      <c r="AH26" s="180"/>
      <c r="AI26" s="180"/>
      <c r="AJ26" s="180"/>
      <c r="AK26" s="180"/>
      <c r="AL26" s="180"/>
      <c r="AM26" s="180"/>
      <c r="AN26" s="180"/>
      <c r="AO26" s="180"/>
      <c r="AP26" s="181"/>
      <c r="AQ26" s="179"/>
      <c r="AR26" s="180"/>
      <c r="AS26" s="180"/>
      <c r="AT26" s="180"/>
      <c r="AU26" s="180"/>
      <c r="AV26" s="180"/>
      <c r="AW26" s="180"/>
      <c r="AX26" s="180"/>
      <c r="AY26" s="180"/>
      <c r="AZ26" s="180"/>
      <c r="BA26" s="180"/>
      <c r="BB26" s="180"/>
      <c r="BC26" s="180"/>
      <c r="BD26" s="180"/>
      <c r="BE26" s="180"/>
      <c r="BF26" s="180"/>
      <c r="BG26" s="180"/>
      <c r="BH26" s="180"/>
      <c r="BI26" s="180"/>
      <c r="BJ26" s="181"/>
      <c r="BK26" s="179">
        <v>113</v>
      </c>
      <c r="BL26" s="180">
        <v>9279</v>
      </c>
      <c r="BM26" s="180">
        <v>475</v>
      </c>
      <c r="BN26" s="180">
        <v>36756</v>
      </c>
      <c r="BO26" s="180">
        <v>414</v>
      </c>
      <c r="BP26" s="180">
        <v>51501</v>
      </c>
      <c r="BQ26" s="180">
        <v>2326</v>
      </c>
      <c r="BR26" s="180">
        <v>271214</v>
      </c>
      <c r="BS26" s="180">
        <v>496</v>
      </c>
      <c r="BT26" s="180">
        <v>60186</v>
      </c>
      <c r="BU26" s="180">
        <v>2901</v>
      </c>
      <c r="BV26" s="180">
        <v>338266</v>
      </c>
      <c r="BW26" s="180">
        <v>576</v>
      </c>
      <c r="BX26" s="180">
        <v>82819</v>
      </c>
      <c r="BY26" s="180">
        <v>2567</v>
      </c>
      <c r="BZ26" s="180">
        <v>392887</v>
      </c>
      <c r="CA26" s="180">
        <v>203786</v>
      </c>
      <c r="CB26" s="180">
        <v>203786</v>
      </c>
      <c r="CC26" s="180">
        <v>8268</v>
      </c>
      <c r="CD26" s="181">
        <v>1039123</v>
      </c>
      <c r="CE26" s="179">
        <v>87</v>
      </c>
      <c r="CF26" s="180">
        <v>6276</v>
      </c>
      <c r="CG26" s="180">
        <v>597</v>
      </c>
      <c r="CH26" s="180">
        <v>45876</v>
      </c>
      <c r="CI26" s="180">
        <v>380</v>
      </c>
      <c r="CJ26" s="180">
        <v>46465</v>
      </c>
      <c r="CK26" s="180">
        <v>2792</v>
      </c>
      <c r="CL26" s="180">
        <v>327682</v>
      </c>
      <c r="CM26" s="180">
        <v>364</v>
      </c>
      <c r="CN26" s="180">
        <v>45924</v>
      </c>
      <c r="CO26" s="180">
        <v>3419</v>
      </c>
      <c r="CP26" s="180">
        <v>401667</v>
      </c>
      <c r="CQ26" s="180">
        <v>531</v>
      </c>
      <c r="CR26" s="180">
        <v>79276</v>
      </c>
      <c r="CS26" s="180">
        <v>3218</v>
      </c>
      <c r="CT26" s="180">
        <v>491260</v>
      </c>
      <c r="CU26" s="180">
        <v>177942</v>
      </c>
      <c r="CV26" s="180">
        <v>177942</v>
      </c>
      <c r="CW26" s="180">
        <v>10025</v>
      </c>
      <c r="CX26" s="181">
        <v>1266485</v>
      </c>
      <c r="CY26" s="179">
        <v>96</v>
      </c>
      <c r="CZ26" s="180">
        <v>8183</v>
      </c>
      <c r="DA26" s="180">
        <v>710</v>
      </c>
      <c r="DB26" s="180">
        <v>55220</v>
      </c>
      <c r="DC26" s="180">
        <v>464</v>
      </c>
      <c r="DD26" s="180">
        <v>51620</v>
      </c>
      <c r="DE26" s="180">
        <v>3388</v>
      </c>
      <c r="DF26" s="180">
        <v>396633</v>
      </c>
      <c r="DG26" s="180">
        <v>422</v>
      </c>
      <c r="DH26" s="180">
        <v>55185</v>
      </c>
      <c r="DI26" s="180">
        <v>4061</v>
      </c>
      <c r="DJ26" s="180">
        <v>480150</v>
      </c>
      <c r="DK26" s="180">
        <v>527</v>
      </c>
      <c r="DL26" s="180">
        <v>82263</v>
      </c>
      <c r="DM26" s="180">
        <v>3887</v>
      </c>
      <c r="DN26" s="180">
        <v>595818</v>
      </c>
      <c r="DO26" s="180">
        <v>197248</v>
      </c>
      <c r="DP26" s="180">
        <v>197248</v>
      </c>
      <c r="DQ26" s="180">
        <v>12045</v>
      </c>
      <c r="DR26" s="181">
        <v>1527822</v>
      </c>
      <c r="DS26" s="179">
        <v>155</v>
      </c>
      <c r="DT26" s="180">
        <v>12665</v>
      </c>
      <c r="DU26" s="180">
        <v>892</v>
      </c>
      <c r="DV26" s="180">
        <v>69842</v>
      </c>
      <c r="DW26" s="180">
        <v>416</v>
      </c>
      <c r="DX26" s="180">
        <v>55423</v>
      </c>
      <c r="DY26" s="180">
        <v>3923</v>
      </c>
      <c r="DZ26" s="180">
        <v>465843</v>
      </c>
      <c r="EA26" s="180">
        <v>589</v>
      </c>
      <c r="EB26" s="180">
        <v>63538</v>
      </c>
      <c r="EC26" s="180">
        <v>4862</v>
      </c>
      <c r="ED26" s="180">
        <v>569581</v>
      </c>
      <c r="EE26" s="180">
        <v>615</v>
      </c>
      <c r="EF26" s="180">
        <v>97356</v>
      </c>
      <c r="EG26" s="180">
        <v>4628</v>
      </c>
      <c r="EH26" s="180">
        <v>712752</v>
      </c>
      <c r="EI26" s="180">
        <v>228982</v>
      </c>
      <c r="EJ26" s="180">
        <v>228982</v>
      </c>
      <c r="EK26" s="180">
        <v>14304</v>
      </c>
      <c r="EL26" s="181">
        <v>1818019</v>
      </c>
      <c r="EM26" s="179"/>
      <c r="EN26" s="180"/>
      <c r="EO26" s="180"/>
      <c r="EP26" s="180"/>
      <c r="EQ26" s="180"/>
      <c r="ER26" s="180"/>
      <c r="ES26" s="180"/>
      <c r="ET26" s="180"/>
      <c r="EU26" s="180"/>
      <c r="EV26" s="180"/>
      <c r="EW26" s="180"/>
      <c r="EX26" s="180"/>
      <c r="EY26" s="180"/>
      <c r="EZ26" s="180"/>
      <c r="FA26" s="180"/>
      <c r="FB26" s="180"/>
      <c r="FC26" s="180"/>
      <c r="FD26" s="180"/>
      <c r="FE26" s="180"/>
      <c r="FF26" s="181"/>
      <c r="FG26" s="179">
        <v>91</v>
      </c>
      <c r="FH26" s="180">
        <v>6918</v>
      </c>
      <c r="FI26" s="180">
        <v>1201</v>
      </c>
      <c r="FJ26" s="180">
        <v>94345</v>
      </c>
      <c r="FK26" s="180">
        <v>434</v>
      </c>
      <c r="FL26" s="180">
        <v>52174</v>
      </c>
      <c r="FM26" s="180">
        <v>4966</v>
      </c>
      <c r="FN26" s="180">
        <v>599038</v>
      </c>
      <c r="FO26" s="180">
        <v>537</v>
      </c>
      <c r="FP26" s="180">
        <v>53647</v>
      </c>
      <c r="FQ26" s="180">
        <v>5960</v>
      </c>
      <c r="FR26" s="180">
        <v>696183</v>
      </c>
      <c r="FS26" s="180">
        <v>555</v>
      </c>
      <c r="FT26" s="180">
        <v>88289</v>
      </c>
      <c r="FU26" s="180">
        <v>5967</v>
      </c>
      <c r="FV26" s="180">
        <v>924197</v>
      </c>
      <c r="FW26" s="180">
        <v>201028</v>
      </c>
      <c r="FX26" s="180">
        <v>201028</v>
      </c>
      <c r="FY26" s="180">
        <v>18094</v>
      </c>
      <c r="FZ26" s="181">
        <v>2313763</v>
      </c>
      <c r="GA26" s="179">
        <v>100</v>
      </c>
      <c r="GB26" s="180">
        <v>6759</v>
      </c>
      <c r="GC26" s="180">
        <v>1320</v>
      </c>
      <c r="GD26" s="180">
        <v>102705</v>
      </c>
      <c r="GE26" s="180">
        <v>348</v>
      </c>
      <c r="GF26" s="180">
        <v>39069</v>
      </c>
      <c r="GG26" s="180">
        <v>5500</v>
      </c>
      <c r="GH26" s="180">
        <v>657325</v>
      </c>
      <c r="GI26" s="180">
        <v>535</v>
      </c>
      <c r="GJ26" s="180">
        <v>68297</v>
      </c>
      <c r="GK26" s="180">
        <v>6604</v>
      </c>
      <c r="GL26" s="180">
        <v>777029</v>
      </c>
      <c r="GM26" s="180">
        <v>611</v>
      </c>
      <c r="GN26" s="180">
        <v>101037</v>
      </c>
      <c r="GO26" s="180">
        <v>6687</v>
      </c>
      <c r="GP26" s="180">
        <v>1043697</v>
      </c>
      <c r="GQ26" s="180">
        <v>1594</v>
      </c>
      <c r="GR26" s="180">
        <v>215163</v>
      </c>
      <c r="GS26" s="180">
        <v>20112</v>
      </c>
      <c r="GT26" s="181">
        <v>2580755</v>
      </c>
      <c r="GU26" s="179"/>
      <c r="GV26" s="180"/>
      <c r="GW26" s="180"/>
      <c r="GX26" s="180"/>
      <c r="GY26" s="180"/>
      <c r="GZ26" s="180"/>
      <c r="HA26" s="180"/>
      <c r="HB26" s="180"/>
      <c r="HC26" s="180"/>
      <c r="HD26" s="180"/>
      <c r="HE26" s="180"/>
      <c r="HF26" s="180"/>
      <c r="HG26" s="180"/>
      <c r="HH26" s="180"/>
      <c r="HI26" s="180"/>
      <c r="HJ26" s="180"/>
      <c r="HK26" s="180"/>
      <c r="HL26" s="180"/>
      <c r="HM26" s="180"/>
      <c r="HN26" s="181"/>
      <c r="HO26" s="179">
        <v>108</v>
      </c>
      <c r="HP26" s="180">
        <v>7737</v>
      </c>
      <c r="HQ26" s="180">
        <v>1617</v>
      </c>
      <c r="HR26" s="180">
        <v>124159</v>
      </c>
      <c r="HS26" s="180">
        <v>384</v>
      </c>
      <c r="HT26" s="180">
        <v>47833</v>
      </c>
      <c r="HU26" s="180">
        <v>6441</v>
      </c>
      <c r="HV26" s="180">
        <v>780149</v>
      </c>
      <c r="HW26" s="180">
        <v>541</v>
      </c>
      <c r="HX26" s="180">
        <v>68830</v>
      </c>
      <c r="HY26" s="180">
        <v>7871</v>
      </c>
      <c r="HZ26" s="180">
        <v>933201</v>
      </c>
      <c r="IA26" s="180">
        <v>589</v>
      </c>
      <c r="IB26" s="180">
        <v>96865</v>
      </c>
      <c r="IC26" s="180">
        <v>8245</v>
      </c>
      <c r="ID26" s="180">
        <v>1313308</v>
      </c>
      <c r="IE26" s="180">
        <v>1622</v>
      </c>
      <c r="IF26" s="180">
        <v>221263</v>
      </c>
      <c r="IG26" s="180">
        <v>24174</v>
      </c>
      <c r="IH26" s="181">
        <v>3150818</v>
      </c>
    </row>
    <row r="27" spans="2:242">
      <c r="B27" s="175">
        <v>25</v>
      </c>
      <c r="C27" s="179">
        <v>99</v>
      </c>
      <c r="D27" s="180">
        <v>7098</v>
      </c>
      <c r="E27" s="180">
        <v>99</v>
      </c>
      <c r="F27" s="180">
        <v>7098</v>
      </c>
      <c r="G27" s="180">
        <v>584</v>
      </c>
      <c r="H27" s="180">
        <v>66540</v>
      </c>
      <c r="I27" s="180">
        <v>584</v>
      </c>
      <c r="J27" s="180">
        <v>66540</v>
      </c>
      <c r="K27" s="180">
        <v>593</v>
      </c>
      <c r="L27" s="180">
        <v>79698</v>
      </c>
      <c r="M27" s="180">
        <v>593</v>
      </c>
      <c r="N27" s="180">
        <v>79698</v>
      </c>
      <c r="O27" s="180">
        <v>568</v>
      </c>
      <c r="P27" s="180">
        <v>89453</v>
      </c>
      <c r="Q27" s="180">
        <v>568</v>
      </c>
      <c r="R27" s="180">
        <v>89453</v>
      </c>
      <c r="S27" s="180">
        <v>242790</v>
      </c>
      <c r="T27" s="180">
        <v>242790</v>
      </c>
      <c r="U27" s="180">
        <v>1844</v>
      </c>
      <c r="V27" s="181">
        <v>242790</v>
      </c>
      <c r="W27" s="179">
        <v>89</v>
      </c>
      <c r="X27" s="180">
        <v>6571</v>
      </c>
      <c r="Y27" s="180">
        <v>226</v>
      </c>
      <c r="Z27" s="180">
        <v>17397</v>
      </c>
      <c r="AA27" s="180">
        <v>484</v>
      </c>
      <c r="AB27" s="180">
        <v>54409</v>
      </c>
      <c r="AC27" s="180">
        <v>1216</v>
      </c>
      <c r="AD27" s="180">
        <v>137737</v>
      </c>
      <c r="AE27" s="180">
        <v>564</v>
      </c>
      <c r="AF27" s="180">
        <v>69622</v>
      </c>
      <c r="AG27" s="180">
        <v>1359</v>
      </c>
      <c r="AH27" s="180">
        <v>175467</v>
      </c>
      <c r="AI27" s="180">
        <v>577</v>
      </c>
      <c r="AJ27" s="180">
        <v>91564</v>
      </c>
      <c r="AK27" s="180">
        <v>1242</v>
      </c>
      <c r="AL27" s="180">
        <v>196502</v>
      </c>
      <c r="AM27" s="180">
        <v>222165</v>
      </c>
      <c r="AN27" s="180">
        <v>222165</v>
      </c>
      <c r="AO27" s="180">
        <v>4042</v>
      </c>
      <c r="AP27" s="181">
        <v>527104</v>
      </c>
      <c r="AQ27" s="179">
        <v>93</v>
      </c>
      <c r="AR27" s="180">
        <v>7171</v>
      </c>
      <c r="AS27" s="180">
        <v>343</v>
      </c>
      <c r="AT27" s="180">
        <v>26416</v>
      </c>
      <c r="AU27" s="180">
        <v>460</v>
      </c>
      <c r="AV27" s="180">
        <v>51685</v>
      </c>
      <c r="AW27" s="180">
        <v>1774</v>
      </c>
      <c r="AX27" s="180">
        <v>205019</v>
      </c>
      <c r="AY27" s="180">
        <v>594</v>
      </c>
      <c r="AZ27" s="180">
        <v>57404</v>
      </c>
      <c r="BA27" s="180">
        <v>2165</v>
      </c>
      <c r="BB27" s="180">
        <v>252951</v>
      </c>
      <c r="BC27" s="180">
        <v>527</v>
      </c>
      <c r="BD27" s="180">
        <v>78365</v>
      </c>
      <c r="BE27" s="180">
        <v>1848</v>
      </c>
      <c r="BF27" s="180">
        <v>287393</v>
      </c>
      <c r="BG27" s="180">
        <v>194624</v>
      </c>
      <c r="BH27" s="180">
        <v>194624</v>
      </c>
      <c r="BI27" s="180">
        <v>6130</v>
      </c>
      <c r="BJ27" s="181">
        <v>771779</v>
      </c>
      <c r="BK27" s="179">
        <v>113</v>
      </c>
      <c r="BL27" s="180">
        <v>9279</v>
      </c>
      <c r="BM27" s="180">
        <v>475</v>
      </c>
      <c r="BN27" s="180">
        <v>36756</v>
      </c>
      <c r="BO27" s="180">
        <v>449</v>
      </c>
      <c r="BP27" s="180">
        <v>56015</v>
      </c>
      <c r="BQ27" s="180">
        <v>2361</v>
      </c>
      <c r="BR27" s="180">
        <v>275729</v>
      </c>
      <c r="BS27" s="180">
        <v>498</v>
      </c>
      <c r="BT27" s="180">
        <v>60371</v>
      </c>
      <c r="BU27" s="180">
        <v>2903</v>
      </c>
      <c r="BV27" s="180">
        <v>338452</v>
      </c>
      <c r="BW27" s="180">
        <v>611</v>
      </c>
      <c r="BX27" s="180">
        <v>87877</v>
      </c>
      <c r="BY27" s="180">
        <v>2602</v>
      </c>
      <c r="BZ27" s="180">
        <v>397945</v>
      </c>
      <c r="CA27" s="180">
        <v>213544</v>
      </c>
      <c r="CB27" s="180">
        <v>213544</v>
      </c>
      <c r="CC27" s="180">
        <v>8341</v>
      </c>
      <c r="CD27" s="181">
        <v>1048882</v>
      </c>
      <c r="CE27" s="179"/>
      <c r="CF27" s="180"/>
      <c r="CG27" s="180"/>
      <c r="CH27" s="180"/>
      <c r="CI27" s="180"/>
      <c r="CJ27" s="180"/>
      <c r="CK27" s="180"/>
      <c r="CL27" s="180"/>
      <c r="CM27" s="180"/>
      <c r="CN27" s="180"/>
      <c r="CO27" s="180"/>
      <c r="CP27" s="180"/>
      <c r="CQ27" s="180"/>
      <c r="CR27" s="180"/>
      <c r="CS27" s="180"/>
      <c r="CT27" s="180"/>
      <c r="CU27" s="180"/>
      <c r="CV27" s="180"/>
      <c r="CW27" s="180"/>
      <c r="CX27" s="181"/>
      <c r="CY27" s="179">
        <v>104</v>
      </c>
      <c r="CZ27" s="180">
        <v>8698</v>
      </c>
      <c r="DA27" s="180">
        <v>718</v>
      </c>
      <c r="DB27" s="180">
        <v>55735</v>
      </c>
      <c r="DC27" s="180">
        <v>503</v>
      </c>
      <c r="DD27" s="180">
        <v>55976</v>
      </c>
      <c r="DE27" s="180">
        <v>3427</v>
      </c>
      <c r="DF27" s="180">
        <v>400990</v>
      </c>
      <c r="DG27" s="180">
        <v>431</v>
      </c>
      <c r="DH27" s="180">
        <v>56235</v>
      </c>
      <c r="DI27" s="180">
        <v>4070</v>
      </c>
      <c r="DJ27" s="180">
        <v>481202</v>
      </c>
      <c r="DK27" s="180">
        <v>554</v>
      </c>
      <c r="DL27" s="180">
        <v>86110</v>
      </c>
      <c r="DM27" s="180">
        <v>3913</v>
      </c>
      <c r="DN27" s="180">
        <v>599666</v>
      </c>
      <c r="DO27" s="180">
        <v>207019</v>
      </c>
      <c r="DP27" s="180">
        <v>207019</v>
      </c>
      <c r="DQ27" s="180">
        <v>12128</v>
      </c>
      <c r="DR27" s="181">
        <v>1537592</v>
      </c>
      <c r="DS27" s="179">
        <v>157</v>
      </c>
      <c r="DT27" s="180">
        <v>12781</v>
      </c>
      <c r="DU27" s="180">
        <v>894</v>
      </c>
      <c r="DV27" s="180">
        <v>69958</v>
      </c>
      <c r="DW27" s="180">
        <v>428</v>
      </c>
      <c r="DX27" s="180">
        <v>57231</v>
      </c>
      <c r="DY27" s="180">
        <v>3935</v>
      </c>
      <c r="DZ27" s="180">
        <v>467649</v>
      </c>
      <c r="EA27" s="180">
        <v>586</v>
      </c>
      <c r="EB27" s="180">
        <v>63812</v>
      </c>
      <c r="EC27" s="180">
        <v>4859</v>
      </c>
      <c r="ED27" s="180">
        <v>569854</v>
      </c>
      <c r="EE27" s="180">
        <v>636</v>
      </c>
      <c r="EF27" s="180">
        <v>101410</v>
      </c>
      <c r="EG27" s="180">
        <v>4649</v>
      </c>
      <c r="EH27" s="180">
        <v>716808</v>
      </c>
      <c r="EI27" s="180">
        <v>235233</v>
      </c>
      <c r="EJ27" s="180">
        <v>235233</v>
      </c>
      <c r="EK27" s="180">
        <v>14338</v>
      </c>
      <c r="EL27" s="181">
        <v>1824270</v>
      </c>
      <c r="EM27" s="179"/>
      <c r="EN27" s="180"/>
      <c r="EO27" s="180"/>
      <c r="EP27" s="180"/>
      <c r="EQ27" s="180"/>
      <c r="ER27" s="180"/>
      <c r="ES27" s="180"/>
      <c r="ET27" s="180"/>
      <c r="EU27" s="180"/>
      <c r="EV27" s="180"/>
      <c r="EW27" s="180"/>
      <c r="EX27" s="180"/>
      <c r="EY27" s="180"/>
      <c r="EZ27" s="180"/>
      <c r="FA27" s="180"/>
      <c r="FB27" s="180"/>
      <c r="FC27" s="180"/>
      <c r="FD27" s="180"/>
      <c r="FE27" s="180"/>
      <c r="FF27" s="181"/>
      <c r="FG27" s="179">
        <v>97</v>
      </c>
      <c r="FH27" s="180">
        <v>7604</v>
      </c>
      <c r="FI27" s="180">
        <v>1206</v>
      </c>
      <c r="FJ27" s="180">
        <v>95031</v>
      </c>
      <c r="FK27" s="180">
        <v>472</v>
      </c>
      <c r="FL27" s="180">
        <v>56453</v>
      </c>
      <c r="FM27" s="180">
        <v>5005</v>
      </c>
      <c r="FN27" s="180">
        <v>603316</v>
      </c>
      <c r="FO27" s="180">
        <v>552</v>
      </c>
      <c r="FP27" s="180">
        <v>55473</v>
      </c>
      <c r="FQ27" s="180">
        <v>5976</v>
      </c>
      <c r="FR27" s="180">
        <v>698008</v>
      </c>
      <c r="FS27" s="180">
        <v>582</v>
      </c>
      <c r="FT27" s="180">
        <v>93064</v>
      </c>
      <c r="FU27" s="180">
        <v>5994</v>
      </c>
      <c r="FV27" s="180">
        <v>928974</v>
      </c>
      <c r="FW27" s="180">
        <v>212593</v>
      </c>
      <c r="FX27" s="180">
        <v>212593</v>
      </c>
      <c r="FY27" s="180">
        <v>18180</v>
      </c>
      <c r="FZ27" s="181">
        <v>2325328</v>
      </c>
      <c r="GA27" s="179">
        <v>104</v>
      </c>
      <c r="GB27" s="180">
        <v>6963</v>
      </c>
      <c r="GC27" s="180">
        <v>1324</v>
      </c>
      <c r="GD27" s="180">
        <v>102908</v>
      </c>
      <c r="GE27" s="180">
        <v>373</v>
      </c>
      <c r="GF27" s="180">
        <v>42769</v>
      </c>
      <c r="GG27" s="180">
        <v>5525</v>
      </c>
      <c r="GH27" s="180">
        <v>661025</v>
      </c>
      <c r="GI27" s="180">
        <v>547</v>
      </c>
      <c r="GJ27" s="180">
        <v>69973</v>
      </c>
      <c r="GK27" s="180">
        <v>6616</v>
      </c>
      <c r="GL27" s="180">
        <v>778704</v>
      </c>
      <c r="GM27" s="180">
        <v>630</v>
      </c>
      <c r="GN27" s="180">
        <v>104545</v>
      </c>
      <c r="GO27" s="180">
        <v>6706</v>
      </c>
      <c r="GP27" s="180">
        <v>1047204</v>
      </c>
      <c r="GQ27" s="180">
        <v>1654</v>
      </c>
      <c r="GR27" s="180">
        <v>224252</v>
      </c>
      <c r="GS27" s="180">
        <v>20171</v>
      </c>
      <c r="GT27" s="181">
        <v>2589843</v>
      </c>
      <c r="GU27" s="179">
        <v>91</v>
      </c>
      <c r="GV27" s="180">
        <v>6606</v>
      </c>
      <c r="GW27" s="180">
        <v>1455</v>
      </c>
      <c r="GX27" s="180">
        <v>112535</v>
      </c>
      <c r="GY27" s="180">
        <v>349</v>
      </c>
      <c r="GZ27" s="180">
        <v>48836</v>
      </c>
      <c r="HA27" s="180">
        <v>5949</v>
      </c>
      <c r="HB27" s="180">
        <v>718951</v>
      </c>
      <c r="HC27" s="180">
        <v>422</v>
      </c>
      <c r="HD27" s="180">
        <v>46181</v>
      </c>
      <c r="HE27" s="180">
        <v>7201</v>
      </c>
      <c r="HF27" s="180">
        <v>846470</v>
      </c>
      <c r="HG27" s="180">
        <v>703</v>
      </c>
      <c r="HH27" s="180">
        <v>129938</v>
      </c>
      <c r="HI27" s="180">
        <v>7528</v>
      </c>
      <c r="HJ27" s="180">
        <v>1196301</v>
      </c>
      <c r="HK27" s="180">
        <v>1565</v>
      </c>
      <c r="HL27" s="180">
        <v>231561</v>
      </c>
      <c r="HM27" s="180">
        <v>22133</v>
      </c>
      <c r="HN27" s="181">
        <v>2874259</v>
      </c>
      <c r="HO27" s="179"/>
      <c r="HP27" s="180"/>
      <c r="HQ27" s="180"/>
      <c r="HR27" s="180"/>
      <c r="HS27" s="180"/>
      <c r="HT27" s="180"/>
      <c r="HU27" s="180"/>
      <c r="HV27" s="180"/>
      <c r="HW27" s="180"/>
      <c r="HX27" s="180"/>
      <c r="HY27" s="180"/>
      <c r="HZ27" s="180"/>
      <c r="IA27" s="180"/>
      <c r="IB27" s="180"/>
      <c r="IC27" s="180"/>
      <c r="ID27" s="180"/>
      <c r="IE27" s="180"/>
      <c r="IF27" s="180"/>
      <c r="IG27" s="180"/>
      <c r="IH27" s="181"/>
    </row>
    <row r="28" spans="2:242">
      <c r="B28" s="175">
        <v>26</v>
      </c>
      <c r="C28" s="179"/>
      <c r="D28" s="180"/>
      <c r="E28" s="180"/>
      <c r="F28" s="180"/>
      <c r="G28" s="180"/>
      <c r="H28" s="180"/>
      <c r="I28" s="180"/>
      <c r="J28" s="180"/>
      <c r="K28" s="180"/>
      <c r="L28" s="180"/>
      <c r="M28" s="180"/>
      <c r="N28" s="180"/>
      <c r="O28" s="180"/>
      <c r="P28" s="180"/>
      <c r="Q28" s="180"/>
      <c r="R28" s="180"/>
      <c r="S28" s="180"/>
      <c r="T28" s="180"/>
      <c r="U28" s="180"/>
      <c r="V28" s="181"/>
      <c r="W28" s="179">
        <v>103</v>
      </c>
      <c r="X28" s="180">
        <v>7676</v>
      </c>
      <c r="Y28" s="180">
        <v>239</v>
      </c>
      <c r="Z28" s="180">
        <v>18502</v>
      </c>
      <c r="AA28" s="180">
        <v>529</v>
      </c>
      <c r="AB28" s="180">
        <v>58965</v>
      </c>
      <c r="AC28" s="180">
        <v>1261</v>
      </c>
      <c r="AD28" s="180">
        <v>142294</v>
      </c>
      <c r="AE28" s="180">
        <v>573</v>
      </c>
      <c r="AF28" s="180">
        <v>70263</v>
      </c>
      <c r="AG28" s="180">
        <v>1368</v>
      </c>
      <c r="AH28" s="180">
        <v>176109</v>
      </c>
      <c r="AI28" s="180">
        <v>600</v>
      </c>
      <c r="AJ28" s="180">
        <v>95450</v>
      </c>
      <c r="AK28" s="180">
        <v>1266</v>
      </c>
      <c r="AL28" s="180">
        <v>200391</v>
      </c>
      <c r="AM28" s="180">
        <v>232354</v>
      </c>
      <c r="AN28" s="180">
        <v>232354</v>
      </c>
      <c r="AO28" s="180">
        <v>4135</v>
      </c>
      <c r="AP28" s="181">
        <v>537294</v>
      </c>
      <c r="AQ28" s="179">
        <v>93</v>
      </c>
      <c r="AR28" s="180">
        <v>7171</v>
      </c>
      <c r="AS28" s="180">
        <v>343</v>
      </c>
      <c r="AT28" s="180">
        <v>26416</v>
      </c>
      <c r="AU28" s="180">
        <v>491</v>
      </c>
      <c r="AV28" s="180">
        <v>54889</v>
      </c>
      <c r="AW28" s="180">
        <v>1805</v>
      </c>
      <c r="AX28" s="180">
        <v>208219</v>
      </c>
      <c r="AY28" s="180">
        <v>656</v>
      </c>
      <c r="AZ28" s="180">
        <v>63484</v>
      </c>
      <c r="BA28" s="180">
        <v>2228</v>
      </c>
      <c r="BB28" s="180">
        <v>259032</v>
      </c>
      <c r="BC28" s="180">
        <v>566</v>
      </c>
      <c r="BD28" s="180">
        <v>84494</v>
      </c>
      <c r="BE28" s="180">
        <v>1888</v>
      </c>
      <c r="BF28" s="180">
        <v>293521</v>
      </c>
      <c r="BG28" s="180">
        <v>210034</v>
      </c>
      <c r="BH28" s="180">
        <v>210034</v>
      </c>
      <c r="BI28" s="180">
        <v>6264</v>
      </c>
      <c r="BJ28" s="181">
        <v>787188</v>
      </c>
      <c r="BK28" s="179">
        <v>142</v>
      </c>
      <c r="BL28" s="180">
        <v>11644</v>
      </c>
      <c r="BM28" s="180">
        <v>504</v>
      </c>
      <c r="BN28" s="180">
        <v>39120</v>
      </c>
      <c r="BO28" s="180">
        <v>459</v>
      </c>
      <c r="BP28" s="180">
        <v>57293</v>
      </c>
      <c r="BQ28" s="180">
        <v>2371</v>
      </c>
      <c r="BR28" s="180">
        <v>277006</v>
      </c>
      <c r="BS28" s="180">
        <v>548</v>
      </c>
      <c r="BT28" s="180">
        <v>65365</v>
      </c>
      <c r="BU28" s="180">
        <v>2953</v>
      </c>
      <c r="BV28" s="180">
        <v>343446</v>
      </c>
      <c r="BW28" s="180">
        <v>639</v>
      </c>
      <c r="BX28" s="180">
        <v>92373</v>
      </c>
      <c r="BY28" s="180">
        <v>2630</v>
      </c>
      <c r="BZ28" s="180">
        <v>402441</v>
      </c>
      <c r="CA28" s="180">
        <v>226676</v>
      </c>
      <c r="CB28" s="180">
        <v>226676</v>
      </c>
      <c r="CC28" s="180">
        <v>8457</v>
      </c>
      <c r="CD28" s="181">
        <v>1062014</v>
      </c>
      <c r="CE28" s="179"/>
      <c r="CF28" s="180"/>
      <c r="CG28" s="180"/>
      <c r="CH28" s="180"/>
      <c r="CI28" s="180"/>
      <c r="CJ28" s="180"/>
      <c r="CK28" s="180"/>
      <c r="CL28" s="180"/>
      <c r="CM28" s="180"/>
      <c r="CN28" s="180"/>
      <c r="CO28" s="180"/>
      <c r="CP28" s="180"/>
      <c r="CQ28" s="180"/>
      <c r="CR28" s="180"/>
      <c r="CS28" s="180"/>
      <c r="CT28" s="180"/>
      <c r="CU28" s="180"/>
      <c r="CV28" s="180"/>
      <c r="CW28" s="180"/>
      <c r="CX28" s="181"/>
      <c r="CY28" s="179">
        <v>110</v>
      </c>
      <c r="CZ28" s="180">
        <v>9071</v>
      </c>
      <c r="DA28" s="180">
        <v>723</v>
      </c>
      <c r="DB28" s="180">
        <v>56108</v>
      </c>
      <c r="DC28" s="180">
        <v>515</v>
      </c>
      <c r="DD28" s="180">
        <v>57661</v>
      </c>
      <c r="DE28" s="180">
        <v>3438</v>
      </c>
      <c r="DF28" s="180">
        <v>402676</v>
      </c>
      <c r="DG28" s="180">
        <v>522</v>
      </c>
      <c r="DH28" s="180">
        <v>64437</v>
      </c>
      <c r="DI28" s="180">
        <v>4162</v>
      </c>
      <c r="DJ28" s="180">
        <v>489404</v>
      </c>
      <c r="DK28" s="180">
        <v>580</v>
      </c>
      <c r="DL28" s="180">
        <v>89520</v>
      </c>
      <c r="DM28" s="180">
        <v>3939</v>
      </c>
      <c r="DN28" s="180">
        <v>603075</v>
      </c>
      <c r="DO28" s="180">
        <v>220688</v>
      </c>
      <c r="DP28" s="180">
        <v>220688</v>
      </c>
      <c r="DQ28" s="180">
        <v>12262</v>
      </c>
      <c r="DR28" s="181">
        <v>1551263</v>
      </c>
      <c r="DS28" s="179">
        <v>165</v>
      </c>
      <c r="DT28" s="180">
        <v>13310</v>
      </c>
      <c r="DU28" s="180">
        <v>902</v>
      </c>
      <c r="DV28" s="180">
        <v>70487</v>
      </c>
      <c r="DW28" s="180">
        <v>437</v>
      </c>
      <c r="DX28" s="180">
        <v>58426</v>
      </c>
      <c r="DY28" s="180">
        <v>3944</v>
      </c>
      <c r="DZ28" s="180">
        <v>468846</v>
      </c>
      <c r="EA28" s="180">
        <v>591</v>
      </c>
      <c r="EB28" s="180">
        <v>64795</v>
      </c>
      <c r="EC28" s="180">
        <v>4864</v>
      </c>
      <c r="ED28" s="180">
        <v>570838</v>
      </c>
      <c r="EE28" s="180">
        <v>663</v>
      </c>
      <c r="EF28" s="180">
        <v>105772</v>
      </c>
      <c r="EG28" s="180">
        <v>4676</v>
      </c>
      <c r="EH28" s="180">
        <v>721168</v>
      </c>
      <c r="EI28" s="180">
        <v>242302</v>
      </c>
      <c r="EJ28" s="180">
        <v>242302</v>
      </c>
      <c r="EK28" s="180">
        <v>14385</v>
      </c>
      <c r="EL28" s="181">
        <v>1831338</v>
      </c>
      <c r="EM28" s="179">
        <v>148</v>
      </c>
      <c r="EN28" s="180">
        <v>12495</v>
      </c>
      <c r="EO28" s="180">
        <v>1072</v>
      </c>
      <c r="EP28" s="180">
        <v>84367</v>
      </c>
      <c r="EQ28" s="180">
        <v>392</v>
      </c>
      <c r="ER28" s="180">
        <v>51295</v>
      </c>
      <c r="ES28" s="180">
        <v>4429</v>
      </c>
      <c r="ET28" s="180">
        <v>531616</v>
      </c>
      <c r="EU28" s="180">
        <v>285</v>
      </c>
      <c r="EV28" s="180">
        <v>37642</v>
      </c>
      <c r="EW28" s="180">
        <v>5271</v>
      </c>
      <c r="EX28" s="180">
        <v>622248</v>
      </c>
      <c r="EY28" s="180">
        <v>525</v>
      </c>
      <c r="EZ28" s="180">
        <v>82791</v>
      </c>
      <c r="FA28" s="180">
        <v>5302</v>
      </c>
      <c r="FB28" s="180">
        <v>818485</v>
      </c>
      <c r="FC28" s="180">
        <v>184222</v>
      </c>
      <c r="FD28" s="180">
        <v>184222</v>
      </c>
      <c r="FE28" s="180">
        <v>16073</v>
      </c>
      <c r="FF28" s="181">
        <v>2056714</v>
      </c>
      <c r="FG28" s="179">
        <v>100</v>
      </c>
      <c r="FH28" s="180">
        <v>7804</v>
      </c>
      <c r="FI28" s="180">
        <v>1209</v>
      </c>
      <c r="FJ28" s="180">
        <v>95231</v>
      </c>
      <c r="FK28" s="180">
        <v>534</v>
      </c>
      <c r="FL28" s="180">
        <v>64376</v>
      </c>
      <c r="FM28" s="180">
        <v>5067</v>
      </c>
      <c r="FN28" s="180">
        <v>611240</v>
      </c>
      <c r="FO28" s="180">
        <v>552</v>
      </c>
      <c r="FP28" s="180">
        <v>55473</v>
      </c>
      <c r="FQ28" s="180">
        <v>5976</v>
      </c>
      <c r="FR28" s="180">
        <v>698008</v>
      </c>
      <c r="FS28" s="180">
        <v>616</v>
      </c>
      <c r="FT28" s="180">
        <v>97993</v>
      </c>
      <c r="FU28" s="180">
        <v>6026</v>
      </c>
      <c r="FV28" s="180">
        <v>933902</v>
      </c>
      <c r="FW28" s="180">
        <v>225647</v>
      </c>
      <c r="FX28" s="180">
        <v>225647</v>
      </c>
      <c r="FY28" s="180">
        <v>18278</v>
      </c>
      <c r="FZ28" s="181">
        <v>2338382</v>
      </c>
      <c r="GA28" s="179"/>
      <c r="GB28" s="180"/>
      <c r="GC28" s="180"/>
      <c r="GD28" s="180"/>
      <c r="GE28" s="180"/>
      <c r="GF28" s="180"/>
      <c r="GG28" s="180"/>
      <c r="GH28" s="180"/>
      <c r="GI28" s="180"/>
      <c r="GJ28" s="180"/>
      <c r="GK28" s="180"/>
      <c r="GL28" s="180"/>
      <c r="GM28" s="180"/>
      <c r="GN28" s="180"/>
      <c r="GO28" s="180"/>
      <c r="GP28" s="180"/>
      <c r="GQ28" s="180"/>
      <c r="GR28" s="180"/>
      <c r="GS28" s="180"/>
      <c r="GT28" s="181"/>
      <c r="GU28" s="179">
        <v>128</v>
      </c>
      <c r="GV28" s="180">
        <v>8869</v>
      </c>
      <c r="GW28" s="180">
        <v>1491</v>
      </c>
      <c r="GX28" s="180">
        <v>114798</v>
      </c>
      <c r="GY28" s="180">
        <v>364</v>
      </c>
      <c r="GZ28" s="180">
        <v>49953</v>
      </c>
      <c r="HA28" s="180">
        <v>5965</v>
      </c>
      <c r="HB28" s="180">
        <v>720067</v>
      </c>
      <c r="HC28" s="180">
        <v>446</v>
      </c>
      <c r="HD28" s="180">
        <v>49668</v>
      </c>
      <c r="HE28" s="180">
        <v>7225</v>
      </c>
      <c r="HF28" s="180">
        <v>849957</v>
      </c>
      <c r="HG28" s="180">
        <v>739</v>
      </c>
      <c r="HH28" s="180">
        <v>136728</v>
      </c>
      <c r="HI28" s="180">
        <v>7565</v>
      </c>
      <c r="HJ28" s="180">
        <v>1203090</v>
      </c>
      <c r="HK28" s="180">
        <v>1677</v>
      </c>
      <c r="HL28" s="180">
        <v>245218</v>
      </c>
      <c r="HM28" s="180">
        <v>22246</v>
      </c>
      <c r="HN28" s="181">
        <v>2887915</v>
      </c>
      <c r="HO28" s="179">
        <v>117</v>
      </c>
      <c r="HP28" s="180">
        <v>8283</v>
      </c>
      <c r="HQ28" s="180">
        <v>1627</v>
      </c>
      <c r="HR28" s="180">
        <v>124705</v>
      </c>
      <c r="HS28" s="180">
        <v>404</v>
      </c>
      <c r="HT28" s="180">
        <v>50341</v>
      </c>
      <c r="HU28" s="180">
        <v>6461</v>
      </c>
      <c r="HV28" s="180">
        <v>782656</v>
      </c>
      <c r="HW28" s="180">
        <v>542</v>
      </c>
      <c r="HX28" s="180">
        <v>68789</v>
      </c>
      <c r="HY28" s="180">
        <v>7871</v>
      </c>
      <c r="HZ28" s="180">
        <v>933160</v>
      </c>
      <c r="IA28" s="180">
        <v>610</v>
      </c>
      <c r="IB28" s="180">
        <v>100158</v>
      </c>
      <c r="IC28" s="180">
        <v>8266</v>
      </c>
      <c r="ID28" s="180">
        <v>1316603</v>
      </c>
      <c r="IE28" s="180">
        <v>1673</v>
      </c>
      <c r="IF28" s="180">
        <v>227569</v>
      </c>
      <c r="IG28" s="180">
        <v>24226</v>
      </c>
      <c r="IH28" s="181">
        <v>3157126</v>
      </c>
    </row>
    <row r="29" spans="2:242">
      <c r="B29" s="175">
        <v>27</v>
      </c>
      <c r="C29" s="179"/>
      <c r="D29" s="180"/>
      <c r="E29" s="180"/>
      <c r="F29" s="180"/>
      <c r="G29" s="180"/>
      <c r="H29" s="180"/>
      <c r="I29" s="180"/>
      <c r="J29" s="180"/>
      <c r="K29" s="180"/>
      <c r="L29" s="180"/>
      <c r="M29" s="180"/>
      <c r="N29" s="180"/>
      <c r="O29" s="180"/>
      <c r="P29" s="180"/>
      <c r="Q29" s="180"/>
      <c r="R29" s="180"/>
      <c r="S29" s="180"/>
      <c r="T29" s="180"/>
      <c r="U29" s="180"/>
      <c r="V29" s="181"/>
      <c r="W29" s="179">
        <v>108</v>
      </c>
      <c r="X29" s="180">
        <v>8033</v>
      </c>
      <c r="Y29" s="180">
        <v>244</v>
      </c>
      <c r="Z29" s="180">
        <v>18858</v>
      </c>
      <c r="AA29" s="180">
        <v>544</v>
      </c>
      <c r="AB29" s="180">
        <v>60343</v>
      </c>
      <c r="AC29" s="180">
        <v>1277</v>
      </c>
      <c r="AD29" s="180">
        <v>143672</v>
      </c>
      <c r="AE29" s="180">
        <v>638</v>
      </c>
      <c r="AF29" s="180">
        <v>75478</v>
      </c>
      <c r="AG29" s="180">
        <v>1433</v>
      </c>
      <c r="AH29" s="180">
        <v>181324</v>
      </c>
      <c r="AI29" s="180">
        <v>621</v>
      </c>
      <c r="AJ29" s="180">
        <v>98511</v>
      </c>
      <c r="AK29" s="180">
        <v>1287</v>
      </c>
      <c r="AL29" s="180">
        <v>203451</v>
      </c>
      <c r="AM29" s="180">
        <v>242364</v>
      </c>
      <c r="AN29" s="180">
        <v>242364</v>
      </c>
      <c r="AO29" s="180">
        <v>4241</v>
      </c>
      <c r="AP29" s="181">
        <v>547305</v>
      </c>
      <c r="AQ29" s="179">
        <v>97</v>
      </c>
      <c r="AR29" s="180">
        <v>7347</v>
      </c>
      <c r="AS29" s="180">
        <v>347</v>
      </c>
      <c r="AT29" s="180">
        <v>26592</v>
      </c>
      <c r="AU29" s="180">
        <v>518</v>
      </c>
      <c r="AV29" s="180">
        <v>57013</v>
      </c>
      <c r="AW29" s="180">
        <v>1832</v>
      </c>
      <c r="AX29" s="180">
        <v>210346</v>
      </c>
      <c r="AY29" s="180">
        <v>673</v>
      </c>
      <c r="AZ29" s="180">
        <v>64976</v>
      </c>
      <c r="BA29" s="180">
        <v>2245</v>
      </c>
      <c r="BB29" s="180">
        <v>260524</v>
      </c>
      <c r="BC29" s="180">
        <v>602</v>
      </c>
      <c r="BD29" s="180">
        <v>90164</v>
      </c>
      <c r="BE29" s="180">
        <v>1924</v>
      </c>
      <c r="BF29" s="180">
        <v>299191</v>
      </c>
      <c r="BG29" s="180">
        <v>219498</v>
      </c>
      <c r="BH29" s="180">
        <v>219498</v>
      </c>
      <c r="BI29" s="180">
        <v>6347</v>
      </c>
      <c r="BJ29" s="181">
        <v>796653</v>
      </c>
      <c r="BK29" s="179"/>
      <c r="BL29" s="180"/>
      <c r="BM29" s="180"/>
      <c r="BN29" s="180"/>
      <c r="BO29" s="180"/>
      <c r="BP29" s="180"/>
      <c r="BQ29" s="180"/>
      <c r="BR29" s="180"/>
      <c r="BS29" s="180"/>
      <c r="BT29" s="180"/>
      <c r="BU29" s="180"/>
      <c r="BV29" s="180"/>
      <c r="BW29" s="180"/>
      <c r="BX29" s="180"/>
      <c r="BY29" s="180"/>
      <c r="BZ29" s="180"/>
      <c r="CA29" s="180"/>
      <c r="CB29" s="180"/>
      <c r="CC29" s="180"/>
      <c r="CD29" s="181"/>
      <c r="CE29" s="179">
        <v>92</v>
      </c>
      <c r="CF29" s="180">
        <v>6701</v>
      </c>
      <c r="CG29" s="180">
        <v>602</v>
      </c>
      <c r="CH29" s="180">
        <v>46302</v>
      </c>
      <c r="CI29" s="180">
        <v>406</v>
      </c>
      <c r="CJ29" s="180">
        <v>49390</v>
      </c>
      <c r="CK29" s="180">
        <v>2817</v>
      </c>
      <c r="CL29" s="180">
        <v>330608</v>
      </c>
      <c r="CM29" s="180">
        <v>390</v>
      </c>
      <c r="CN29" s="180">
        <v>47253</v>
      </c>
      <c r="CO29" s="180">
        <v>3445</v>
      </c>
      <c r="CP29" s="180">
        <v>402996</v>
      </c>
      <c r="CQ29" s="180">
        <v>560</v>
      </c>
      <c r="CR29" s="180">
        <v>84401</v>
      </c>
      <c r="CS29" s="180">
        <v>3248</v>
      </c>
      <c r="CT29" s="180">
        <v>496385</v>
      </c>
      <c r="CU29" s="180">
        <v>187746</v>
      </c>
      <c r="CV29" s="180">
        <v>187746</v>
      </c>
      <c r="CW29" s="180">
        <v>10111</v>
      </c>
      <c r="CX29" s="181">
        <v>1276289</v>
      </c>
      <c r="CY29" s="179">
        <v>110</v>
      </c>
      <c r="CZ29" s="180">
        <v>9071</v>
      </c>
      <c r="DA29" s="180">
        <v>723</v>
      </c>
      <c r="DB29" s="180">
        <v>56108</v>
      </c>
      <c r="DC29" s="180">
        <v>545</v>
      </c>
      <c r="DD29" s="180">
        <v>62112</v>
      </c>
      <c r="DE29" s="180">
        <v>3469</v>
      </c>
      <c r="DF29" s="180">
        <v>407128</v>
      </c>
      <c r="DG29" s="180">
        <v>542</v>
      </c>
      <c r="DH29" s="180">
        <v>73266</v>
      </c>
      <c r="DI29" s="180">
        <v>4181</v>
      </c>
      <c r="DJ29" s="180">
        <v>498233</v>
      </c>
      <c r="DK29" s="180">
        <v>624</v>
      </c>
      <c r="DL29" s="180">
        <v>96724</v>
      </c>
      <c r="DM29" s="180">
        <v>3983</v>
      </c>
      <c r="DN29" s="180">
        <v>610278</v>
      </c>
      <c r="DO29" s="180">
        <v>241174</v>
      </c>
      <c r="DP29" s="180">
        <v>241174</v>
      </c>
      <c r="DQ29" s="180">
        <v>12356</v>
      </c>
      <c r="DR29" s="181">
        <v>1571747</v>
      </c>
      <c r="DS29" s="179"/>
      <c r="DT29" s="180"/>
      <c r="DU29" s="180"/>
      <c r="DV29" s="180"/>
      <c r="DW29" s="180"/>
      <c r="DX29" s="180"/>
      <c r="DY29" s="180"/>
      <c r="DZ29" s="180"/>
      <c r="EA29" s="180"/>
      <c r="EB29" s="180"/>
      <c r="EC29" s="180"/>
      <c r="ED29" s="180"/>
      <c r="EE29" s="180"/>
      <c r="EF29" s="180"/>
      <c r="EG29" s="180"/>
      <c r="EH29" s="180"/>
      <c r="EI29" s="180"/>
      <c r="EJ29" s="180"/>
      <c r="EK29" s="180"/>
      <c r="EL29" s="181"/>
      <c r="EM29" s="179">
        <v>159</v>
      </c>
      <c r="EN29" s="180">
        <v>13437</v>
      </c>
      <c r="EO29" s="180">
        <v>1083</v>
      </c>
      <c r="EP29" s="180">
        <v>85309</v>
      </c>
      <c r="EQ29" s="180">
        <v>413</v>
      </c>
      <c r="ER29" s="180">
        <v>54410</v>
      </c>
      <c r="ES29" s="180">
        <v>4451</v>
      </c>
      <c r="ET29" s="180">
        <v>534730</v>
      </c>
      <c r="EU29" s="180">
        <v>300</v>
      </c>
      <c r="EV29" s="180">
        <v>39021</v>
      </c>
      <c r="EW29" s="180">
        <v>5286</v>
      </c>
      <c r="EX29" s="180">
        <v>623626</v>
      </c>
      <c r="EY29" s="180">
        <v>548</v>
      </c>
      <c r="EZ29" s="180">
        <v>86184</v>
      </c>
      <c r="FA29" s="180">
        <v>5325</v>
      </c>
      <c r="FB29" s="180">
        <v>821877</v>
      </c>
      <c r="FC29" s="180">
        <v>193052</v>
      </c>
      <c r="FD29" s="180">
        <v>193052</v>
      </c>
      <c r="FE29" s="180">
        <v>16143</v>
      </c>
      <c r="FF29" s="181">
        <v>2065543</v>
      </c>
      <c r="FG29" s="179">
        <v>100</v>
      </c>
      <c r="FH29" s="180">
        <v>7804</v>
      </c>
      <c r="FI29" s="180">
        <v>1209</v>
      </c>
      <c r="FJ29" s="180">
        <v>95231</v>
      </c>
      <c r="FK29" s="180">
        <v>605</v>
      </c>
      <c r="FL29" s="180">
        <v>70246</v>
      </c>
      <c r="FM29" s="180">
        <v>5137</v>
      </c>
      <c r="FN29" s="180">
        <v>617111</v>
      </c>
      <c r="FO29" s="180">
        <v>616</v>
      </c>
      <c r="FP29" s="180">
        <v>63546</v>
      </c>
      <c r="FQ29" s="180">
        <v>6040</v>
      </c>
      <c r="FR29" s="180">
        <v>706082</v>
      </c>
      <c r="FS29" s="180">
        <v>637</v>
      </c>
      <c r="FT29" s="180">
        <v>102213</v>
      </c>
      <c r="FU29" s="180">
        <v>6047</v>
      </c>
      <c r="FV29" s="180">
        <v>938122</v>
      </c>
      <c r="FW29" s="180">
        <v>243811</v>
      </c>
      <c r="FX29" s="180">
        <v>243811</v>
      </c>
      <c r="FY29" s="180">
        <v>18434</v>
      </c>
      <c r="FZ29" s="181">
        <v>2356545</v>
      </c>
      <c r="GA29" s="179"/>
      <c r="GB29" s="180"/>
      <c r="GC29" s="180"/>
      <c r="GD29" s="180"/>
      <c r="GE29" s="180"/>
      <c r="GF29" s="180"/>
      <c r="GG29" s="180"/>
      <c r="GH29" s="180"/>
      <c r="GI29" s="180"/>
      <c r="GJ29" s="180"/>
      <c r="GK29" s="180"/>
      <c r="GL29" s="180"/>
      <c r="GM29" s="180"/>
      <c r="GN29" s="180"/>
      <c r="GO29" s="180"/>
      <c r="GP29" s="180"/>
      <c r="GQ29" s="180"/>
      <c r="GR29" s="180"/>
      <c r="GS29" s="180"/>
      <c r="GT29" s="181"/>
      <c r="GU29" s="179">
        <v>129</v>
      </c>
      <c r="GV29" s="180">
        <v>8933</v>
      </c>
      <c r="GW29" s="180">
        <v>1492</v>
      </c>
      <c r="GX29" s="180">
        <v>114862</v>
      </c>
      <c r="GY29" s="180">
        <v>396</v>
      </c>
      <c r="GZ29" s="180">
        <v>54544</v>
      </c>
      <c r="HA29" s="180">
        <v>5997</v>
      </c>
      <c r="HB29" s="180">
        <v>724659</v>
      </c>
      <c r="HC29" s="180">
        <v>464</v>
      </c>
      <c r="HD29" s="180">
        <v>51484</v>
      </c>
      <c r="HE29" s="180">
        <v>7243</v>
      </c>
      <c r="HF29" s="180">
        <v>851774</v>
      </c>
      <c r="HG29" s="180">
        <v>770</v>
      </c>
      <c r="HH29" s="180">
        <v>140906</v>
      </c>
      <c r="HI29" s="180">
        <v>7595</v>
      </c>
      <c r="HJ29" s="180">
        <v>1207268</v>
      </c>
      <c r="HK29" s="180">
        <v>1759</v>
      </c>
      <c r="HL29" s="180">
        <v>255866</v>
      </c>
      <c r="HM29" s="180">
        <v>22327</v>
      </c>
      <c r="HN29" s="181">
        <v>2898564</v>
      </c>
      <c r="HO29" s="179">
        <v>120</v>
      </c>
      <c r="HP29" s="180">
        <v>8410</v>
      </c>
      <c r="HQ29" s="180">
        <v>1629</v>
      </c>
      <c r="HR29" s="180">
        <v>124831</v>
      </c>
      <c r="HS29" s="180">
        <v>436</v>
      </c>
      <c r="HT29" s="180">
        <v>53843</v>
      </c>
      <c r="HU29" s="180">
        <v>6492</v>
      </c>
      <c r="HV29" s="180">
        <v>786158</v>
      </c>
      <c r="HW29" s="180">
        <v>559</v>
      </c>
      <c r="HX29" s="180">
        <v>70600</v>
      </c>
      <c r="HY29" s="180">
        <v>7887</v>
      </c>
      <c r="HZ29" s="180">
        <v>934971</v>
      </c>
      <c r="IA29" s="180">
        <v>626</v>
      </c>
      <c r="IB29" s="180">
        <v>103122</v>
      </c>
      <c r="IC29" s="180">
        <v>8283</v>
      </c>
      <c r="ID29" s="180">
        <v>1319566</v>
      </c>
      <c r="IE29" s="180">
        <v>1741</v>
      </c>
      <c r="IF29" s="180">
        <v>235973</v>
      </c>
      <c r="IG29" s="180">
        <v>24292</v>
      </c>
      <c r="IH29" s="181">
        <v>3165528</v>
      </c>
    </row>
    <row r="30" spans="2:242">
      <c r="B30" s="175">
        <v>28</v>
      </c>
      <c r="C30" s="179">
        <v>115</v>
      </c>
      <c r="D30" s="180">
        <v>8672</v>
      </c>
      <c r="E30" s="180">
        <v>115</v>
      </c>
      <c r="F30" s="180">
        <v>8672</v>
      </c>
      <c r="G30" s="180">
        <v>598</v>
      </c>
      <c r="H30" s="180">
        <v>68073</v>
      </c>
      <c r="I30" s="180">
        <v>598</v>
      </c>
      <c r="J30" s="180">
        <v>68073</v>
      </c>
      <c r="K30" s="180">
        <v>623</v>
      </c>
      <c r="L30" s="180">
        <v>84413</v>
      </c>
      <c r="M30" s="180">
        <v>623</v>
      </c>
      <c r="N30" s="180">
        <v>84413</v>
      </c>
      <c r="O30" s="180">
        <v>587</v>
      </c>
      <c r="P30" s="180">
        <v>92316</v>
      </c>
      <c r="Q30" s="180">
        <v>587</v>
      </c>
      <c r="R30" s="180">
        <v>92316</v>
      </c>
      <c r="S30" s="180">
        <v>253474</v>
      </c>
      <c r="T30" s="180">
        <v>253474</v>
      </c>
      <c r="U30" s="180">
        <v>1923</v>
      </c>
      <c r="V30" s="181">
        <v>253474</v>
      </c>
      <c r="W30" s="179">
        <v>114</v>
      </c>
      <c r="X30" s="180">
        <v>8420</v>
      </c>
      <c r="Y30" s="180">
        <v>250</v>
      </c>
      <c r="Z30" s="180">
        <v>19245</v>
      </c>
      <c r="AA30" s="180">
        <v>581</v>
      </c>
      <c r="AB30" s="180">
        <v>70005</v>
      </c>
      <c r="AC30" s="180">
        <v>1314</v>
      </c>
      <c r="AD30" s="180">
        <v>153335</v>
      </c>
      <c r="AE30" s="180">
        <v>777</v>
      </c>
      <c r="AF30" s="180">
        <v>89703</v>
      </c>
      <c r="AG30" s="180">
        <v>1572</v>
      </c>
      <c r="AH30" s="180">
        <v>195549</v>
      </c>
      <c r="AI30" s="180">
        <v>656</v>
      </c>
      <c r="AJ30" s="180">
        <v>104088</v>
      </c>
      <c r="AK30" s="180">
        <v>1322</v>
      </c>
      <c r="AL30" s="180">
        <v>209028</v>
      </c>
      <c r="AM30" s="180">
        <v>272214</v>
      </c>
      <c r="AN30" s="180">
        <v>272214</v>
      </c>
      <c r="AO30" s="180">
        <v>4457</v>
      </c>
      <c r="AP30" s="181">
        <v>577154</v>
      </c>
      <c r="AQ30" s="179">
        <v>103</v>
      </c>
      <c r="AR30" s="180">
        <v>7738</v>
      </c>
      <c r="AS30" s="180">
        <v>353</v>
      </c>
      <c r="AT30" s="180">
        <v>26984</v>
      </c>
      <c r="AU30" s="180">
        <v>566</v>
      </c>
      <c r="AV30" s="180">
        <v>62424</v>
      </c>
      <c r="AW30" s="180">
        <v>1879</v>
      </c>
      <c r="AX30" s="180">
        <v>215755</v>
      </c>
      <c r="AY30" s="180">
        <v>737</v>
      </c>
      <c r="AZ30" s="180">
        <v>69945</v>
      </c>
      <c r="BA30" s="180">
        <v>2309</v>
      </c>
      <c r="BB30" s="180">
        <v>265493</v>
      </c>
      <c r="BC30" s="180">
        <v>635</v>
      </c>
      <c r="BD30" s="180">
        <v>95606</v>
      </c>
      <c r="BE30" s="180">
        <v>1957</v>
      </c>
      <c r="BF30" s="180">
        <v>304632</v>
      </c>
      <c r="BG30" s="180">
        <v>235713</v>
      </c>
      <c r="BH30" s="180">
        <v>235713</v>
      </c>
      <c r="BI30" s="180">
        <v>6498</v>
      </c>
      <c r="BJ30" s="181">
        <v>812866</v>
      </c>
      <c r="BK30" s="179"/>
      <c r="BL30" s="180"/>
      <c r="BM30" s="180"/>
      <c r="BN30" s="180"/>
      <c r="BO30" s="180"/>
      <c r="BP30" s="180"/>
      <c r="BQ30" s="180"/>
      <c r="BR30" s="180"/>
      <c r="BS30" s="180"/>
      <c r="BT30" s="180"/>
      <c r="BU30" s="180"/>
      <c r="BV30" s="180"/>
      <c r="BW30" s="180"/>
      <c r="BX30" s="180"/>
      <c r="BY30" s="180"/>
      <c r="BZ30" s="180"/>
      <c r="CA30" s="180"/>
      <c r="CB30" s="180"/>
      <c r="CC30" s="180"/>
      <c r="CD30" s="181"/>
      <c r="CE30" s="179">
        <v>96</v>
      </c>
      <c r="CF30" s="180">
        <v>6913</v>
      </c>
      <c r="CG30" s="180">
        <v>605</v>
      </c>
      <c r="CH30" s="180">
        <v>46514</v>
      </c>
      <c r="CI30" s="180">
        <v>429</v>
      </c>
      <c r="CJ30" s="180">
        <v>51443</v>
      </c>
      <c r="CK30" s="180">
        <v>2840</v>
      </c>
      <c r="CL30" s="180">
        <v>332661</v>
      </c>
      <c r="CM30" s="180">
        <v>437</v>
      </c>
      <c r="CN30" s="180">
        <v>52445</v>
      </c>
      <c r="CO30" s="180">
        <v>3492</v>
      </c>
      <c r="CP30" s="180">
        <v>408188</v>
      </c>
      <c r="CQ30" s="180">
        <v>590</v>
      </c>
      <c r="CR30" s="180">
        <v>88567</v>
      </c>
      <c r="CS30" s="180">
        <v>3277</v>
      </c>
      <c r="CT30" s="180">
        <v>500550</v>
      </c>
      <c r="CU30" s="180">
        <v>199369</v>
      </c>
      <c r="CV30" s="180">
        <v>199369</v>
      </c>
      <c r="CW30" s="180">
        <v>10214</v>
      </c>
      <c r="CX30" s="181">
        <v>1287912</v>
      </c>
      <c r="CY30" s="179">
        <v>124</v>
      </c>
      <c r="CZ30" s="180">
        <v>10140</v>
      </c>
      <c r="DA30" s="180">
        <v>737</v>
      </c>
      <c r="DB30" s="180">
        <v>57178</v>
      </c>
      <c r="DC30" s="180">
        <v>582</v>
      </c>
      <c r="DD30" s="180">
        <v>65405</v>
      </c>
      <c r="DE30" s="180">
        <v>3506</v>
      </c>
      <c r="DF30" s="180">
        <v>410421</v>
      </c>
      <c r="DG30" s="180">
        <v>635</v>
      </c>
      <c r="DH30" s="180">
        <v>81076</v>
      </c>
      <c r="DI30" s="180">
        <v>4273</v>
      </c>
      <c r="DJ30" s="180">
        <v>506043</v>
      </c>
      <c r="DK30" s="180">
        <v>653</v>
      </c>
      <c r="DL30" s="180">
        <v>101843</v>
      </c>
      <c r="DM30" s="180">
        <v>4012</v>
      </c>
      <c r="DN30" s="180">
        <v>615396</v>
      </c>
      <c r="DO30" s="180">
        <v>258463</v>
      </c>
      <c r="DP30" s="180">
        <v>258463</v>
      </c>
      <c r="DQ30" s="180">
        <v>12530</v>
      </c>
      <c r="DR30" s="181">
        <v>1589037</v>
      </c>
      <c r="DS30" s="179"/>
      <c r="DT30" s="180"/>
      <c r="DU30" s="180"/>
      <c r="DV30" s="180"/>
      <c r="DW30" s="180"/>
      <c r="DX30" s="180"/>
      <c r="DY30" s="180"/>
      <c r="DZ30" s="180"/>
      <c r="EA30" s="180"/>
      <c r="EB30" s="180"/>
      <c r="EC30" s="180"/>
      <c r="ED30" s="180"/>
      <c r="EE30" s="180"/>
      <c r="EF30" s="180"/>
      <c r="EG30" s="180"/>
      <c r="EH30" s="180"/>
      <c r="EI30" s="180"/>
      <c r="EJ30" s="180"/>
      <c r="EK30" s="180"/>
      <c r="EL30" s="181"/>
      <c r="EM30" s="179">
        <v>164</v>
      </c>
      <c r="EN30" s="180">
        <v>13774</v>
      </c>
      <c r="EO30" s="180">
        <v>1088</v>
      </c>
      <c r="EP30" s="180">
        <v>85646</v>
      </c>
      <c r="EQ30" s="180">
        <v>437</v>
      </c>
      <c r="ER30" s="180">
        <v>57324</v>
      </c>
      <c r="ES30" s="180">
        <v>4475</v>
      </c>
      <c r="ET30" s="180">
        <v>537642</v>
      </c>
      <c r="EU30" s="180">
        <v>327</v>
      </c>
      <c r="EV30" s="180">
        <v>43784</v>
      </c>
      <c r="EW30" s="180">
        <v>5313</v>
      </c>
      <c r="EX30" s="180">
        <v>628390</v>
      </c>
      <c r="EY30" s="180">
        <v>573</v>
      </c>
      <c r="EZ30" s="180">
        <v>90868</v>
      </c>
      <c r="FA30" s="180">
        <v>5349</v>
      </c>
      <c r="FB30" s="180">
        <v>826563</v>
      </c>
      <c r="FC30" s="180">
        <v>205750</v>
      </c>
      <c r="FD30" s="180">
        <v>205750</v>
      </c>
      <c r="FE30" s="180">
        <v>16224</v>
      </c>
      <c r="FF30" s="181">
        <v>2078242</v>
      </c>
      <c r="FG30" s="179">
        <v>100</v>
      </c>
      <c r="FH30" s="180">
        <v>7804</v>
      </c>
      <c r="FI30" s="180">
        <v>1209</v>
      </c>
      <c r="FJ30" s="180">
        <v>95231</v>
      </c>
      <c r="FK30" s="180">
        <v>605</v>
      </c>
      <c r="FL30" s="180">
        <v>70246</v>
      </c>
      <c r="FM30" s="180">
        <v>5137</v>
      </c>
      <c r="FN30" s="180">
        <v>617111</v>
      </c>
      <c r="FO30" s="180">
        <v>616</v>
      </c>
      <c r="FP30" s="180">
        <v>63546</v>
      </c>
      <c r="FQ30" s="180">
        <v>6040</v>
      </c>
      <c r="FR30" s="180">
        <v>706082</v>
      </c>
      <c r="FS30" s="180">
        <v>637</v>
      </c>
      <c r="FT30" s="180">
        <v>102213</v>
      </c>
      <c r="FU30" s="180">
        <v>6047</v>
      </c>
      <c r="FV30" s="180">
        <v>938122</v>
      </c>
      <c r="FW30" s="180">
        <v>243811</v>
      </c>
      <c r="FX30" s="180">
        <v>243811</v>
      </c>
      <c r="FY30" s="180">
        <v>18434</v>
      </c>
      <c r="FZ30" s="181">
        <v>2356545</v>
      </c>
      <c r="GA30" s="179">
        <v>114</v>
      </c>
      <c r="GB30" s="180">
        <v>7718</v>
      </c>
      <c r="GC30" s="180">
        <v>1334</v>
      </c>
      <c r="GD30" s="180">
        <v>103663</v>
      </c>
      <c r="GE30" s="180">
        <v>379</v>
      </c>
      <c r="GF30" s="180">
        <v>43110</v>
      </c>
      <c r="GG30" s="180">
        <v>5530</v>
      </c>
      <c r="GH30" s="180">
        <v>661367</v>
      </c>
      <c r="GI30" s="180">
        <v>568</v>
      </c>
      <c r="GJ30" s="180">
        <v>71854</v>
      </c>
      <c r="GK30" s="180">
        <v>6637</v>
      </c>
      <c r="GL30" s="180">
        <v>780586</v>
      </c>
      <c r="GM30" s="180">
        <v>657</v>
      </c>
      <c r="GN30" s="180">
        <v>109505</v>
      </c>
      <c r="GO30" s="180">
        <v>6733</v>
      </c>
      <c r="GP30" s="180">
        <v>1052163</v>
      </c>
      <c r="GQ30" s="180">
        <v>1719</v>
      </c>
      <c r="GR30" s="180">
        <v>232187</v>
      </c>
      <c r="GS30" s="180">
        <v>20235</v>
      </c>
      <c r="GT30" s="181">
        <v>2597781</v>
      </c>
      <c r="GU30" s="179">
        <v>139</v>
      </c>
      <c r="GV30" s="180">
        <v>10050</v>
      </c>
      <c r="GW30" s="180">
        <v>1502</v>
      </c>
      <c r="GX30" s="180">
        <v>115980</v>
      </c>
      <c r="GY30" s="180">
        <v>430</v>
      </c>
      <c r="GZ30" s="180">
        <v>59901</v>
      </c>
      <c r="HA30" s="180">
        <v>6031</v>
      </c>
      <c r="HB30" s="180">
        <v>730017</v>
      </c>
      <c r="HC30" s="180">
        <v>496</v>
      </c>
      <c r="HD30" s="180">
        <v>56077</v>
      </c>
      <c r="HE30" s="180">
        <v>7275</v>
      </c>
      <c r="HF30" s="180">
        <v>856367</v>
      </c>
      <c r="HG30" s="180">
        <v>804</v>
      </c>
      <c r="HH30" s="180">
        <v>146423</v>
      </c>
      <c r="HI30" s="180">
        <v>7629</v>
      </c>
      <c r="HJ30" s="180">
        <v>1212785</v>
      </c>
      <c r="HK30" s="180">
        <v>1870</v>
      </c>
      <c r="HL30" s="180">
        <v>272450</v>
      </c>
      <c r="HM30" s="180">
        <v>22438</v>
      </c>
      <c r="HN30" s="181">
        <v>2915148</v>
      </c>
      <c r="HO30" s="179"/>
      <c r="HP30" s="180"/>
      <c r="HQ30" s="180"/>
      <c r="HR30" s="180"/>
      <c r="HS30" s="180"/>
      <c r="HT30" s="180"/>
      <c r="HU30" s="180"/>
      <c r="HV30" s="180"/>
      <c r="HW30" s="180"/>
      <c r="HX30" s="180"/>
      <c r="HY30" s="180"/>
      <c r="HZ30" s="180"/>
      <c r="IA30" s="180"/>
      <c r="IB30" s="180"/>
      <c r="IC30" s="180"/>
      <c r="ID30" s="180"/>
      <c r="IE30" s="180"/>
      <c r="IF30" s="180"/>
      <c r="IG30" s="180"/>
      <c r="IH30" s="181"/>
    </row>
    <row r="31" spans="2:242">
      <c r="B31" s="175">
        <v>29</v>
      </c>
      <c r="C31" s="179">
        <v>115</v>
      </c>
      <c r="D31" s="180">
        <v>8672</v>
      </c>
      <c r="E31" s="180">
        <v>115</v>
      </c>
      <c r="F31" s="180">
        <v>8672</v>
      </c>
      <c r="G31" s="180">
        <v>632</v>
      </c>
      <c r="H31" s="180">
        <v>71336</v>
      </c>
      <c r="I31" s="180">
        <v>632</v>
      </c>
      <c r="J31" s="180">
        <v>71336</v>
      </c>
      <c r="K31" s="180">
        <v>685</v>
      </c>
      <c r="L31" s="180">
        <v>93804</v>
      </c>
      <c r="M31" s="180">
        <v>685</v>
      </c>
      <c r="N31" s="180">
        <v>93804</v>
      </c>
      <c r="O31" s="180">
        <v>608</v>
      </c>
      <c r="P31" s="180">
        <v>95236</v>
      </c>
      <c r="Q31" s="180">
        <v>608</v>
      </c>
      <c r="R31" s="180">
        <v>95236</v>
      </c>
      <c r="S31" s="180">
        <v>269047</v>
      </c>
      <c r="T31" s="180">
        <v>269047</v>
      </c>
      <c r="U31" s="180">
        <v>2040</v>
      </c>
      <c r="V31" s="181">
        <v>269047</v>
      </c>
      <c r="W31" s="179"/>
      <c r="X31" s="180"/>
      <c r="Y31" s="180"/>
      <c r="Z31" s="180"/>
      <c r="AA31" s="180"/>
      <c r="AB31" s="180"/>
      <c r="AC31" s="180"/>
      <c r="AD31" s="180"/>
      <c r="AE31" s="180"/>
      <c r="AF31" s="180"/>
      <c r="AG31" s="180"/>
      <c r="AH31" s="180"/>
      <c r="AI31" s="180"/>
      <c r="AJ31" s="180"/>
      <c r="AK31" s="180"/>
      <c r="AL31" s="180"/>
      <c r="AM31" s="180"/>
      <c r="AN31" s="180"/>
      <c r="AO31" s="180"/>
      <c r="AP31" s="181"/>
      <c r="AQ31" s="179">
        <v>111</v>
      </c>
      <c r="AR31" s="180">
        <v>8230</v>
      </c>
      <c r="AS31" s="180">
        <v>362</v>
      </c>
      <c r="AT31" s="180">
        <v>27476</v>
      </c>
      <c r="AU31" s="180">
        <v>598</v>
      </c>
      <c r="AV31" s="180">
        <v>66380</v>
      </c>
      <c r="AW31" s="180">
        <v>1912</v>
      </c>
      <c r="AX31" s="180">
        <v>219714</v>
      </c>
      <c r="AY31" s="180">
        <v>830</v>
      </c>
      <c r="AZ31" s="180">
        <v>82161</v>
      </c>
      <c r="BA31" s="180">
        <v>2402</v>
      </c>
      <c r="BB31" s="180">
        <v>277710</v>
      </c>
      <c r="BC31" s="180">
        <v>662</v>
      </c>
      <c r="BD31" s="180">
        <v>100148</v>
      </c>
      <c r="BE31" s="180">
        <v>1982</v>
      </c>
      <c r="BF31" s="180">
        <v>309174</v>
      </c>
      <c r="BG31" s="180">
        <v>256919</v>
      </c>
      <c r="BH31" s="180">
        <v>256919</v>
      </c>
      <c r="BI31" s="180">
        <v>6657</v>
      </c>
      <c r="BJ31" s="181">
        <v>834073</v>
      </c>
      <c r="BK31" s="179">
        <v>143</v>
      </c>
      <c r="BL31" s="180">
        <v>11738</v>
      </c>
      <c r="BM31" s="180">
        <v>505</v>
      </c>
      <c r="BN31" s="180">
        <v>39214</v>
      </c>
      <c r="BO31" s="180">
        <v>476</v>
      </c>
      <c r="BP31" s="180">
        <v>58953</v>
      </c>
      <c r="BQ31" s="180">
        <v>2388</v>
      </c>
      <c r="BR31" s="180">
        <v>278668</v>
      </c>
      <c r="BS31" s="180">
        <v>584</v>
      </c>
      <c r="BT31" s="180">
        <v>71903</v>
      </c>
      <c r="BU31" s="180">
        <v>2989</v>
      </c>
      <c r="BV31" s="180">
        <v>349982</v>
      </c>
      <c r="BW31" s="180">
        <v>656</v>
      </c>
      <c r="BX31" s="180">
        <v>95111</v>
      </c>
      <c r="BY31" s="180">
        <v>2647</v>
      </c>
      <c r="BZ31" s="180">
        <v>405179</v>
      </c>
      <c r="CA31" s="180">
        <v>237706</v>
      </c>
      <c r="CB31" s="180">
        <v>237706</v>
      </c>
      <c r="CC31" s="180">
        <v>8528</v>
      </c>
      <c r="CD31" s="181">
        <v>1073043</v>
      </c>
      <c r="CE31" s="179">
        <v>96</v>
      </c>
      <c r="CF31" s="180">
        <v>6913</v>
      </c>
      <c r="CG31" s="180">
        <v>605</v>
      </c>
      <c r="CH31" s="180">
        <v>46514</v>
      </c>
      <c r="CI31" s="180">
        <v>454</v>
      </c>
      <c r="CJ31" s="180">
        <v>55089</v>
      </c>
      <c r="CK31" s="180">
        <v>2866</v>
      </c>
      <c r="CL31" s="180">
        <v>336306</v>
      </c>
      <c r="CM31" s="180">
        <v>485</v>
      </c>
      <c r="CN31" s="180">
        <v>57836</v>
      </c>
      <c r="CO31" s="180">
        <v>3540</v>
      </c>
      <c r="CP31" s="180">
        <v>413578</v>
      </c>
      <c r="CQ31" s="180">
        <v>617</v>
      </c>
      <c r="CR31" s="180">
        <v>93009</v>
      </c>
      <c r="CS31" s="180">
        <v>3305</v>
      </c>
      <c r="CT31" s="180">
        <v>504993</v>
      </c>
      <c r="CU31" s="180">
        <v>212848</v>
      </c>
      <c r="CV31" s="180">
        <v>212848</v>
      </c>
      <c r="CW31" s="180">
        <v>10315</v>
      </c>
      <c r="CX31" s="181">
        <v>1301393</v>
      </c>
      <c r="CY31" s="179"/>
      <c r="CZ31" s="180"/>
      <c r="DA31" s="180"/>
      <c r="DB31" s="180"/>
      <c r="DC31" s="180"/>
      <c r="DD31" s="180"/>
      <c r="DE31" s="180"/>
      <c r="DF31" s="180"/>
      <c r="DG31" s="180"/>
      <c r="DH31" s="180"/>
      <c r="DI31" s="180"/>
      <c r="DJ31" s="180"/>
      <c r="DK31" s="180"/>
      <c r="DL31" s="180"/>
      <c r="DM31" s="180"/>
      <c r="DN31" s="180"/>
      <c r="DO31" s="180"/>
      <c r="DP31" s="180"/>
      <c r="DQ31" s="180"/>
      <c r="DR31" s="181"/>
      <c r="DS31" s="179">
        <v>177</v>
      </c>
      <c r="DT31" s="180">
        <v>14079</v>
      </c>
      <c r="DU31" s="180">
        <v>914</v>
      </c>
      <c r="DV31" s="180">
        <v>71255</v>
      </c>
      <c r="DW31" s="180">
        <v>460</v>
      </c>
      <c r="DX31" s="180">
        <v>61147</v>
      </c>
      <c r="DY31" s="180">
        <v>3967</v>
      </c>
      <c r="DZ31" s="180">
        <v>471568</v>
      </c>
      <c r="EA31" s="180">
        <v>612</v>
      </c>
      <c r="EB31" s="180">
        <v>66718</v>
      </c>
      <c r="EC31" s="180">
        <v>4886</v>
      </c>
      <c r="ED31" s="180">
        <v>572761</v>
      </c>
      <c r="EE31" s="180">
        <v>689</v>
      </c>
      <c r="EF31" s="180">
        <v>109538</v>
      </c>
      <c r="EG31" s="180">
        <v>4702</v>
      </c>
      <c r="EH31" s="180">
        <v>724934</v>
      </c>
      <c r="EI31" s="180">
        <v>251484</v>
      </c>
      <c r="EJ31" s="180">
        <v>251484</v>
      </c>
      <c r="EK31" s="180">
        <v>14469</v>
      </c>
      <c r="EL31" s="181">
        <v>1840520</v>
      </c>
      <c r="EM31" s="179">
        <v>164</v>
      </c>
      <c r="EN31" s="180">
        <v>13774</v>
      </c>
      <c r="EO31" s="180">
        <v>1088</v>
      </c>
      <c r="EP31" s="180">
        <v>85646</v>
      </c>
      <c r="EQ31" s="180">
        <v>458</v>
      </c>
      <c r="ER31" s="180">
        <v>60043</v>
      </c>
      <c r="ES31" s="180">
        <v>4495</v>
      </c>
      <c r="ET31" s="180">
        <v>540362</v>
      </c>
      <c r="EU31" s="180">
        <v>371</v>
      </c>
      <c r="EV31" s="180">
        <v>49695</v>
      </c>
      <c r="EW31" s="180">
        <v>5357</v>
      </c>
      <c r="EX31" s="180">
        <v>634300</v>
      </c>
      <c r="EY31" s="180">
        <v>599</v>
      </c>
      <c r="EZ31" s="180">
        <v>94792</v>
      </c>
      <c r="FA31" s="180">
        <v>5376</v>
      </c>
      <c r="FB31" s="180">
        <v>830488</v>
      </c>
      <c r="FC31" s="180">
        <v>218303</v>
      </c>
      <c r="FD31" s="180">
        <v>218303</v>
      </c>
      <c r="FE31" s="180">
        <v>16316</v>
      </c>
      <c r="FF31" s="181">
        <v>2090795</v>
      </c>
      <c r="FG31" s="179"/>
      <c r="FH31" s="180"/>
      <c r="FI31" s="180"/>
      <c r="FJ31" s="180"/>
      <c r="FK31" s="180"/>
      <c r="FL31" s="180"/>
      <c r="FM31" s="180"/>
      <c r="FN31" s="180"/>
      <c r="FO31" s="180"/>
      <c r="FP31" s="180"/>
      <c r="FQ31" s="180"/>
      <c r="FR31" s="180"/>
      <c r="FS31" s="180"/>
      <c r="FT31" s="180"/>
      <c r="FU31" s="180"/>
      <c r="FV31" s="180"/>
      <c r="FW31" s="180"/>
      <c r="FX31" s="180"/>
      <c r="FY31" s="180"/>
      <c r="FZ31" s="181"/>
      <c r="GA31" s="179">
        <v>117</v>
      </c>
      <c r="GB31" s="180">
        <v>7831</v>
      </c>
      <c r="GC31" s="180">
        <v>1337</v>
      </c>
      <c r="GD31" s="180">
        <v>103777</v>
      </c>
      <c r="GE31" s="180">
        <v>399</v>
      </c>
      <c r="GF31" s="180">
        <v>45880</v>
      </c>
      <c r="GG31" s="180">
        <v>5551</v>
      </c>
      <c r="GH31" s="180">
        <v>664137</v>
      </c>
      <c r="GI31" s="180">
        <v>574</v>
      </c>
      <c r="GJ31" s="180">
        <v>72317</v>
      </c>
      <c r="GK31" s="180">
        <v>6643</v>
      </c>
      <c r="GL31" s="180">
        <v>781048</v>
      </c>
      <c r="GM31" s="180">
        <v>683</v>
      </c>
      <c r="GN31" s="180">
        <v>113771</v>
      </c>
      <c r="GO31" s="180">
        <v>6759</v>
      </c>
      <c r="GP31" s="180">
        <v>1056432</v>
      </c>
      <c r="GQ31" s="180">
        <v>1772</v>
      </c>
      <c r="GR31" s="180">
        <v>239801</v>
      </c>
      <c r="GS31" s="180">
        <v>20290</v>
      </c>
      <c r="GT31" s="181">
        <v>2605395</v>
      </c>
      <c r="GU31" s="179">
        <v>146</v>
      </c>
      <c r="GV31" s="180">
        <v>10492</v>
      </c>
      <c r="GW31" s="180">
        <v>1510</v>
      </c>
      <c r="GX31" s="180">
        <v>116422</v>
      </c>
      <c r="GY31" s="180">
        <v>456</v>
      </c>
      <c r="GZ31" s="180">
        <v>62201</v>
      </c>
      <c r="HA31" s="180">
        <v>6057</v>
      </c>
      <c r="HB31" s="180">
        <v>732317</v>
      </c>
      <c r="HC31" s="180">
        <v>550</v>
      </c>
      <c r="HD31" s="180">
        <v>64083</v>
      </c>
      <c r="HE31" s="180">
        <v>7329</v>
      </c>
      <c r="HF31" s="180">
        <v>864372</v>
      </c>
      <c r="HG31" s="180">
        <v>831</v>
      </c>
      <c r="HH31" s="180">
        <v>150082</v>
      </c>
      <c r="HI31" s="180">
        <v>7656</v>
      </c>
      <c r="HJ31" s="180">
        <v>1216443</v>
      </c>
      <c r="HK31" s="180">
        <v>1984</v>
      </c>
      <c r="HL31" s="180">
        <v>286858</v>
      </c>
      <c r="HM31" s="180">
        <v>22552</v>
      </c>
      <c r="HN31" s="181">
        <v>2929555</v>
      </c>
      <c r="HO31" s="179"/>
      <c r="HP31" s="180"/>
      <c r="HQ31" s="180"/>
      <c r="HR31" s="180"/>
      <c r="HS31" s="180"/>
      <c r="HT31" s="180"/>
      <c r="HU31" s="180"/>
      <c r="HV31" s="180"/>
      <c r="HW31" s="180"/>
      <c r="HX31" s="180"/>
      <c r="HY31" s="180"/>
      <c r="HZ31" s="180"/>
      <c r="IA31" s="180"/>
      <c r="IB31" s="180"/>
      <c r="IC31" s="180"/>
      <c r="ID31" s="180"/>
      <c r="IE31" s="180"/>
      <c r="IF31" s="180"/>
      <c r="IG31" s="180"/>
      <c r="IH31" s="181"/>
    </row>
    <row r="32" spans="2:242">
      <c r="B32" s="175">
        <v>30</v>
      </c>
      <c r="C32" s="179">
        <v>132</v>
      </c>
      <c r="D32" s="180">
        <v>10182</v>
      </c>
      <c r="E32" s="180">
        <v>132</v>
      </c>
      <c r="F32" s="180">
        <v>10182</v>
      </c>
      <c r="G32" s="180">
        <v>657</v>
      </c>
      <c r="H32" s="180">
        <v>74551</v>
      </c>
      <c r="I32" s="180">
        <v>657</v>
      </c>
      <c r="J32" s="180">
        <v>74551</v>
      </c>
      <c r="K32" s="180">
        <v>742</v>
      </c>
      <c r="L32" s="180">
        <v>99988</v>
      </c>
      <c r="M32" s="180">
        <v>742</v>
      </c>
      <c r="N32" s="180">
        <v>99988</v>
      </c>
      <c r="O32" s="180">
        <v>639</v>
      </c>
      <c r="P32" s="180">
        <v>100050</v>
      </c>
      <c r="Q32" s="180">
        <v>639</v>
      </c>
      <c r="R32" s="180">
        <v>100050</v>
      </c>
      <c r="S32" s="180">
        <v>284772</v>
      </c>
      <c r="T32" s="180">
        <v>284772</v>
      </c>
      <c r="U32" s="180">
        <v>2170</v>
      </c>
      <c r="V32" s="181">
        <v>284772</v>
      </c>
      <c r="W32" s="179"/>
      <c r="X32" s="180"/>
      <c r="Y32" s="180"/>
      <c r="Z32" s="180"/>
      <c r="AA32" s="180"/>
      <c r="AB32" s="180"/>
      <c r="AC32" s="180"/>
      <c r="AD32" s="180"/>
      <c r="AE32" s="180"/>
      <c r="AF32" s="180"/>
      <c r="AG32" s="180"/>
      <c r="AH32" s="180"/>
      <c r="AI32" s="180"/>
      <c r="AJ32" s="180"/>
      <c r="AK32" s="180"/>
      <c r="AL32" s="180"/>
      <c r="AM32" s="180"/>
      <c r="AN32" s="180"/>
      <c r="AO32" s="180"/>
      <c r="AP32" s="181"/>
      <c r="AQ32" s="179">
        <v>111</v>
      </c>
      <c r="AR32" s="180">
        <v>8230</v>
      </c>
      <c r="AS32" s="180">
        <v>362</v>
      </c>
      <c r="AT32" s="180">
        <v>27476</v>
      </c>
      <c r="AU32" s="180">
        <v>598</v>
      </c>
      <c r="AV32" s="180">
        <v>66380</v>
      </c>
      <c r="AW32" s="180">
        <v>1912</v>
      </c>
      <c r="AX32" s="180">
        <v>219714</v>
      </c>
      <c r="AY32" s="180">
        <v>834</v>
      </c>
      <c r="AZ32" s="180">
        <v>82533</v>
      </c>
      <c r="BA32" s="180">
        <v>2406</v>
      </c>
      <c r="BB32" s="180">
        <v>278081</v>
      </c>
      <c r="BC32" s="180">
        <v>670</v>
      </c>
      <c r="BD32" s="180">
        <v>101040</v>
      </c>
      <c r="BE32" s="180">
        <v>1990</v>
      </c>
      <c r="BF32" s="180">
        <v>310068</v>
      </c>
      <c r="BG32" s="180">
        <v>258183</v>
      </c>
      <c r="BH32" s="180">
        <v>258183</v>
      </c>
      <c r="BI32" s="180">
        <v>6670</v>
      </c>
      <c r="BJ32" s="181">
        <v>835338</v>
      </c>
      <c r="BK32" s="179">
        <v>148</v>
      </c>
      <c r="BL32" s="180">
        <v>12124</v>
      </c>
      <c r="BM32" s="180">
        <v>509</v>
      </c>
      <c r="BN32" s="180">
        <v>39600</v>
      </c>
      <c r="BO32" s="180">
        <v>500</v>
      </c>
      <c r="BP32" s="180">
        <v>61503</v>
      </c>
      <c r="BQ32" s="180">
        <v>2411</v>
      </c>
      <c r="BR32" s="180">
        <v>281218</v>
      </c>
      <c r="BS32" s="180">
        <v>649</v>
      </c>
      <c r="BT32" s="180">
        <v>77663</v>
      </c>
      <c r="BU32" s="180">
        <v>3054</v>
      </c>
      <c r="BV32" s="180">
        <v>355743</v>
      </c>
      <c r="BW32" s="180">
        <v>696</v>
      </c>
      <c r="BX32" s="180">
        <v>101916</v>
      </c>
      <c r="BY32" s="180">
        <v>2688</v>
      </c>
      <c r="BZ32" s="180">
        <v>411983</v>
      </c>
      <c r="CA32" s="180">
        <v>253206</v>
      </c>
      <c r="CB32" s="180">
        <v>253206</v>
      </c>
      <c r="CC32" s="180">
        <v>8663</v>
      </c>
      <c r="CD32" s="181">
        <v>1088545</v>
      </c>
      <c r="CE32" s="179">
        <v>103</v>
      </c>
      <c r="CF32" s="180">
        <v>7372</v>
      </c>
      <c r="CG32" s="180">
        <v>612</v>
      </c>
      <c r="CH32" s="180">
        <v>46973</v>
      </c>
      <c r="CI32" s="180">
        <v>472</v>
      </c>
      <c r="CJ32" s="180">
        <v>57734</v>
      </c>
      <c r="CK32" s="180">
        <v>2883</v>
      </c>
      <c r="CL32" s="180">
        <v>338953</v>
      </c>
      <c r="CM32" s="180">
        <v>528</v>
      </c>
      <c r="CN32" s="180">
        <v>62620</v>
      </c>
      <c r="CO32" s="180">
        <v>3582</v>
      </c>
      <c r="CP32" s="180">
        <v>418363</v>
      </c>
      <c r="CQ32" s="180">
        <v>642</v>
      </c>
      <c r="CR32" s="180">
        <v>96898</v>
      </c>
      <c r="CS32" s="180">
        <v>3330</v>
      </c>
      <c r="CT32" s="180">
        <v>508883</v>
      </c>
      <c r="CU32" s="180">
        <v>224625</v>
      </c>
      <c r="CV32" s="180">
        <v>224625</v>
      </c>
      <c r="CW32" s="180">
        <v>10407</v>
      </c>
      <c r="CX32" s="181">
        <v>1313169</v>
      </c>
      <c r="CY32" s="179"/>
      <c r="CZ32" s="180"/>
      <c r="DA32" s="180"/>
      <c r="DB32" s="180"/>
      <c r="DC32" s="180"/>
      <c r="DD32" s="180"/>
      <c r="DE32" s="180"/>
      <c r="DF32" s="180"/>
      <c r="DG32" s="180"/>
      <c r="DH32" s="180"/>
      <c r="DI32" s="180"/>
      <c r="DJ32" s="180"/>
      <c r="DK32" s="180"/>
      <c r="DL32" s="180"/>
      <c r="DM32" s="180"/>
      <c r="DN32" s="180"/>
      <c r="DO32" s="180"/>
      <c r="DP32" s="180"/>
      <c r="DQ32" s="180"/>
      <c r="DR32" s="181"/>
      <c r="DS32" s="179">
        <v>179</v>
      </c>
      <c r="DT32" s="180">
        <v>14143</v>
      </c>
      <c r="DU32" s="180">
        <v>916</v>
      </c>
      <c r="DV32" s="180">
        <v>71319</v>
      </c>
      <c r="DW32" s="180">
        <v>514</v>
      </c>
      <c r="DX32" s="180">
        <v>68161</v>
      </c>
      <c r="DY32" s="180">
        <v>4021</v>
      </c>
      <c r="DZ32" s="180">
        <v>478583</v>
      </c>
      <c r="EA32" s="180">
        <v>651</v>
      </c>
      <c r="EB32" s="180">
        <v>71001</v>
      </c>
      <c r="EC32" s="180">
        <v>4925</v>
      </c>
      <c r="ED32" s="180">
        <v>577043</v>
      </c>
      <c r="EE32" s="180">
        <v>730</v>
      </c>
      <c r="EF32" s="180">
        <v>115355</v>
      </c>
      <c r="EG32" s="180">
        <v>4743</v>
      </c>
      <c r="EH32" s="180">
        <v>730752</v>
      </c>
      <c r="EI32" s="180">
        <v>268660</v>
      </c>
      <c r="EJ32" s="180">
        <v>268660</v>
      </c>
      <c r="EK32" s="180">
        <v>14604</v>
      </c>
      <c r="EL32" s="181">
        <v>1857697</v>
      </c>
      <c r="EM32" s="179">
        <v>185</v>
      </c>
      <c r="EN32" s="180">
        <v>15556</v>
      </c>
      <c r="EO32" s="180">
        <v>1109</v>
      </c>
      <c r="EP32" s="180">
        <v>87427</v>
      </c>
      <c r="EQ32" s="180">
        <v>495</v>
      </c>
      <c r="ER32" s="180">
        <v>66545</v>
      </c>
      <c r="ES32" s="180">
        <v>4533</v>
      </c>
      <c r="ET32" s="180">
        <v>546863</v>
      </c>
      <c r="EU32" s="180">
        <v>437</v>
      </c>
      <c r="EV32" s="180">
        <v>57931</v>
      </c>
      <c r="EW32" s="180">
        <v>5423</v>
      </c>
      <c r="EX32" s="180">
        <v>642536</v>
      </c>
      <c r="EY32" s="180">
        <v>635</v>
      </c>
      <c r="EZ32" s="180">
        <v>100214</v>
      </c>
      <c r="FA32" s="180">
        <v>5410</v>
      </c>
      <c r="FB32" s="180">
        <v>835908</v>
      </c>
      <c r="FC32" s="180">
        <v>1754</v>
      </c>
      <c r="FD32" s="180">
        <v>240245</v>
      </c>
      <c r="FE32" s="180">
        <v>16476</v>
      </c>
      <c r="FF32" s="181">
        <v>2112736</v>
      </c>
      <c r="FG32" s="179">
        <v>111</v>
      </c>
      <c r="FH32" s="180">
        <v>8518</v>
      </c>
      <c r="FI32" s="180">
        <v>1220</v>
      </c>
      <c r="FJ32" s="180">
        <v>95946</v>
      </c>
      <c r="FK32" s="180">
        <v>620</v>
      </c>
      <c r="FL32" s="180">
        <v>71391</v>
      </c>
      <c r="FM32" s="180">
        <v>5153</v>
      </c>
      <c r="FN32" s="180">
        <v>618257</v>
      </c>
      <c r="FO32" s="180">
        <v>645</v>
      </c>
      <c r="FP32" s="180">
        <v>66195</v>
      </c>
      <c r="FQ32" s="180">
        <v>6068</v>
      </c>
      <c r="FR32" s="180">
        <v>708730</v>
      </c>
      <c r="FS32" s="180">
        <v>666</v>
      </c>
      <c r="FT32" s="180">
        <v>106752</v>
      </c>
      <c r="FU32" s="180">
        <v>6076</v>
      </c>
      <c r="FV32" s="180">
        <v>942661</v>
      </c>
      <c r="FW32" s="180">
        <v>252856</v>
      </c>
      <c r="FX32" s="180">
        <v>252856</v>
      </c>
      <c r="FY32" s="180">
        <v>18517</v>
      </c>
      <c r="FZ32" s="181">
        <v>2365593</v>
      </c>
      <c r="GA32" s="179">
        <v>129</v>
      </c>
      <c r="GB32" s="180">
        <v>8675</v>
      </c>
      <c r="GC32" s="180">
        <v>1349</v>
      </c>
      <c r="GD32" s="180">
        <v>104620</v>
      </c>
      <c r="GE32" s="180">
        <v>416</v>
      </c>
      <c r="GF32" s="180">
        <v>47484</v>
      </c>
      <c r="GG32" s="180">
        <v>5568</v>
      </c>
      <c r="GH32" s="180">
        <v>665740</v>
      </c>
      <c r="GI32" s="180">
        <v>621</v>
      </c>
      <c r="GJ32" s="180">
        <v>81146</v>
      </c>
      <c r="GK32" s="180">
        <v>6689</v>
      </c>
      <c r="GL32" s="180">
        <v>789878</v>
      </c>
      <c r="GM32" s="180">
        <v>717</v>
      </c>
      <c r="GN32" s="180">
        <v>118693</v>
      </c>
      <c r="GO32" s="180">
        <v>6793</v>
      </c>
      <c r="GP32" s="180">
        <v>1061354</v>
      </c>
      <c r="GQ32" s="180">
        <v>1884</v>
      </c>
      <c r="GR32" s="180">
        <v>255997</v>
      </c>
      <c r="GS32" s="180">
        <v>20400</v>
      </c>
      <c r="GT32" s="181">
        <v>2621592</v>
      </c>
      <c r="GU32" s="179"/>
      <c r="GV32" s="180"/>
      <c r="GW32" s="180"/>
      <c r="GX32" s="180"/>
      <c r="GY32" s="180"/>
      <c r="GZ32" s="180"/>
      <c r="HA32" s="180"/>
      <c r="HB32" s="180"/>
      <c r="HC32" s="180"/>
      <c r="HD32" s="180"/>
      <c r="HE32" s="180"/>
      <c r="HF32" s="180"/>
      <c r="HG32" s="180"/>
      <c r="HH32" s="180"/>
      <c r="HI32" s="180"/>
      <c r="HJ32" s="180"/>
      <c r="HK32" s="180"/>
      <c r="HL32" s="180"/>
      <c r="HM32" s="180"/>
      <c r="HN32" s="181"/>
      <c r="HO32" s="179">
        <v>120</v>
      </c>
      <c r="HP32" s="180">
        <v>8410</v>
      </c>
      <c r="HQ32" s="180">
        <v>1629</v>
      </c>
      <c r="HR32" s="180">
        <v>124831</v>
      </c>
      <c r="HS32" s="180">
        <v>458</v>
      </c>
      <c r="HT32" s="180">
        <v>56393</v>
      </c>
      <c r="HU32" s="180">
        <v>6515</v>
      </c>
      <c r="HV32" s="180">
        <v>788708</v>
      </c>
      <c r="HW32" s="180">
        <v>666</v>
      </c>
      <c r="HX32" s="180">
        <v>84900</v>
      </c>
      <c r="HY32" s="180">
        <v>7995</v>
      </c>
      <c r="HZ32" s="180">
        <v>949272</v>
      </c>
      <c r="IA32" s="180">
        <v>666</v>
      </c>
      <c r="IB32" s="180">
        <v>110193</v>
      </c>
      <c r="IC32" s="180">
        <v>8323</v>
      </c>
      <c r="ID32" s="180">
        <v>1326638</v>
      </c>
      <c r="IE32" s="180">
        <v>1910</v>
      </c>
      <c r="IF32" s="180">
        <v>259895</v>
      </c>
      <c r="IG32" s="180">
        <v>24462</v>
      </c>
      <c r="IH32" s="181">
        <v>3189451</v>
      </c>
    </row>
    <row r="33" spans="2:242" ht="13" thickBot="1">
      <c r="B33" s="182">
        <v>31</v>
      </c>
      <c r="C33" s="183">
        <v>136</v>
      </c>
      <c r="D33" s="184">
        <v>10826</v>
      </c>
      <c r="E33" s="184">
        <v>136</v>
      </c>
      <c r="F33" s="184">
        <v>10826</v>
      </c>
      <c r="G33" s="184">
        <v>732</v>
      </c>
      <c r="H33" s="184">
        <v>83329</v>
      </c>
      <c r="I33" s="184">
        <v>732</v>
      </c>
      <c r="J33" s="184">
        <v>83329</v>
      </c>
      <c r="K33" s="184">
        <v>795</v>
      </c>
      <c r="L33" s="184">
        <v>105846</v>
      </c>
      <c r="M33" s="184">
        <v>795</v>
      </c>
      <c r="N33" s="184">
        <v>105846</v>
      </c>
      <c r="O33" s="184">
        <v>665</v>
      </c>
      <c r="P33" s="184">
        <v>104939</v>
      </c>
      <c r="Q33" s="184">
        <v>665</v>
      </c>
      <c r="R33" s="184">
        <v>104939</v>
      </c>
      <c r="S33" s="184">
        <v>304940</v>
      </c>
      <c r="T33" s="184">
        <v>304940</v>
      </c>
      <c r="U33" s="184">
        <v>2328</v>
      </c>
      <c r="V33" s="185">
        <v>304940</v>
      </c>
      <c r="W33" s="183"/>
      <c r="X33" s="184"/>
      <c r="Y33" s="184"/>
      <c r="Z33" s="184"/>
      <c r="AA33" s="184"/>
      <c r="AB33" s="184"/>
      <c r="AC33" s="184"/>
      <c r="AD33" s="184"/>
      <c r="AE33" s="184"/>
      <c r="AF33" s="184"/>
      <c r="AG33" s="184"/>
      <c r="AH33" s="184"/>
      <c r="AI33" s="184"/>
      <c r="AJ33" s="184"/>
      <c r="AK33" s="184"/>
      <c r="AL33" s="184"/>
      <c r="AM33" s="184"/>
      <c r="AN33" s="184"/>
      <c r="AO33" s="184"/>
      <c r="AP33" s="185"/>
      <c r="AQ33" s="183"/>
      <c r="AR33" s="184"/>
      <c r="AS33" s="184"/>
      <c r="AT33" s="184"/>
      <c r="AU33" s="184"/>
      <c r="AV33" s="184"/>
      <c r="AW33" s="184"/>
      <c r="AX33" s="184"/>
      <c r="AY33" s="184"/>
      <c r="AZ33" s="184"/>
      <c r="BA33" s="184"/>
      <c r="BB33" s="184"/>
      <c r="BC33" s="184"/>
      <c r="BD33" s="184"/>
      <c r="BE33" s="184"/>
      <c r="BF33" s="184"/>
      <c r="BG33" s="184"/>
      <c r="BH33" s="184"/>
      <c r="BI33" s="184"/>
      <c r="BJ33" s="185"/>
      <c r="BK33" s="183"/>
      <c r="BL33" s="184"/>
      <c r="BM33" s="184"/>
      <c r="BN33" s="184"/>
      <c r="BO33" s="184"/>
      <c r="BP33" s="184"/>
      <c r="BQ33" s="184"/>
      <c r="BR33" s="184"/>
      <c r="BS33" s="184"/>
      <c r="BT33" s="184"/>
      <c r="BU33" s="184"/>
      <c r="BV33" s="184"/>
      <c r="BW33" s="184"/>
      <c r="BX33" s="184"/>
      <c r="BY33" s="184"/>
      <c r="BZ33" s="184"/>
      <c r="CA33" s="184"/>
      <c r="CB33" s="184"/>
      <c r="CC33" s="184"/>
      <c r="CD33" s="185"/>
      <c r="CE33" s="183">
        <v>104</v>
      </c>
      <c r="CF33" s="184">
        <v>7436</v>
      </c>
      <c r="CG33" s="184">
        <v>614</v>
      </c>
      <c r="CH33" s="184">
        <v>47036</v>
      </c>
      <c r="CI33" s="184">
        <v>513</v>
      </c>
      <c r="CJ33" s="184">
        <v>63798</v>
      </c>
      <c r="CK33" s="184">
        <v>2924</v>
      </c>
      <c r="CL33" s="184">
        <v>345015</v>
      </c>
      <c r="CM33" s="184">
        <v>584</v>
      </c>
      <c r="CN33" s="184">
        <v>69225</v>
      </c>
      <c r="CO33" s="184">
        <v>3638</v>
      </c>
      <c r="CP33" s="184">
        <v>424968</v>
      </c>
      <c r="CQ33" s="184">
        <v>673</v>
      </c>
      <c r="CR33" s="184">
        <v>101572</v>
      </c>
      <c r="CS33" s="184">
        <v>3359</v>
      </c>
      <c r="CT33" s="184">
        <v>513555</v>
      </c>
      <c r="CU33" s="184">
        <v>242029</v>
      </c>
      <c r="CV33" s="184">
        <v>242029</v>
      </c>
      <c r="CW33" s="184">
        <v>10536</v>
      </c>
      <c r="CX33" s="185">
        <v>1330572</v>
      </c>
      <c r="CY33" s="183"/>
      <c r="CZ33" s="184"/>
      <c r="DA33" s="184"/>
      <c r="DB33" s="184"/>
      <c r="DC33" s="184"/>
      <c r="DD33" s="184"/>
      <c r="DE33" s="184"/>
      <c r="DF33" s="184"/>
      <c r="DG33" s="184"/>
      <c r="DH33" s="184"/>
      <c r="DI33" s="184"/>
      <c r="DJ33" s="184"/>
      <c r="DK33" s="184"/>
      <c r="DL33" s="184"/>
      <c r="DM33" s="184"/>
      <c r="DN33" s="184"/>
      <c r="DO33" s="184"/>
      <c r="DP33" s="184"/>
      <c r="DQ33" s="184"/>
      <c r="DR33" s="185"/>
      <c r="DS33" s="183">
        <v>187</v>
      </c>
      <c r="DT33" s="184">
        <v>14695</v>
      </c>
      <c r="DU33" s="184">
        <v>924</v>
      </c>
      <c r="DV33" s="184">
        <v>71871</v>
      </c>
      <c r="DW33" s="184">
        <v>531</v>
      </c>
      <c r="DX33" s="184">
        <v>69899</v>
      </c>
      <c r="DY33" s="184">
        <v>4038</v>
      </c>
      <c r="DZ33" s="184">
        <v>480320</v>
      </c>
      <c r="EA33" s="184">
        <v>712</v>
      </c>
      <c r="EB33" s="184">
        <v>78563</v>
      </c>
      <c r="EC33" s="184">
        <v>4986</v>
      </c>
      <c r="ED33" s="184">
        <v>584607</v>
      </c>
      <c r="EE33" s="184">
        <v>763</v>
      </c>
      <c r="EF33" s="184">
        <v>120297</v>
      </c>
      <c r="EG33" s="184">
        <v>4775</v>
      </c>
      <c r="EH33" s="184">
        <v>735696</v>
      </c>
      <c r="EI33" s="184">
        <v>283455</v>
      </c>
      <c r="EJ33" s="184">
        <v>283455</v>
      </c>
      <c r="EK33" s="184">
        <v>14723</v>
      </c>
      <c r="EL33" s="185">
        <v>1872492</v>
      </c>
      <c r="EM33" s="183"/>
      <c r="EN33" s="184"/>
      <c r="EO33" s="184"/>
      <c r="EP33" s="184"/>
      <c r="EQ33" s="184"/>
      <c r="ER33" s="184"/>
      <c r="ES33" s="184"/>
      <c r="ET33" s="184"/>
      <c r="EU33" s="184"/>
      <c r="EV33" s="184"/>
      <c r="EW33" s="184"/>
      <c r="EX33" s="184"/>
      <c r="EY33" s="184"/>
      <c r="EZ33" s="184"/>
      <c r="FA33" s="184"/>
      <c r="FB33" s="184"/>
      <c r="FC33" s="184"/>
      <c r="FD33" s="184"/>
      <c r="FE33" s="184"/>
      <c r="FF33" s="185"/>
      <c r="FG33" s="183"/>
      <c r="FH33" s="184"/>
      <c r="FI33" s="184"/>
      <c r="FJ33" s="184"/>
      <c r="FK33" s="184"/>
      <c r="FL33" s="184"/>
      <c r="FM33" s="184"/>
      <c r="FN33" s="184"/>
      <c r="FO33" s="184"/>
      <c r="FP33" s="184"/>
      <c r="FQ33" s="184"/>
      <c r="FR33" s="184"/>
      <c r="FS33" s="184"/>
      <c r="FT33" s="184"/>
      <c r="FU33" s="184"/>
      <c r="FV33" s="184"/>
      <c r="FW33" s="184"/>
      <c r="FX33" s="184"/>
      <c r="FY33" s="184"/>
      <c r="FZ33" s="185"/>
      <c r="GA33" s="183">
        <v>143</v>
      </c>
      <c r="GB33" s="184">
        <v>9984</v>
      </c>
      <c r="GC33" s="184">
        <v>1363</v>
      </c>
      <c r="GD33" s="184">
        <v>105929</v>
      </c>
      <c r="GE33" s="184">
        <v>449</v>
      </c>
      <c r="GF33" s="184">
        <v>51858</v>
      </c>
      <c r="GG33" s="184">
        <v>5601</v>
      </c>
      <c r="GH33" s="184">
        <v>670116</v>
      </c>
      <c r="GI33" s="184">
        <v>711</v>
      </c>
      <c r="GJ33" s="184">
        <v>91560</v>
      </c>
      <c r="GK33" s="184">
        <v>6779</v>
      </c>
      <c r="GL33" s="184">
        <v>800290</v>
      </c>
      <c r="GM33" s="184">
        <v>749</v>
      </c>
      <c r="GN33" s="184">
        <v>123703</v>
      </c>
      <c r="GO33" s="184">
        <v>6825</v>
      </c>
      <c r="GP33" s="184">
        <v>1066362</v>
      </c>
      <c r="GQ33" s="184">
        <v>2051</v>
      </c>
      <c r="GR33" s="184">
        <v>277106</v>
      </c>
      <c r="GS33" s="184">
        <v>20569</v>
      </c>
      <c r="GT33" s="185">
        <v>2642699</v>
      </c>
      <c r="GU33" s="183"/>
      <c r="GV33" s="184"/>
      <c r="GW33" s="184"/>
      <c r="GX33" s="184"/>
      <c r="GY33" s="184"/>
      <c r="GZ33" s="184"/>
      <c r="HA33" s="184"/>
      <c r="HB33" s="184"/>
      <c r="HC33" s="184"/>
      <c r="HD33" s="184"/>
      <c r="HE33" s="184"/>
      <c r="HF33" s="184"/>
      <c r="HG33" s="184"/>
      <c r="HH33" s="184"/>
      <c r="HI33" s="184"/>
      <c r="HJ33" s="184"/>
      <c r="HK33" s="184"/>
      <c r="HL33" s="184"/>
      <c r="HM33" s="184"/>
      <c r="HN33" s="185"/>
      <c r="HO33" s="183">
        <v>153</v>
      </c>
      <c r="HP33" s="184">
        <v>11536</v>
      </c>
      <c r="HQ33" s="184">
        <v>1662</v>
      </c>
      <c r="HR33" s="184">
        <v>127958</v>
      </c>
      <c r="HS33" s="184">
        <v>473</v>
      </c>
      <c r="HT33" s="184">
        <v>57942</v>
      </c>
      <c r="HU33" s="184">
        <v>6530</v>
      </c>
      <c r="HV33" s="184">
        <v>790257</v>
      </c>
      <c r="HW33" s="184">
        <v>782</v>
      </c>
      <c r="HX33" s="184">
        <v>97205</v>
      </c>
      <c r="HY33" s="184">
        <v>8111</v>
      </c>
      <c r="HZ33" s="184">
        <v>961577</v>
      </c>
      <c r="IA33" s="184">
        <v>680</v>
      </c>
      <c r="IB33" s="184">
        <v>111995</v>
      </c>
      <c r="IC33" s="184">
        <v>8336</v>
      </c>
      <c r="ID33" s="184">
        <v>1328439</v>
      </c>
      <c r="IE33" s="184">
        <v>2087</v>
      </c>
      <c r="IF33" s="184">
        <v>278677</v>
      </c>
      <c r="IG33" s="184">
        <v>24640</v>
      </c>
      <c r="IH33" s="185">
        <v>3208233</v>
      </c>
    </row>
    <row r="34" spans="2:242">
      <c r="C34" s="168">
        <f t="shared" ref="C34:BN34" si="0">MAX(C3:C33)</f>
        <v>136</v>
      </c>
      <c r="D34" s="168">
        <f t="shared" si="0"/>
        <v>10826</v>
      </c>
      <c r="E34" s="168">
        <f t="shared" si="0"/>
        <v>136</v>
      </c>
      <c r="F34" s="168">
        <f t="shared" si="0"/>
        <v>10826</v>
      </c>
      <c r="G34" s="168">
        <f t="shared" si="0"/>
        <v>732</v>
      </c>
      <c r="H34" s="168">
        <f t="shared" si="0"/>
        <v>83329</v>
      </c>
      <c r="I34" s="168">
        <f t="shared" si="0"/>
        <v>732</v>
      </c>
      <c r="J34" s="168">
        <f t="shared" si="0"/>
        <v>83329</v>
      </c>
      <c r="K34" s="168">
        <f t="shared" si="0"/>
        <v>795</v>
      </c>
      <c r="L34" s="168">
        <f t="shared" si="0"/>
        <v>105846</v>
      </c>
      <c r="M34" s="168">
        <f t="shared" si="0"/>
        <v>795</v>
      </c>
      <c r="N34" s="168">
        <f t="shared" si="0"/>
        <v>105846</v>
      </c>
      <c r="O34" s="168">
        <f t="shared" si="0"/>
        <v>665</v>
      </c>
      <c r="P34" s="168">
        <f t="shared" si="0"/>
        <v>104939</v>
      </c>
      <c r="Q34" s="168">
        <f t="shared" si="0"/>
        <v>665</v>
      </c>
      <c r="R34" s="168">
        <f t="shared" si="0"/>
        <v>104939</v>
      </c>
      <c r="S34" s="168">
        <f t="shared" si="0"/>
        <v>304940</v>
      </c>
      <c r="T34" s="168">
        <f t="shared" si="0"/>
        <v>304940</v>
      </c>
      <c r="U34" s="168">
        <f t="shared" si="0"/>
        <v>2328</v>
      </c>
      <c r="V34" s="168">
        <f t="shared" si="0"/>
        <v>304940</v>
      </c>
      <c r="W34" s="168">
        <f t="shared" si="0"/>
        <v>114</v>
      </c>
      <c r="X34" s="168">
        <f t="shared" si="0"/>
        <v>8420</v>
      </c>
      <c r="Y34" s="168">
        <f t="shared" si="0"/>
        <v>250</v>
      </c>
      <c r="Z34" s="168">
        <f t="shared" si="0"/>
        <v>19245</v>
      </c>
      <c r="AA34" s="168">
        <f t="shared" si="0"/>
        <v>581</v>
      </c>
      <c r="AB34" s="168">
        <f t="shared" si="0"/>
        <v>70005</v>
      </c>
      <c r="AC34" s="168">
        <f t="shared" si="0"/>
        <v>1314</v>
      </c>
      <c r="AD34" s="168">
        <f t="shared" si="0"/>
        <v>153335</v>
      </c>
      <c r="AE34" s="168">
        <f t="shared" si="0"/>
        <v>777</v>
      </c>
      <c r="AF34" s="168">
        <f t="shared" si="0"/>
        <v>89703</v>
      </c>
      <c r="AG34" s="168">
        <f t="shared" si="0"/>
        <v>1572</v>
      </c>
      <c r="AH34" s="168">
        <f t="shared" si="0"/>
        <v>195549</v>
      </c>
      <c r="AI34" s="168">
        <f t="shared" si="0"/>
        <v>656</v>
      </c>
      <c r="AJ34" s="168">
        <f t="shared" si="0"/>
        <v>104088</v>
      </c>
      <c r="AK34" s="168">
        <f t="shared" si="0"/>
        <v>1322</v>
      </c>
      <c r="AL34" s="168">
        <f t="shared" si="0"/>
        <v>209028</v>
      </c>
      <c r="AM34" s="168">
        <f t="shared" si="0"/>
        <v>272214</v>
      </c>
      <c r="AN34" s="168">
        <f t="shared" si="0"/>
        <v>272214</v>
      </c>
      <c r="AO34" s="168">
        <f t="shared" si="0"/>
        <v>4457</v>
      </c>
      <c r="AP34" s="168">
        <f t="shared" si="0"/>
        <v>577154</v>
      </c>
      <c r="AQ34" s="168">
        <f t="shared" si="0"/>
        <v>111</v>
      </c>
      <c r="AR34" s="168">
        <f t="shared" si="0"/>
        <v>8230</v>
      </c>
      <c r="AS34" s="168">
        <f t="shared" si="0"/>
        <v>362</v>
      </c>
      <c r="AT34" s="168">
        <f t="shared" si="0"/>
        <v>27476</v>
      </c>
      <c r="AU34" s="168">
        <f t="shared" si="0"/>
        <v>598</v>
      </c>
      <c r="AV34" s="168">
        <f t="shared" si="0"/>
        <v>66380</v>
      </c>
      <c r="AW34" s="168">
        <f t="shared" si="0"/>
        <v>1912</v>
      </c>
      <c r="AX34" s="168">
        <f t="shared" si="0"/>
        <v>219714</v>
      </c>
      <c r="AY34" s="168">
        <f t="shared" si="0"/>
        <v>834</v>
      </c>
      <c r="AZ34" s="168">
        <f t="shared" si="0"/>
        <v>82533</v>
      </c>
      <c r="BA34" s="168">
        <f t="shared" si="0"/>
        <v>2406</v>
      </c>
      <c r="BB34" s="168">
        <f t="shared" si="0"/>
        <v>278081</v>
      </c>
      <c r="BC34" s="168">
        <f t="shared" si="0"/>
        <v>670</v>
      </c>
      <c r="BD34" s="168">
        <f t="shared" si="0"/>
        <v>101040</v>
      </c>
      <c r="BE34" s="168">
        <f t="shared" si="0"/>
        <v>1990</v>
      </c>
      <c r="BF34" s="168">
        <f t="shared" si="0"/>
        <v>310068</v>
      </c>
      <c r="BG34" s="168">
        <f t="shared" si="0"/>
        <v>258183</v>
      </c>
      <c r="BH34" s="168">
        <f t="shared" si="0"/>
        <v>258183</v>
      </c>
      <c r="BI34" s="168">
        <f t="shared" si="0"/>
        <v>6670</v>
      </c>
      <c r="BJ34" s="168">
        <f t="shared" si="0"/>
        <v>835338</v>
      </c>
      <c r="BK34" s="168">
        <f t="shared" si="0"/>
        <v>148</v>
      </c>
      <c r="BL34" s="168">
        <f t="shared" si="0"/>
        <v>12124</v>
      </c>
      <c r="BM34" s="168">
        <f t="shared" si="0"/>
        <v>509</v>
      </c>
      <c r="BN34" s="168">
        <f t="shared" si="0"/>
        <v>39600</v>
      </c>
      <c r="BO34" s="168">
        <f t="shared" ref="BO34:DZ34" si="1">MAX(BO3:BO33)</f>
        <v>500</v>
      </c>
      <c r="BP34" s="168">
        <f t="shared" si="1"/>
        <v>61503</v>
      </c>
      <c r="BQ34" s="168">
        <f t="shared" si="1"/>
        <v>2411</v>
      </c>
      <c r="BR34" s="168">
        <f t="shared" si="1"/>
        <v>281218</v>
      </c>
      <c r="BS34" s="168">
        <f t="shared" si="1"/>
        <v>649</v>
      </c>
      <c r="BT34" s="168">
        <f t="shared" si="1"/>
        <v>77663</v>
      </c>
      <c r="BU34" s="168">
        <f t="shared" si="1"/>
        <v>3054</v>
      </c>
      <c r="BV34" s="168">
        <f t="shared" si="1"/>
        <v>355743</v>
      </c>
      <c r="BW34" s="168">
        <f t="shared" si="1"/>
        <v>696</v>
      </c>
      <c r="BX34" s="168">
        <f t="shared" si="1"/>
        <v>101916</v>
      </c>
      <c r="BY34" s="168">
        <f t="shared" si="1"/>
        <v>2688</v>
      </c>
      <c r="BZ34" s="168">
        <f t="shared" si="1"/>
        <v>411983</v>
      </c>
      <c r="CA34" s="168">
        <f t="shared" si="1"/>
        <v>253206</v>
      </c>
      <c r="CB34" s="168">
        <f t="shared" si="1"/>
        <v>253206</v>
      </c>
      <c r="CC34" s="168">
        <f t="shared" si="1"/>
        <v>8663</v>
      </c>
      <c r="CD34" s="168">
        <f t="shared" si="1"/>
        <v>1088545</v>
      </c>
      <c r="CE34" s="168">
        <f t="shared" si="1"/>
        <v>104</v>
      </c>
      <c r="CF34" s="168">
        <f t="shared" si="1"/>
        <v>7436</v>
      </c>
      <c r="CG34" s="168">
        <f t="shared" si="1"/>
        <v>614</v>
      </c>
      <c r="CH34" s="168">
        <f t="shared" si="1"/>
        <v>47036</v>
      </c>
      <c r="CI34" s="168">
        <f t="shared" si="1"/>
        <v>513</v>
      </c>
      <c r="CJ34" s="168">
        <f t="shared" si="1"/>
        <v>63798</v>
      </c>
      <c r="CK34" s="168">
        <f t="shared" si="1"/>
        <v>2924</v>
      </c>
      <c r="CL34" s="168">
        <f t="shared" si="1"/>
        <v>345015</v>
      </c>
      <c r="CM34" s="168">
        <f t="shared" si="1"/>
        <v>584</v>
      </c>
      <c r="CN34" s="168">
        <f t="shared" si="1"/>
        <v>69225</v>
      </c>
      <c r="CO34" s="168">
        <f t="shared" si="1"/>
        <v>3638</v>
      </c>
      <c r="CP34" s="168">
        <f t="shared" si="1"/>
        <v>424968</v>
      </c>
      <c r="CQ34" s="168">
        <f t="shared" si="1"/>
        <v>673</v>
      </c>
      <c r="CR34" s="168">
        <f t="shared" si="1"/>
        <v>101572</v>
      </c>
      <c r="CS34" s="168">
        <f t="shared" si="1"/>
        <v>3359</v>
      </c>
      <c r="CT34" s="168">
        <f t="shared" si="1"/>
        <v>513555</v>
      </c>
      <c r="CU34" s="168">
        <f t="shared" si="1"/>
        <v>242029</v>
      </c>
      <c r="CV34" s="168">
        <f t="shared" si="1"/>
        <v>242029</v>
      </c>
      <c r="CW34" s="168">
        <f t="shared" si="1"/>
        <v>10536</v>
      </c>
      <c r="CX34" s="168">
        <f t="shared" si="1"/>
        <v>1330572</v>
      </c>
      <c r="CY34" s="168">
        <f t="shared" si="1"/>
        <v>124</v>
      </c>
      <c r="CZ34" s="168">
        <f t="shared" si="1"/>
        <v>10140</v>
      </c>
      <c r="DA34" s="168">
        <f t="shared" si="1"/>
        <v>737</v>
      </c>
      <c r="DB34" s="168">
        <f t="shared" si="1"/>
        <v>57178</v>
      </c>
      <c r="DC34" s="168">
        <f t="shared" si="1"/>
        <v>582</v>
      </c>
      <c r="DD34" s="168">
        <f t="shared" si="1"/>
        <v>65405</v>
      </c>
      <c r="DE34" s="168">
        <f t="shared" si="1"/>
        <v>3506</v>
      </c>
      <c r="DF34" s="168">
        <f t="shared" si="1"/>
        <v>410421</v>
      </c>
      <c r="DG34" s="168">
        <f t="shared" si="1"/>
        <v>635</v>
      </c>
      <c r="DH34" s="168">
        <f t="shared" si="1"/>
        <v>81076</v>
      </c>
      <c r="DI34" s="168">
        <f t="shared" si="1"/>
        <v>4273</v>
      </c>
      <c r="DJ34" s="168">
        <f t="shared" si="1"/>
        <v>506043</v>
      </c>
      <c r="DK34" s="168">
        <f t="shared" si="1"/>
        <v>653</v>
      </c>
      <c r="DL34" s="168">
        <f t="shared" si="1"/>
        <v>101843</v>
      </c>
      <c r="DM34" s="168">
        <f t="shared" si="1"/>
        <v>4012</v>
      </c>
      <c r="DN34" s="168">
        <f t="shared" si="1"/>
        <v>615396</v>
      </c>
      <c r="DO34" s="168">
        <f t="shared" si="1"/>
        <v>258463</v>
      </c>
      <c r="DP34" s="168">
        <f t="shared" si="1"/>
        <v>258463</v>
      </c>
      <c r="DQ34" s="168">
        <f t="shared" si="1"/>
        <v>12530</v>
      </c>
      <c r="DR34" s="168">
        <f t="shared" si="1"/>
        <v>1589037</v>
      </c>
      <c r="DS34" s="168">
        <f t="shared" si="1"/>
        <v>187</v>
      </c>
      <c r="DT34" s="168">
        <f t="shared" si="1"/>
        <v>14695</v>
      </c>
      <c r="DU34" s="168">
        <f t="shared" si="1"/>
        <v>924</v>
      </c>
      <c r="DV34" s="168">
        <f t="shared" si="1"/>
        <v>71871</v>
      </c>
      <c r="DW34" s="168">
        <f t="shared" si="1"/>
        <v>531</v>
      </c>
      <c r="DX34" s="168">
        <f t="shared" si="1"/>
        <v>69899</v>
      </c>
      <c r="DY34" s="168">
        <f t="shared" si="1"/>
        <v>4038</v>
      </c>
      <c r="DZ34" s="168">
        <f t="shared" si="1"/>
        <v>480320</v>
      </c>
      <c r="EA34" s="168">
        <f t="shared" ref="EA34:GL34" si="2">MAX(EA3:EA33)</f>
        <v>712</v>
      </c>
      <c r="EB34" s="168">
        <f t="shared" si="2"/>
        <v>78563</v>
      </c>
      <c r="EC34" s="168">
        <f t="shared" si="2"/>
        <v>4986</v>
      </c>
      <c r="ED34" s="168">
        <f t="shared" si="2"/>
        <v>584607</v>
      </c>
      <c r="EE34" s="168">
        <f t="shared" si="2"/>
        <v>763</v>
      </c>
      <c r="EF34" s="168">
        <f t="shared" si="2"/>
        <v>120297</v>
      </c>
      <c r="EG34" s="168">
        <f t="shared" si="2"/>
        <v>4775</v>
      </c>
      <c r="EH34" s="168">
        <f t="shared" si="2"/>
        <v>735696</v>
      </c>
      <c r="EI34" s="168">
        <f t="shared" si="2"/>
        <v>283455</v>
      </c>
      <c r="EJ34" s="168">
        <f t="shared" si="2"/>
        <v>283455</v>
      </c>
      <c r="EK34" s="168">
        <f t="shared" si="2"/>
        <v>14723</v>
      </c>
      <c r="EL34" s="168">
        <f t="shared" si="2"/>
        <v>1872492</v>
      </c>
      <c r="EM34" s="168">
        <f t="shared" si="2"/>
        <v>185</v>
      </c>
      <c r="EN34" s="168">
        <f t="shared" si="2"/>
        <v>15556</v>
      </c>
      <c r="EO34" s="168">
        <f t="shared" si="2"/>
        <v>1109</v>
      </c>
      <c r="EP34" s="168">
        <f t="shared" si="2"/>
        <v>87427</v>
      </c>
      <c r="EQ34" s="168">
        <f t="shared" si="2"/>
        <v>495</v>
      </c>
      <c r="ER34" s="168">
        <f t="shared" si="2"/>
        <v>66545</v>
      </c>
      <c r="ES34" s="168">
        <f t="shared" si="2"/>
        <v>4533</v>
      </c>
      <c r="ET34" s="168">
        <f t="shared" si="2"/>
        <v>546863</v>
      </c>
      <c r="EU34" s="168">
        <f t="shared" si="2"/>
        <v>437</v>
      </c>
      <c r="EV34" s="168">
        <f t="shared" si="2"/>
        <v>57931</v>
      </c>
      <c r="EW34" s="168">
        <f t="shared" si="2"/>
        <v>5423</v>
      </c>
      <c r="EX34" s="168">
        <f t="shared" si="2"/>
        <v>642536</v>
      </c>
      <c r="EY34" s="168">
        <f t="shared" si="2"/>
        <v>635</v>
      </c>
      <c r="EZ34" s="168">
        <f t="shared" si="2"/>
        <v>100214</v>
      </c>
      <c r="FA34" s="168">
        <f t="shared" si="2"/>
        <v>5410</v>
      </c>
      <c r="FB34" s="168">
        <f t="shared" si="2"/>
        <v>835908</v>
      </c>
      <c r="FC34" s="168">
        <f t="shared" si="2"/>
        <v>218303</v>
      </c>
      <c r="FD34" s="168">
        <f t="shared" si="2"/>
        <v>240245</v>
      </c>
      <c r="FE34" s="168">
        <f t="shared" si="2"/>
        <v>16476</v>
      </c>
      <c r="FF34" s="168">
        <f t="shared" si="2"/>
        <v>2112736</v>
      </c>
      <c r="FG34" s="168">
        <f t="shared" si="2"/>
        <v>111</v>
      </c>
      <c r="FH34" s="168">
        <f t="shared" si="2"/>
        <v>8518</v>
      </c>
      <c r="FI34" s="168">
        <f t="shared" si="2"/>
        <v>1220</v>
      </c>
      <c r="FJ34" s="168">
        <f t="shared" si="2"/>
        <v>95946</v>
      </c>
      <c r="FK34" s="168">
        <f t="shared" si="2"/>
        <v>620</v>
      </c>
      <c r="FL34" s="168">
        <f t="shared" si="2"/>
        <v>71391</v>
      </c>
      <c r="FM34" s="168">
        <f t="shared" si="2"/>
        <v>5153</v>
      </c>
      <c r="FN34" s="168">
        <f t="shared" si="2"/>
        <v>618257</v>
      </c>
      <c r="FO34" s="168">
        <f t="shared" si="2"/>
        <v>645</v>
      </c>
      <c r="FP34" s="168">
        <f t="shared" si="2"/>
        <v>66195</v>
      </c>
      <c r="FQ34" s="168">
        <f t="shared" si="2"/>
        <v>6068</v>
      </c>
      <c r="FR34" s="168">
        <f t="shared" si="2"/>
        <v>708730</v>
      </c>
      <c r="FS34" s="168">
        <f t="shared" si="2"/>
        <v>666</v>
      </c>
      <c r="FT34" s="168">
        <f t="shared" si="2"/>
        <v>106752</v>
      </c>
      <c r="FU34" s="168">
        <f t="shared" si="2"/>
        <v>6076</v>
      </c>
      <c r="FV34" s="168">
        <f t="shared" si="2"/>
        <v>942661</v>
      </c>
      <c r="FW34" s="168">
        <f t="shared" si="2"/>
        <v>252856</v>
      </c>
      <c r="FX34" s="168">
        <f t="shared" si="2"/>
        <v>252856</v>
      </c>
      <c r="FY34" s="168">
        <f t="shared" si="2"/>
        <v>18517</v>
      </c>
      <c r="FZ34" s="168">
        <f t="shared" si="2"/>
        <v>2365593</v>
      </c>
      <c r="GA34" s="168">
        <f t="shared" si="2"/>
        <v>143</v>
      </c>
      <c r="GB34" s="168">
        <f t="shared" si="2"/>
        <v>9984</v>
      </c>
      <c r="GC34" s="168">
        <f t="shared" si="2"/>
        <v>1363</v>
      </c>
      <c r="GD34" s="168">
        <f t="shared" si="2"/>
        <v>105929</v>
      </c>
      <c r="GE34" s="168">
        <f t="shared" si="2"/>
        <v>449</v>
      </c>
      <c r="GF34" s="168">
        <f t="shared" si="2"/>
        <v>51858</v>
      </c>
      <c r="GG34" s="168">
        <f t="shared" si="2"/>
        <v>5601</v>
      </c>
      <c r="GH34" s="168">
        <f t="shared" si="2"/>
        <v>670116</v>
      </c>
      <c r="GI34" s="168">
        <f t="shared" si="2"/>
        <v>711</v>
      </c>
      <c r="GJ34" s="168">
        <f t="shared" si="2"/>
        <v>91560</v>
      </c>
      <c r="GK34" s="168">
        <f t="shared" si="2"/>
        <v>6779</v>
      </c>
      <c r="GL34" s="168">
        <f t="shared" si="2"/>
        <v>800290</v>
      </c>
      <c r="GM34" s="168">
        <f t="shared" ref="GM34:IH34" si="3">MAX(GM3:GM33)</f>
        <v>749</v>
      </c>
      <c r="GN34" s="168">
        <f t="shared" si="3"/>
        <v>123703</v>
      </c>
      <c r="GO34" s="168">
        <f t="shared" si="3"/>
        <v>6825</v>
      </c>
      <c r="GP34" s="168">
        <f t="shared" si="3"/>
        <v>1066362</v>
      </c>
      <c r="GQ34" s="168">
        <f t="shared" si="3"/>
        <v>2051</v>
      </c>
      <c r="GR34" s="168">
        <f t="shared" si="3"/>
        <v>277106</v>
      </c>
      <c r="GS34" s="168">
        <f t="shared" si="3"/>
        <v>20569</v>
      </c>
      <c r="GT34" s="168">
        <f t="shared" si="3"/>
        <v>2642699</v>
      </c>
      <c r="GU34" s="168">
        <f t="shared" si="3"/>
        <v>146</v>
      </c>
      <c r="GV34" s="168">
        <f t="shared" si="3"/>
        <v>10492</v>
      </c>
      <c r="GW34" s="168">
        <f t="shared" si="3"/>
        <v>1510</v>
      </c>
      <c r="GX34" s="168">
        <f t="shared" si="3"/>
        <v>116422</v>
      </c>
      <c r="GY34" s="168">
        <f t="shared" si="3"/>
        <v>456</v>
      </c>
      <c r="GZ34" s="168">
        <f t="shared" si="3"/>
        <v>62201</v>
      </c>
      <c r="HA34" s="168">
        <f t="shared" si="3"/>
        <v>6057</v>
      </c>
      <c r="HB34" s="168">
        <f t="shared" si="3"/>
        <v>732317</v>
      </c>
      <c r="HC34" s="168">
        <f t="shared" si="3"/>
        <v>550</v>
      </c>
      <c r="HD34" s="168">
        <f t="shared" si="3"/>
        <v>64083</v>
      </c>
      <c r="HE34" s="168">
        <f t="shared" si="3"/>
        <v>7329</v>
      </c>
      <c r="HF34" s="168">
        <f t="shared" si="3"/>
        <v>864372</v>
      </c>
      <c r="HG34" s="168">
        <f t="shared" si="3"/>
        <v>831</v>
      </c>
      <c r="HH34" s="168">
        <f t="shared" si="3"/>
        <v>150082</v>
      </c>
      <c r="HI34" s="168">
        <f t="shared" si="3"/>
        <v>7656</v>
      </c>
      <c r="HJ34" s="168">
        <f t="shared" si="3"/>
        <v>1216443</v>
      </c>
      <c r="HK34" s="168">
        <f t="shared" si="3"/>
        <v>1984</v>
      </c>
      <c r="HL34" s="168">
        <f t="shared" si="3"/>
        <v>286858</v>
      </c>
      <c r="HM34" s="168">
        <f t="shared" si="3"/>
        <v>22552</v>
      </c>
      <c r="HN34" s="168">
        <f t="shared" si="3"/>
        <v>2929555</v>
      </c>
      <c r="HO34" s="168">
        <f t="shared" si="3"/>
        <v>153</v>
      </c>
      <c r="HP34" s="168">
        <f t="shared" si="3"/>
        <v>11536</v>
      </c>
      <c r="HQ34" s="168">
        <f t="shared" si="3"/>
        <v>1662</v>
      </c>
      <c r="HR34" s="168">
        <f t="shared" si="3"/>
        <v>127958</v>
      </c>
      <c r="HS34" s="168">
        <f t="shared" si="3"/>
        <v>473</v>
      </c>
      <c r="HT34" s="168">
        <f t="shared" si="3"/>
        <v>57942</v>
      </c>
      <c r="HU34" s="168">
        <f t="shared" si="3"/>
        <v>6530</v>
      </c>
      <c r="HV34" s="168">
        <f t="shared" si="3"/>
        <v>790257</v>
      </c>
      <c r="HW34" s="168">
        <f t="shared" si="3"/>
        <v>782</v>
      </c>
      <c r="HX34" s="168">
        <f t="shared" si="3"/>
        <v>97205</v>
      </c>
      <c r="HY34" s="168">
        <f t="shared" si="3"/>
        <v>8111</v>
      </c>
      <c r="HZ34" s="168">
        <f t="shared" si="3"/>
        <v>961577</v>
      </c>
      <c r="IA34" s="168">
        <f t="shared" si="3"/>
        <v>680</v>
      </c>
      <c r="IB34" s="168">
        <f t="shared" si="3"/>
        <v>111995</v>
      </c>
      <c r="IC34" s="168">
        <f t="shared" si="3"/>
        <v>8336</v>
      </c>
      <c r="ID34" s="168">
        <f t="shared" si="3"/>
        <v>1328439</v>
      </c>
      <c r="IE34" s="168">
        <f t="shared" si="3"/>
        <v>2087</v>
      </c>
      <c r="IF34" s="168">
        <f t="shared" si="3"/>
        <v>278677</v>
      </c>
      <c r="IG34" s="168">
        <f t="shared" si="3"/>
        <v>24640</v>
      </c>
      <c r="IH34" s="168">
        <f t="shared" si="3"/>
        <v>3208233</v>
      </c>
    </row>
  </sheetData>
  <mergeCells count="12">
    <mergeCell ref="HO1:IH1"/>
    <mergeCell ref="C1:V1"/>
    <mergeCell ref="W1:AP1"/>
    <mergeCell ref="AQ1:BJ1"/>
    <mergeCell ref="BK1:CD1"/>
    <mergeCell ref="CE1:CX1"/>
    <mergeCell ref="CY1:DR1"/>
    <mergeCell ref="DS1:EL1"/>
    <mergeCell ref="EM1:FF1"/>
    <mergeCell ref="FG1:FZ1"/>
    <mergeCell ref="GA1:GT1"/>
    <mergeCell ref="GU1:HN1"/>
  </mergeCells>
  <pageMargins left="0.78740157499999996" right="0.78740157499999996" top="0.984251969" bottom="0.984251969" header="0.4921259845" footer="0.4921259845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 enableFormatConditionsCalculation="0">
    <tabColor rgb="FF00B050"/>
    <pageSetUpPr fitToPage="1"/>
  </sheetPr>
  <dimension ref="A1:V162"/>
  <sheetViews>
    <sheetView topLeftCell="B80" zoomScale="60" zoomScaleNormal="60" zoomScalePageLayoutView="60" workbookViewId="0">
      <selection activeCell="AA80" sqref="AA80"/>
    </sheetView>
  </sheetViews>
  <sheetFormatPr baseColWidth="10" defaultColWidth="11.33203125" defaultRowHeight="12" outlineLevelRow="1" outlineLevelCol="1" x14ac:dyDescent="0"/>
  <cols>
    <col min="1" max="1" width="30" style="38" hidden="1" customWidth="1"/>
    <col min="2" max="2" width="2.33203125" style="38" customWidth="1"/>
    <col min="3" max="6" width="6.33203125" style="38" hidden="1" customWidth="1" outlineLevel="1"/>
    <col min="7" max="7" width="16.33203125" style="38" hidden="1" customWidth="1" collapsed="1"/>
    <col min="8" max="19" width="16.33203125" style="38" hidden="1" customWidth="1"/>
    <col min="20" max="256" width="11.33203125" style="38"/>
    <col min="257" max="257" width="30" style="38" bestFit="1" customWidth="1"/>
    <col min="258" max="258" width="2.33203125" style="38" customWidth="1"/>
    <col min="259" max="262" width="0" style="38" hidden="1" customWidth="1"/>
    <col min="263" max="275" width="16.33203125" style="38" customWidth="1"/>
    <col min="276" max="512" width="11.33203125" style="38"/>
    <col min="513" max="513" width="30" style="38" bestFit="1" customWidth="1"/>
    <col min="514" max="514" width="2.33203125" style="38" customWidth="1"/>
    <col min="515" max="518" width="0" style="38" hidden="1" customWidth="1"/>
    <col min="519" max="531" width="16.33203125" style="38" customWidth="1"/>
    <col min="532" max="768" width="11.33203125" style="38"/>
    <col min="769" max="769" width="30" style="38" bestFit="1" customWidth="1"/>
    <col min="770" max="770" width="2.33203125" style="38" customWidth="1"/>
    <col min="771" max="774" width="0" style="38" hidden="1" customWidth="1"/>
    <col min="775" max="787" width="16.33203125" style="38" customWidth="1"/>
    <col min="788" max="1024" width="11.33203125" style="38"/>
    <col min="1025" max="1025" width="30" style="38" bestFit="1" customWidth="1"/>
    <col min="1026" max="1026" width="2.33203125" style="38" customWidth="1"/>
    <col min="1027" max="1030" width="0" style="38" hidden="1" customWidth="1"/>
    <col min="1031" max="1043" width="16.33203125" style="38" customWidth="1"/>
    <col min="1044" max="1280" width="11.33203125" style="38"/>
    <col min="1281" max="1281" width="30" style="38" bestFit="1" customWidth="1"/>
    <col min="1282" max="1282" width="2.33203125" style="38" customWidth="1"/>
    <col min="1283" max="1286" width="0" style="38" hidden="1" customWidth="1"/>
    <col min="1287" max="1299" width="16.33203125" style="38" customWidth="1"/>
    <col min="1300" max="1536" width="11.33203125" style="38"/>
    <col min="1537" max="1537" width="30" style="38" bestFit="1" customWidth="1"/>
    <col min="1538" max="1538" width="2.33203125" style="38" customWidth="1"/>
    <col min="1539" max="1542" width="0" style="38" hidden="1" customWidth="1"/>
    <col min="1543" max="1555" width="16.33203125" style="38" customWidth="1"/>
    <col min="1556" max="1792" width="11.33203125" style="38"/>
    <col min="1793" max="1793" width="30" style="38" bestFit="1" customWidth="1"/>
    <col min="1794" max="1794" width="2.33203125" style="38" customWidth="1"/>
    <col min="1795" max="1798" width="0" style="38" hidden="1" customWidth="1"/>
    <col min="1799" max="1811" width="16.33203125" style="38" customWidth="1"/>
    <col min="1812" max="2048" width="11.33203125" style="38"/>
    <col min="2049" max="2049" width="30" style="38" bestFit="1" customWidth="1"/>
    <col min="2050" max="2050" width="2.33203125" style="38" customWidth="1"/>
    <col min="2051" max="2054" width="0" style="38" hidden="1" customWidth="1"/>
    <col min="2055" max="2067" width="16.33203125" style="38" customWidth="1"/>
    <col min="2068" max="2304" width="11.33203125" style="38"/>
    <col min="2305" max="2305" width="30" style="38" bestFit="1" customWidth="1"/>
    <col min="2306" max="2306" width="2.33203125" style="38" customWidth="1"/>
    <col min="2307" max="2310" width="0" style="38" hidden="1" customWidth="1"/>
    <col min="2311" max="2323" width="16.33203125" style="38" customWidth="1"/>
    <col min="2324" max="2560" width="11.33203125" style="38"/>
    <col min="2561" max="2561" width="30" style="38" bestFit="1" customWidth="1"/>
    <col min="2562" max="2562" width="2.33203125" style="38" customWidth="1"/>
    <col min="2563" max="2566" width="0" style="38" hidden="1" customWidth="1"/>
    <col min="2567" max="2579" width="16.33203125" style="38" customWidth="1"/>
    <col min="2580" max="2816" width="11.33203125" style="38"/>
    <col min="2817" max="2817" width="30" style="38" bestFit="1" customWidth="1"/>
    <col min="2818" max="2818" width="2.33203125" style="38" customWidth="1"/>
    <col min="2819" max="2822" width="0" style="38" hidden="1" customWidth="1"/>
    <col min="2823" max="2835" width="16.33203125" style="38" customWidth="1"/>
    <col min="2836" max="3072" width="11.33203125" style="38"/>
    <col min="3073" max="3073" width="30" style="38" bestFit="1" customWidth="1"/>
    <col min="3074" max="3074" width="2.33203125" style="38" customWidth="1"/>
    <col min="3075" max="3078" width="0" style="38" hidden="1" customWidth="1"/>
    <col min="3079" max="3091" width="16.33203125" style="38" customWidth="1"/>
    <col min="3092" max="3328" width="11.33203125" style="38"/>
    <col min="3329" max="3329" width="30" style="38" bestFit="1" customWidth="1"/>
    <col min="3330" max="3330" width="2.33203125" style="38" customWidth="1"/>
    <col min="3331" max="3334" width="0" style="38" hidden="1" customWidth="1"/>
    <col min="3335" max="3347" width="16.33203125" style="38" customWidth="1"/>
    <col min="3348" max="3584" width="11.33203125" style="38"/>
    <col min="3585" max="3585" width="30" style="38" bestFit="1" customWidth="1"/>
    <col min="3586" max="3586" width="2.33203125" style="38" customWidth="1"/>
    <col min="3587" max="3590" width="0" style="38" hidden="1" customWidth="1"/>
    <col min="3591" max="3603" width="16.33203125" style="38" customWidth="1"/>
    <col min="3604" max="3840" width="11.33203125" style="38"/>
    <col min="3841" max="3841" width="30" style="38" bestFit="1" customWidth="1"/>
    <col min="3842" max="3842" width="2.33203125" style="38" customWidth="1"/>
    <col min="3843" max="3846" width="0" style="38" hidden="1" customWidth="1"/>
    <col min="3847" max="3859" width="16.33203125" style="38" customWidth="1"/>
    <col min="3860" max="4096" width="11.33203125" style="38"/>
    <col min="4097" max="4097" width="30" style="38" bestFit="1" customWidth="1"/>
    <col min="4098" max="4098" width="2.33203125" style="38" customWidth="1"/>
    <col min="4099" max="4102" width="0" style="38" hidden="1" customWidth="1"/>
    <col min="4103" max="4115" width="16.33203125" style="38" customWidth="1"/>
    <col min="4116" max="4352" width="11.33203125" style="38"/>
    <col min="4353" max="4353" width="30" style="38" bestFit="1" customWidth="1"/>
    <col min="4354" max="4354" width="2.33203125" style="38" customWidth="1"/>
    <col min="4355" max="4358" width="0" style="38" hidden="1" customWidth="1"/>
    <col min="4359" max="4371" width="16.33203125" style="38" customWidth="1"/>
    <col min="4372" max="4608" width="11.33203125" style="38"/>
    <col min="4609" max="4609" width="30" style="38" bestFit="1" customWidth="1"/>
    <col min="4610" max="4610" width="2.33203125" style="38" customWidth="1"/>
    <col min="4611" max="4614" width="0" style="38" hidden="1" customWidth="1"/>
    <col min="4615" max="4627" width="16.33203125" style="38" customWidth="1"/>
    <col min="4628" max="4864" width="11.33203125" style="38"/>
    <col min="4865" max="4865" width="30" style="38" bestFit="1" customWidth="1"/>
    <col min="4866" max="4866" width="2.33203125" style="38" customWidth="1"/>
    <col min="4867" max="4870" width="0" style="38" hidden="1" customWidth="1"/>
    <col min="4871" max="4883" width="16.33203125" style="38" customWidth="1"/>
    <col min="4884" max="5120" width="11.33203125" style="38"/>
    <col min="5121" max="5121" width="30" style="38" bestFit="1" customWidth="1"/>
    <col min="5122" max="5122" width="2.33203125" style="38" customWidth="1"/>
    <col min="5123" max="5126" width="0" style="38" hidden="1" customWidth="1"/>
    <col min="5127" max="5139" width="16.33203125" style="38" customWidth="1"/>
    <col min="5140" max="5376" width="11.33203125" style="38"/>
    <col min="5377" max="5377" width="30" style="38" bestFit="1" customWidth="1"/>
    <col min="5378" max="5378" width="2.33203125" style="38" customWidth="1"/>
    <col min="5379" max="5382" width="0" style="38" hidden="1" customWidth="1"/>
    <col min="5383" max="5395" width="16.33203125" style="38" customWidth="1"/>
    <col min="5396" max="5632" width="11.33203125" style="38"/>
    <col min="5633" max="5633" width="30" style="38" bestFit="1" customWidth="1"/>
    <col min="5634" max="5634" width="2.33203125" style="38" customWidth="1"/>
    <col min="5635" max="5638" width="0" style="38" hidden="1" customWidth="1"/>
    <col min="5639" max="5651" width="16.33203125" style="38" customWidth="1"/>
    <col min="5652" max="5888" width="11.33203125" style="38"/>
    <col min="5889" max="5889" width="30" style="38" bestFit="1" customWidth="1"/>
    <col min="5890" max="5890" width="2.33203125" style="38" customWidth="1"/>
    <col min="5891" max="5894" width="0" style="38" hidden="1" customWidth="1"/>
    <col min="5895" max="5907" width="16.33203125" style="38" customWidth="1"/>
    <col min="5908" max="6144" width="11.33203125" style="38"/>
    <col min="6145" max="6145" width="30" style="38" bestFit="1" customWidth="1"/>
    <col min="6146" max="6146" width="2.33203125" style="38" customWidth="1"/>
    <col min="6147" max="6150" width="0" style="38" hidden="1" customWidth="1"/>
    <col min="6151" max="6163" width="16.33203125" style="38" customWidth="1"/>
    <col min="6164" max="6400" width="11.33203125" style="38"/>
    <col min="6401" max="6401" width="30" style="38" bestFit="1" customWidth="1"/>
    <col min="6402" max="6402" width="2.33203125" style="38" customWidth="1"/>
    <col min="6403" max="6406" width="0" style="38" hidden="1" customWidth="1"/>
    <col min="6407" max="6419" width="16.33203125" style="38" customWidth="1"/>
    <col min="6420" max="6656" width="11.33203125" style="38"/>
    <col min="6657" max="6657" width="30" style="38" bestFit="1" customWidth="1"/>
    <col min="6658" max="6658" width="2.33203125" style="38" customWidth="1"/>
    <col min="6659" max="6662" width="0" style="38" hidden="1" customWidth="1"/>
    <col min="6663" max="6675" width="16.33203125" style="38" customWidth="1"/>
    <col min="6676" max="6912" width="11.33203125" style="38"/>
    <col min="6913" max="6913" width="30" style="38" bestFit="1" customWidth="1"/>
    <col min="6914" max="6914" width="2.33203125" style="38" customWidth="1"/>
    <col min="6915" max="6918" width="0" style="38" hidden="1" customWidth="1"/>
    <col min="6919" max="6931" width="16.33203125" style="38" customWidth="1"/>
    <col min="6932" max="7168" width="11.33203125" style="38"/>
    <col min="7169" max="7169" width="30" style="38" bestFit="1" customWidth="1"/>
    <col min="7170" max="7170" width="2.33203125" style="38" customWidth="1"/>
    <col min="7171" max="7174" width="0" style="38" hidden="1" customWidth="1"/>
    <col min="7175" max="7187" width="16.33203125" style="38" customWidth="1"/>
    <col min="7188" max="7424" width="11.33203125" style="38"/>
    <col min="7425" max="7425" width="30" style="38" bestFit="1" customWidth="1"/>
    <col min="7426" max="7426" width="2.33203125" style="38" customWidth="1"/>
    <col min="7427" max="7430" width="0" style="38" hidden="1" customWidth="1"/>
    <col min="7431" max="7443" width="16.33203125" style="38" customWidth="1"/>
    <col min="7444" max="7680" width="11.33203125" style="38"/>
    <col min="7681" max="7681" width="30" style="38" bestFit="1" customWidth="1"/>
    <col min="7682" max="7682" width="2.33203125" style="38" customWidth="1"/>
    <col min="7683" max="7686" width="0" style="38" hidden="1" customWidth="1"/>
    <col min="7687" max="7699" width="16.33203125" style="38" customWidth="1"/>
    <col min="7700" max="7936" width="11.33203125" style="38"/>
    <col min="7937" max="7937" width="30" style="38" bestFit="1" customWidth="1"/>
    <col min="7938" max="7938" width="2.33203125" style="38" customWidth="1"/>
    <col min="7939" max="7942" width="0" style="38" hidden="1" customWidth="1"/>
    <col min="7943" max="7955" width="16.33203125" style="38" customWidth="1"/>
    <col min="7956" max="8192" width="11.33203125" style="38"/>
    <col min="8193" max="8193" width="30" style="38" bestFit="1" customWidth="1"/>
    <col min="8194" max="8194" width="2.33203125" style="38" customWidth="1"/>
    <col min="8195" max="8198" width="0" style="38" hidden="1" customWidth="1"/>
    <col min="8199" max="8211" width="16.33203125" style="38" customWidth="1"/>
    <col min="8212" max="8448" width="11.33203125" style="38"/>
    <col min="8449" max="8449" width="30" style="38" bestFit="1" customWidth="1"/>
    <col min="8450" max="8450" width="2.33203125" style="38" customWidth="1"/>
    <col min="8451" max="8454" width="0" style="38" hidden="1" customWidth="1"/>
    <col min="8455" max="8467" width="16.33203125" style="38" customWidth="1"/>
    <col min="8468" max="8704" width="11.33203125" style="38"/>
    <col min="8705" max="8705" width="30" style="38" bestFit="1" customWidth="1"/>
    <col min="8706" max="8706" width="2.33203125" style="38" customWidth="1"/>
    <col min="8707" max="8710" width="0" style="38" hidden="1" customWidth="1"/>
    <col min="8711" max="8723" width="16.33203125" style="38" customWidth="1"/>
    <col min="8724" max="8960" width="11.33203125" style="38"/>
    <col min="8961" max="8961" width="30" style="38" bestFit="1" customWidth="1"/>
    <col min="8962" max="8962" width="2.33203125" style="38" customWidth="1"/>
    <col min="8963" max="8966" width="0" style="38" hidden="1" customWidth="1"/>
    <col min="8967" max="8979" width="16.33203125" style="38" customWidth="1"/>
    <col min="8980" max="9216" width="11.33203125" style="38"/>
    <col min="9217" max="9217" width="30" style="38" bestFit="1" customWidth="1"/>
    <col min="9218" max="9218" width="2.33203125" style="38" customWidth="1"/>
    <col min="9219" max="9222" width="0" style="38" hidden="1" customWidth="1"/>
    <col min="9223" max="9235" width="16.33203125" style="38" customWidth="1"/>
    <col min="9236" max="9472" width="11.33203125" style="38"/>
    <col min="9473" max="9473" width="30" style="38" bestFit="1" customWidth="1"/>
    <col min="9474" max="9474" width="2.33203125" style="38" customWidth="1"/>
    <col min="9475" max="9478" width="0" style="38" hidden="1" customWidth="1"/>
    <col min="9479" max="9491" width="16.33203125" style="38" customWidth="1"/>
    <col min="9492" max="9728" width="11.33203125" style="38"/>
    <col min="9729" max="9729" width="30" style="38" bestFit="1" customWidth="1"/>
    <col min="9730" max="9730" width="2.33203125" style="38" customWidth="1"/>
    <col min="9731" max="9734" width="0" style="38" hidden="1" customWidth="1"/>
    <col min="9735" max="9747" width="16.33203125" style="38" customWidth="1"/>
    <col min="9748" max="9984" width="11.33203125" style="38"/>
    <col min="9985" max="9985" width="30" style="38" bestFit="1" customWidth="1"/>
    <col min="9986" max="9986" width="2.33203125" style="38" customWidth="1"/>
    <col min="9987" max="9990" width="0" style="38" hidden="1" customWidth="1"/>
    <col min="9991" max="10003" width="16.33203125" style="38" customWidth="1"/>
    <col min="10004" max="10240" width="11.33203125" style="38"/>
    <col min="10241" max="10241" width="30" style="38" bestFit="1" customWidth="1"/>
    <col min="10242" max="10242" width="2.33203125" style="38" customWidth="1"/>
    <col min="10243" max="10246" width="0" style="38" hidden="1" customWidth="1"/>
    <col min="10247" max="10259" width="16.33203125" style="38" customWidth="1"/>
    <col min="10260" max="10496" width="11.33203125" style="38"/>
    <col min="10497" max="10497" width="30" style="38" bestFit="1" customWidth="1"/>
    <col min="10498" max="10498" width="2.33203125" style="38" customWidth="1"/>
    <col min="10499" max="10502" width="0" style="38" hidden="1" customWidth="1"/>
    <col min="10503" max="10515" width="16.33203125" style="38" customWidth="1"/>
    <col min="10516" max="10752" width="11.33203125" style="38"/>
    <col min="10753" max="10753" width="30" style="38" bestFit="1" customWidth="1"/>
    <col min="10754" max="10754" width="2.33203125" style="38" customWidth="1"/>
    <col min="10755" max="10758" width="0" style="38" hidden="1" customWidth="1"/>
    <col min="10759" max="10771" width="16.33203125" style="38" customWidth="1"/>
    <col min="10772" max="11008" width="11.33203125" style="38"/>
    <col min="11009" max="11009" width="30" style="38" bestFit="1" customWidth="1"/>
    <col min="11010" max="11010" width="2.33203125" style="38" customWidth="1"/>
    <col min="11011" max="11014" width="0" style="38" hidden="1" customWidth="1"/>
    <col min="11015" max="11027" width="16.33203125" style="38" customWidth="1"/>
    <col min="11028" max="11264" width="11.33203125" style="38"/>
    <col min="11265" max="11265" width="30" style="38" bestFit="1" customWidth="1"/>
    <col min="11266" max="11266" width="2.33203125" style="38" customWidth="1"/>
    <col min="11267" max="11270" width="0" style="38" hidden="1" customWidth="1"/>
    <col min="11271" max="11283" width="16.33203125" style="38" customWidth="1"/>
    <col min="11284" max="11520" width="11.33203125" style="38"/>
    <col min="11521" max="11521" width="30" style="38" bestFit="1" customWidth="1"/>
    <col min="11522" max="11522" width="2.33203125" style="38" customWidth="1"/>
    <col min="11523" max="11526" width="0" style="38" hidden="1" customWidth="1"/>
    <col min="11527" max="11539" width="16.33203125" style="38" customWidth="1"/>
    <col min="11540" max="11776" width="11.33203125" style="38"/>
    <col min="11777" max="11777" width="30" style="38" bestFit="1" customWidth="1"/>
    <col min="11778" max="11778" width="2.33203125" style="38" customWidth="1"/>
    <col min="11779" max="11782" width="0" style="38" hidden="1" customWidth="1"/>
    <col min="11783" max="11795" width="16.33203125" style="38" customWidth="1"/>
    <col min="11796" max="12032" width="11.33203125" style="38"/>
    <col min="12033" max="12033" width="30" style="38" bestFit="1" customWidth="1"/>
    <col min="12034" max="12034" width="2.33203125" style="38" customWidth="1"/>
    <col min="12035" max="12038" width="0" style="38" hidden="1" customWidth="1"/>
    <col min="12039" max="12051" width="16.33203125" style="38" customWidth="1"/>
    <col min="12052" max="12288" width="11.33203125" style="38"/>
    <col min="12289" max="12289" width="30" style="38" bestFit="1" customWidth="1"/>
    <col min="12290" max="12290" width="2.33203125" style="38" customWidth="1"/>
    <col min="12291" max="12294" width="0" style="38" hidden="1" customWidth="1"/>
    <col min="12295" max="12307" width="16.33203125" style="38" customWidth="1"/>
    <col min="12308" max="12544" width="11.33203125" style="38"/>
    <col min="12545" max="12545" width="30" style="38" bestFit="1" customWidth="1"/>
    <col min="12546" max="12546" width="2.33203125" style="38" customWidth="1"/>
    <col min="12547" max="12550" width="0" style="38" hidden="1" customWidth="1"/>
    <col min="12551" max="12563" width="16.33203125" style="38" customWidth="1"/>
    <col min="12564" max="12800" width="11.33203125" style="38"/>
    <col min="12801" max="12801" width="30" style="38" bestFit="1" customWidth="1"/>
    <col min="12802" max="12802" width="2.33203125" style="38" customWidth="1"/>
    <col min="12803" max="12806" width="0" style="38" hidden="1" customWidth="1"/>
    <col min="12807" max="12819" width="16.33203125" style="38" customWidth="1"/>
    <col min="12820" max="13056" width="11.33203125" style="38"/>
    <col min="13057" max="13057" width="30" style="38" bestFit="1" customWidth="1"/>
    <col min="13058" max="13058" width="2.33203125" style="38" customWidth="1"/>
    <col min="13059" max="13062" width="0" style="38" hidden="1" customWidth="1"/>
    <col min="13063" max="13075" width="16.33203125" style="38" customWidth="1"/>
    <col min="13076" max="13312" width="11.33203125" style="38"/>
    <col min="13313" max="13313" width="30" style="38" bestFit="1" customWidth="1"/>
    <col min="13314" max="13314" width="2.33203125" style="38" customWidth="1"/>
    <col min="13315" max="13318" width="0" style="38" hidden="1" customWidth="1"/>
    <col min="13319" max="13331" width="16.33203125" style="38" customWidth="1"/>
    <col min="13332" max="13568" width="11.33203125" style="38"/>
    <col min="13569" max="13569" width="30" style="38" bestFit="1" customWidth="1"/>
    <col min="13570" max="13570" width="2.33203125" style="38" customWidth="1"/>
    <col min="13571" max="13574" width="0" style="38" hidden="1" customWidth="1"/>
    <col min="13575" max="13587" width="16.33203125" style="38" customWidth="1"/>
    <col min="13588" max="13824" width="11.33203125" style="38"/>
    <col min="13825" max="13825" width="30" style="38" bestFit="1" customWidth="1"/>
    <col min="13826" max="13826" width="2.33203125" style="38" customWidth="1"/>
    <col min="13827" max="13830" width="0" style="38" hidden="1" customWidth="1"/>
    <col min="13831" max="13843" width="16.33203125" style="38" customWidth="1"/>
    <col min="13844" max="14080" width="11.33203125" style="38"/>
    <col min="14081" max="14081" width="30" style="38" bestFit="1" customWidth="1"/>
    <col min="14082" max="14082" width="2.33203125" style="38" customWidth="1"/>
    <col min="14083" max="14086" width="0" style="38" hidden="1" customWidth="1"/>
    <col min="14087" max="14099" width="16.33203125" style="38" customWidth="1"/>
    <col min="14100" max="14336" width="11.33203125" style="38"/>
    <col min="14337" max="14337" width="30" style="38" bestFit="1" customWidth="1"/>
    <col min="14338" max="14338" width="2.33203125" style="38" customWidth="1"/>
    <col min="14339" max="14342" width="0" style="38" hidden="1" customWidth="1"/>
    <col min="14343" max="14355" width="16.33203125" style="38" customWidth="1"/>
    <col min="14356" max="14592" width="11.33203125" style="38"/>
    <col min="14593" max="14593" width="30" style="38" bestFit="1" customWidth="1"/>
    <col min="14594" max="14594" width="2.33203125" style="38" customWidth="1"/>
    <col min="14595" max="14598" width="0" style="38" hidden="1" customWidth="1"/>
    <col min="14599" max="14611" width="16.33203125" style="38" customWidth="1"/>
    <col min="14612" max="14848" width="11.33203125" style="38"/>
    <col min="14849" max="14849" width="30" style="38" bestFit="1" customWidth="1"/>
    <col min="14850" max="14850" width="2.33203125" style="38" customWidth="1"/>
    <col min="14851" max="14854" width="0" style="38" hidden="1" customWidth="1"/>
    <col min="14855" max="14867" width="16.33203125" style="38" customWidth="1"/>
    <col min="14868" max="15104" width="11.33203125" style="38"/>
    <col min="15105" max="15105" width="30" style="38" bestFit="1" customWidth="1"/>
    <col min="15106" max="15106" width="2.33203125" style="38" customWidth="1"/>
    <col min="15107" max="15110" width="0" style="38" hidden="1" customWidth="1"/>
    <col min="15111" max="15123" width="16.33203125" style="38" customWidth="1"/>
    <col min="15124" max="15360" width="11.33203125" style="38"/>
    <col min="15361" max="15361" width="30" style="38" bestFit="1" customWidth="1"/>
    <col min="15362" max="15362" width="2.33203125" style="38" customWidth="1"/>
    <col min="15363" max="15366" width="0" style="38" hidden="1" customWidth="1"/>
    <col min="15367" max="15379" width="16.33203125" style="38" customWidth="1"/>
    <col min="15380" max="15616" width="11.33203125" style="38"/>
    <col min="15617" max="15617" width="30" style="38" bestFit="1" customWidth="1"/>
    <col min="15618" max="15618" width="2.33203125" style="38" customWidth="1"/>
    <col min="15619" max="15622" width="0" style="38" hidden="1" customWidth="1"/>
    <col min="15623" max="15635" width="16.33203125" style="38" customWidth="1"/>
    <col min="15636" max="15872" width="11.33203125" style="38"/>
    <col min="15873" max="15873" width="30" style="38" bestFit="1" customWidth="1"/>
    <col min="15874" max="15874" width="2.33203125" style="38" customWidth="1"/>
    <col min="15875" max="15878" width="0" style="38" hidden="1" customWidth="1"/>
    <col min="15879" max="15891" width="16.33203125" style="38" customWidth="1"/>
    <col min="15892" max="16128" width="11.33203125" style="38"/>
    <col min="16129" max="16129" width="30" style="38" bestFit="1" customWidth="1"/>
    <col min="16130" max="16130" width="2.33203125" style="38" customWidth="1"/>
    <col min="16131" max="16134" width="0" style="38" hidden="1" customWidth="1"/>
    <col min="16135" max="16147" width="16.33203125" style="38" customWidth="1"/>
    <col min="16148" max="16384" width="11.33203125" style="38"/>
  </cols>
  <sheetData>
    <row r="1" spans="1:19" ht="15">
      <c r="A1" s="36" t="s">
        <v>21</v>
      </c>
      <c r="B1" s="36"/>
      <c r="C1" s="37"/>
      <c r="D1" s="37"/>
      <c r="E1" s="37"/>
      <c r="F1" s="37"/>
      <c r="G1" s="37"/>
      <c r="H1" s="37"/>
      <c r="I1" s="37"/>
      <c r="J1" s="37"/>
      <c r="K1" s="37"/>
      <c r="L1" s="37"/>
      <c r="M1" s="37"/>
      <c r="N1" s="37"/>
      <c r="O1" s="37"/>
      <c r="P1" s="37"/>
      <c r="Q1" s="37"/>
      <c r="R1" s="37"/>
      <c r="S1" s="36"/>
    </row>
    <row r="2" spans="1:19" ht="16" thickBot="1">
      <c r="A2" s="37"/>
      <c r="B2" s="37"/>
      <c r="C2" s="37"/>
      <c r="D2" s="37"/>
      <c r="E2" s="37"/>
      <c r="F2" s="37"/>
      <c r="G2" s="37"/>
      <c r="H2" s="37"/>
      <c r="I2" s="37"/>
      <c r="J2" s="37"/>
      <c r="K2" s="37"/>
      <c r="L2" s="37"/>
      <c r="M2" s="37"/>
      <c r="N2" s="37"/>
      <c r="O2" s="37"/>
      <c r="P2" s="37"/>
      <c r="Q2" s="37"/>
      <c r="R2" s="37"/>
      <c r="S2" s="37"/>
    </row>
    <row r="3" spans="1:19" ht="17" thickTop="1" thickBot="1">
      <c r="A3" s="37"/>
      <c r="B3" s="37"/>
      <c r="C3" s="39" t="s">
        <v>22</v>
      </c>
      <c r="D3" s="40"/>
      <c r="E3" s="40"/>
      <c r="F3" s="40"/>
      <c r="G3" s="335" t="s">
        <v>23</v>
      </c>
      <c r="H3" s="336"/>
      <c r="I3" s="336"/>
      <c r="J3" s="336"/>
      <c r="K3" s="336"/>
      <c r="L3" s="336"/>
      <c r="M3" s="336"/>
      <c r="N3" s="336"/>
      <c r="O3" s="336"/>
      <c r="P3" s="336"/>
      <c r="Q3" s="336"/>
      <c r="R3" s="336"/>
      <c r="S3" s="337"/>
    </row>
    <row r="4" spans="1:19" ht="17" thickTop="1" thickBot="1">
      <c r="A4" s="41"/>
      <c r="B4" s="41"/>
      <c r="C4" s="42" t="s">
        <v>24</v>
      </c>
      <c r="D4" s="43"/>
      <c r="E4" s="42" t="s">
        <v>25</v>
      </c>
      <c r="F4" s="44"/>
      <c r="G4" s="45" t="s">
        <v>26</v>
      </c>
      <c r="H4" s="45" t="s">
        <v>27</v>
      </c>
      <c r="I4" s="42" t="s">
        <v>28</v>
      </c>
      <c r="J4" s="45" t="s">
        <v>29</v>
      </c>
      <c r="K4" s="42" t="s">
        <v>30</v>
      </c>
      <c r="L4" s="45" t="s">
        <v>31</v>
      </c>
      <c r="M4" s="45" t="s">
        <v>32</v>
      </c>
      <c r="N4" s="42" t="s">
        <v>33</v>
      </c>
      <c r="O4" s="45" t="s">
        <v>34</v>
      </c>
      <c r="P4" s="45" t="s">
        <v>35</v>
      </c>
      <c r="Q4" s="42" t="s">
        <v>36</v>
      </c>
      <c r="R4" s="45" t="s">
        <v>37</v>
      </c>
      <c r="S4" s="46" t="s">
        <v>38</v>
      </c>
    </row>
    <row r="5" spans="1:19" ht="17" thickTop="1" thickBot="1">
      <c r="A5" s="47"/>
      <c r="B5" s="47"/>
      <c r="C5" s="48" t="s">
        <v>39</v>
      </c>
      <c r="D5" s="49" t="s">
        <v>40</v>
      </c>
      <c r="E5" s="48" t="s">
        <v>39</v>
      </c>
      <c r="F5" s="50" t="s">
        <v>40</v>
      </c>
      <c r="G5" s="48" t="s">
        <v>39</v>
      </c>
      <c r="H5" s="48" t="s">
        <v>39</v>
      </c>
      <c r="I5" s="48" t="s">
        <v>39</v>
      </c>
      <c r="J5" s="48" t="s">
        <v>39</v>
      </c>
      <c r="K5" s="48" t="s">
        <v>39</v>
      </c>
      <c r="L5" s="48" t="s">
        <v>39</v>
      </c>
      <c r="M5" s="48" t="s">
        <v>39</v>
      </c>
      <c r="N5" s="48" t="s">
        <v>39</v>
      </c>
      <c r="O5" s="48" t="s">
        <v>39</v>
      </c>
      <c r="P5" s="48" t="s">
        <v>39</v>
      </c>
      <c r="Q5" s="48" t="s">
        <v>39</v>
      </c>
      <c r="R5" s="48" t="s">
        <v>39</v>
      </c>
      <c r="S5" s="51" t="s">
        <v>39</v>
      </c>
    </row>
    <row r="6" spans="1:19" ht="17" thickTop="1" thickBot="1">
      <c r="A6" s="52" t="s">
        <v>41</v>
      </c>
      <c r="B6" s="53"/>
      <c r="C6" s="54"/>
      <c r="D6" s="55"/>
      <c r="E6" s="55"/>
      <c r="F6" s="55"/>
      <c r="G6" s="54"/>
      <c r="H6" s="55"/>
      <c r="I6" s="55"/>
      <c r="J6" s="54"/>
      <c r="K6" s="55"/>
      <c r="L6" s="55"/>
      <c r="M6" s="54"/>
      <c r="N6" s="55"/>
      <c r="O6" s="55"/>
      <c r="P6" s="54"/>
      <c r="Q6" s="55"/>
      <c r="R6" s="55"/>
      <c r="S6" s="56"/>
    </row>
    <row r="7" spans="1:19" ht="16" thickTop="1">
      <c r="A7" s="57" t="s">
        <v>42</v>
      </c>
      <c r="B7" s="58"/>
      <c r="C7" s="59"/>
      <c r="D7" s="60" t="s">
        <v>43</v>
      </c>
      <c r="E7" s="59"/>
      <c r="F7" s="61" t="s">
        <v>43</v>
      </c>
      <c r="G7" s="59">
        <v>78.043999999999997</v>
      </c>
      <c r="H7" s="59">
        <v>81.968000000000004</v>
      </c>
      <c r="I7" s="59">
        <v>91.015000000000001</v>
      </c>
      <c r="J7" s="59">
        <v>85.02</v>
      </c>
      <c r="K7" s="59">
        <v>74.992000000000004</v>
      </c>
      <c r="L7" s="59">
        <v>91.015000000000001</v>
      </c>
      <c r="M7" s="59">
        <v>101.04300000000001</v>
      </c>
      <c r="N7" s="59">
        <v>57.006999999999998</v>
      </c>
      <c r="O7" s="59">
        <v>98.971999999999994</v>
      </c>
      <c r="P7" s="59">
        <v>112.92400000000001</v>
      </c>
      <c r="Q7" s="59">
        <v>120.009</v>
      </c>
      <c r="R7" s="59">
        <v>97.991</v>
      </c>
      <c r="S7" s="62">
        <v>1090</v>
      </c>
    </row>
    <row r="8" spans="1:19" ht="15">
      <c r="A8" s="63" t="s">
        <v>44</v>
      </c>
      <c r="B8" s="58"/>
      <c r="C8" s="64"/>
      <c r="D8" s="65"/>
      <c r="E8" s="64"/>
      <c r="F8" s="66"/>
      <c r="G8" s="64">
        <f>SUM(1620.46155,0)</f>
        <v>1620.46155</v>
      </c>
      <c r="H8" s="64">
        <f>SUM(1701.93727,0)</f>
        <v>1701.9372699999999</v>
      </c>
      <c r="I8" s="64">
        <f>SUM(1889.78407,0)</f>
        <v>1889.7840699999999</v>
      </c>
      <c r="J8" s="64">
        <f>SUM(1765.30727,0)</f>
        <v>1765.30727</v>
      </c>
      <c r="K8" s="64">
        <f>SUM(1557.09154,0)</f>
        <v>1557.0915399999999</v>
      </c>
      <c r="L8" s="64">
        <f>SUM(1889.78407,0)</f>
        <v>1889.7840699999999</v>
      </c>
      <c r="M8" s="64">
        <f>SUM(2097.9998,0)</f>
        <v>2097.9998000000001</v>
      </c>
      <c r="N8" s="64">
        <f>SUM(1183.66116,0)</f>
        <v>1183.6611600000001</v>
      </c>
      <c r="O8" s="64">
        <f>SUM(2054.99872,0)</f>
        <v>2054.99872</v>
      </c>
      <c r="P8" s="64">
        <f>SUM(2344.69017,0)</f>
        <v>2344.6901699999999</v>
      </c>
      <c r="Q8" s="64">
        <f>SUM(2491.79911,0)</f>
        <v>2491.7991099999999</v>
      </c>
      <c r="R8" s="64">
        <f>SUM(2034.62979,0)</f>
        <v>2034.62979</v>
      </c>
      <c r="S8" s="67">
        <f>SUM(22632.14452,0)</f>
        <v>22632.144520000002</v>
      </c>
    </row>
    <row r="9" spans="1:19">
      <c r="A9" s="68" t="s">
        <v>45</v>
      </c>
      <c r="B9" s="69"/>
      <c r="C9" s="70"/>
      <c r="D9" s="71"/>
      <c r="E9" s="70"/>
      <c r="F9" s="72"/>
      <c r="G9" s="70">
        <f>SUM(1467.82914)</f>
        <v>1467.8291400000001</v>
      </c>
      <c r="H9" s="70">
        <f>SUM(1541.6306)</f>
        <v>1541.6306</v>
      </c>
      <c r="I9" s="70">
        <f>SUM(1711.78398)</f>
        <v>1711.7839799999999</v>
      </c>
      <c r="J9" s="70">
        <f>SUM(1599.03174)</f>
        <v>1599.0317399999999</v>
      </c>
      <c r="K9" s="70">
        <f>SUM(1410.428)</f>
        <v>1410.4280000000001</v>
      </c>
      <c r="L9" s="70">
        <f>SUM(1711.78398)</f>
        <v>1711.7839799999999</v>
      </c>
      <c r="M9" s="70">
        <f>SUM(1900.38772)</f>
        <v>1900.3877199999999</v>
      </c>
      <c r="N9" s="70">
        <f>SUM(1072.17128)</f>
        <v>1072.17128</v>
      </c>
      <c r="O9" s="70">
        <f>SUM(1861.43695)</f>
        <v>1861.43695</v>
      </c>
      <c r="P9" s="70">
        <f>SUM(2123.84216)</f>
        <v>2123.8421600000001</v>
      </c>
      <c r="Q9" s="70">
        <f>SUM(2257.0948)</f>
        <v>2257.0947999999999</v>
      </c>
      <c r="R9" s="70">
        <f>SUM(1842.98658)</f>
        <v>1842.98658</v>
      </c>
      <c r="S9" s="73">
        <f>SUM(20500.40693)</f>
        <v>20500.406930000001</v>
      </c>
    </row>
    <row r="10" spans="1:19">
      <c r="A10" s="68" t="s">
        <v>46</v>
      </c>
      <c r="B10" s="69"/>
      <c r="C10" s="70"/>
      <c r="D10" s="71"/>
      <c r="E10" s="70"/>
      <c r="F10" s="72"/>
      <c r="G10" s="70">
        <f>SUM(10.42356,0)</f>
        <v>10.42356</v>
      </c>
      <c r="H10" s="70">
        <f>SUM(10.94765,0)</f>
        <v>10.947649999999999</v>
      </c>
      <c r="I10" s="70">
        <f>SUM(12.15596,0)</f>
        <v>12.15596</v>
      </c>
      <c r="J10" s="70">
        <f>SUM(11.35527,0)</f>
        <v>11.355270000000001</v>
      </c>
      <c r="K10" s="70">
        <f>SUM(10.01593,0)</f>
        <v>10.015930000000001</v>
      </c>
      <c r="L10" s="70">
        <f>SUM(12.15596,0)</f>
        <v>12.15596</v>
      </c>
      <c r="M10" s="70">
        <f>SUM(13.4953,0)</f>
        <v>13.4953</v>
      </c>
      <c r="N10" s="70">
        <f>SUM(7.61385,0)</f>
        <v>7.6138500000000002</v>
      </c>
      <c r="O10" s="70">
        <f>SUM(13.2187,0)</f>
        <v>13.2187</v>
      </c>
      <c r="P10" s="70">
        <f>SUM(15.08213,0)</f>
        <v>15.082129999999999</v>
      </c>
      <c r="Q10" s="70">
        <f>SUM(16.0284,0)</f>
        <v>16.028400000000001</v>
      </c>
      <c r="R10" s="70">
        <f>SUM(13.08768,0)</f>
        <v>13.087680000000001</v>
      </c>
      <c r="S10" s="73">
        <f>SUM(145.58039,0)</f>
        <v>145.58038999999999</v>
      </c>
    </row>
    <row r="11" spans="1:19">
      <c r="A11" s="68" t="s">
        <v>47</v>
      </c>
      <c r="B11" s="69"/>
      <c r="C11" s="70"/>
      <c r="D11" s="71"/>
      <c r="E11" s="70"/>
      <c r="F11" s="72"/>
      <c r="G11" s="70">
        <v>8.1946200000000005</v>
      </c>
      <c r="H11" s="70">
        <v>8.6066400000000005</v>
      </c>
      <c r="I11" s="70">
        <v>9.5565800000000003</v>
      </c>
      <c r="J11" s="70">
        <v>8.9270999999999994</v>
      </c>
      <c r="K11" s="70">
        <v>7.8741599999999998</v>
      </c>
      <c r="L11" s="70">
        <v>9.5565800000000003</v>
      </c>
      <c r="M11" s="70">
        <v>10.60952</v>
      </c>
      <c r="N11" s="70">
        <v>5.9857399999999998</v>
      </c>
      <c r="O11" s="70">
        <v>10.392060000000001</v>
      </c>
      <c r="P11" s="70">
        <v>11.85702</v>
      </c>
      <c r="Q11" s="70">
        <v>12.600949999999999</v>
      </c>
      <c r="R11" s="70">
        <v>10.289059999999999</v>
      </c>
      <c r="S11" s="73">
        <v>114.45003</v>
      </c>
    </row>
    <row r="12" spans="1:19">
      <c r="A12" s="68" t="s">
        <v>48</v>
      </c>
      <c r="B12" s="69"/>
      <c r="C12" s="70"/>
      <c r="D12" s="71"/>
      <c r="E12" s="70"/>
      <c r="F12" s="72"/>
      <c r="G12" s="70">
        <v>150.40350000000001</v>
      </c>
      <c r="H12" s="70">
        <v>157.96562</v>
      </c>
      <c r="I12" s="70">
        <v>175.40074999999999</v>
      </c>
      <c r="J12" s="70">
        <v>163.84737999999999</v>
      </c>
      <c r="K12" s="70">
        <v>144.52175</v>
      </c>
      <c r="L12" s="70">
        <v>175.40074999999999</v>
      </c>
      <c r="M12" s="70">
        <v>194.72624999999999</v>
      </c>
      <c r="N12" s="70">
        <v>109.86175</v>
      </c>
      <c r="O12" s="70">
        <v>190.73500000000001</v>
      </c>
      <c r="P12" s="70">
        <v>217.62275</v>
      </c>
      <c r="Q12" s="70">
        <v>231.27674999999999</v>
      </c>
      <c r="R12" s="70">
        <v>188.84450000000001</v>
      </c>
      <c r="S12" s="73">
        <v>2100.6067499999999</v>
      </c>
    </row>
    <row r="13" spans="1:19">
      <c r="A13" s="68" t="s">
        <v>49</v>
      </c>
      <c r="B13" s="69"/>
      <c r="C13" s="70"/>
      <c r="D13" s="71"/>
      <c r="E13" s="70"/>
      <c r="F13" s="72"/>
      <c r="G13" s="70">
        <f>-373.63406+158.952+90.216</f>
        <v>-124.46605999999998</v>
      </c>
      <c r="H13" s="70">
        <f>-392.4201+166.944+94.752</f>
        <v>-130.72410000000002</v>
      </c>
      <c r="I13" s="70">
        <f>-435.7324+185.37+105.21</f>
        <v>-145.1524</v>
      </c>
      <c r="J13" s="70">
        <f>-407.03147+173.16+98.28</f>
        <v>-135.59147000000002</v>
      </c>
      <c r="K13" s="70">
        <f>-359.02266+152.736+86.688</f>
        <v>-119.59865999999998</v>
      </c>
      <c r="L13" s="70">
        <f>-435.7324+185.37+105.21</f>
        <v>-145.1524</v>
      </c>
      <c r="M13" s="70">
        <f>-483.74125+205.794+116.802</f>
        <v>-161.14524999999992</v>
      </c>
      <c r="N13" s="74">
        <f>-272.91984+116.106+65.898</f>
        <v>-90.915840000000031</v>
      </c>
      <c r="O13" s="70">
        <f>-473.82638+201.576+114.408</f>
        <v>-157.84237999999993</v>
      </c>
      <c r="P13" s="70">
        <f>-540.6213+229.992+130.536</f>
        <v>-180.09330000000006</v>
      </c>
      <c r="Q13" s="70">
        <f>-574.5406+244.422+138.726</f>
        <v>-191.39260000000002</v>
      </c>
      <c r="R13" s="70">
        <f>-469.12988+199.578+113.274</f>
        <v>-156.27787999999998</v>
      </c>
      <c r="S13" s="73">
        <f>-5218.35234+2220+1260</f>
        <v>-1738.3523400000004</v>
      </c>
    </row>
    <row r="14" spans="1:19">
      <c r="A14" s="68" t="s">
        <v>50</v>
      </c>
      <c r="B14" s="69"/>
      <c r="C14" s="70"/>
      <c r="D14" s="71"/>
      <c r="E14" s="70"/>
      <c r="F14" s="72"/>
      <c r="G14" s="70">
        <v>373.63405999999998</v>
      </c>
      <c r="H14" s="70">
        <v>392.42009999999999</v>
      </c>
      <c r="I14" s="70">
        <v>435.73239999999998</v>
      </c>
      <c r="J14" s="70">
        <v>407.03147000000001</v>
      </c>
      <c r="K14" s="70">
        <v>359.02265999999997</v>
      </c>
      <c r="L14" s="70">
        <v>435.73239999999998</v>
      </c>
      <c r="M14" s="70">
        <v>483.74124999999998</v>
      </c>
      <c r="N14" s="70">
        <v>272.91984000000002</v>
      </c>
      <c r="O14" s="70">
        <v>473.82637999999997</v>
      </c>
      <c r="P14" s="70">
        <v>540.62130000000002</v>
      </c>
      <c r="Q14" s="70">
        <v>574.54060000000004</v>
      </c>
      <c r="R14" s="70">
        <v>469.12988000000001</v>
      </c>
      <c r="S14" s="73">
        <v>5218.3523400000004</v>
      </c>
    </row>
    <row r="15" spans="1:19" hidden="1" outlineLevel="1">
      <c r="A15" s="75" t="s">
        <v>51</v>
      </c>
      <c r="B15" s="69"/>
      <c r="C15" s="70"/>
      <c r="D15" s="71"/>
      <c r="E15" s="70"/>
      <c r="F15" s="72"/>
      <c r="G15" s="76">
        <f>SUM(158.952)</f>
        <v>158.952</v>
      </c>
      <c r="H15" s="76">
        <f>SUM(166.944)</f>
        <v>166.94399999999999</v>
      </c>
      <c r="I15" s="76">
        <f>SUM(185.37)</f>
        <v>185.37</v>
      </c>
      <c r="J15" s="76">
        <f>SUM(173.16)</f>
        <v>173.16</v>
      </c>
      <c r="K15" s="76">
        <f>SUM(152.736)</f>
        <v>152.73599999999999</v>
      </c>
      <c r="L15" s="76">
        <f>SUM(185.37)</f>
        <v>185.37</v>
      </c>
      <c r="M15" s="76">
        <f>SUM(205.794)</f>
        <v>205.79400000000001</v>
      </c>
      <c r="N15" s="76">
        <f>SUM(116.106)</f>
        <v>116.10599999999999</v>
      </c>
      <c r="O15" s="76">
        <f>SUM(201.576)</f>
        <v>201.57599999999999</v>
      </c>
      <c r="P15" s="76">
        <f>SUM(229.992)</f>
        <v>229.99199999999999</v>
      </c>
      <c r="Q15" s="76">
        <f>SUM(244.422)</f>
        <v>244.422</v>
      </c>
      <c r="R15" s="76">
        <f>SUM(199.578)</f>
        <v>199.578</v>
      </c>
      <c r="S15" s="77">
        <f>SUM(2220)</f>
        <v>2220</v>
      </c>
    </row>
    <row r="16" spans="1:19" hidden="1" outlineLevel="1">
      <c r="A16" s="75" t="s">
        <v>52</v>
      </c>
      <c r="B16" s="69"/>
      <c r="C16" s="70"/>
      <c r="D16" s="71"/>
      <c r="E16" s="70"/>
      <c r="F16" s="72"/>
      <c r="G16" s="76">
        <f>SUM(90.216)</f>
        <v>90.215999999999994</v>
      </c>
      <c r="H16" s="76">
        <f>SUM(94.752)</f>
        <v>94.751999999999995</v>
      </c>
      <c r="I16" s="76">
        <f>SUM(105.21)</f>
        <v>105.21</v>
      </c>
      <c r="J16" s="76">
        <f>SUM(98.28)</f>
        <v>98.28</v>
      </c>
      <c r="K16" s="76">
        <f>SUM(86.688)</f>
        <v>86.688000000000002</v>
      </c>
      <c r="L16" s="76">
        <f>SUM(105.21)</f>
        <v>105.21</v>
      </c>
      <c r="M16" s="76">
        <f>SUM(116.802)</f>
        <v>116.80200000000001</v>
      </c>
      <c r="N16" s="76">
        <f>SUM(65.898)</f>
        <v>65.897999999999996</v>
      </c>
      <c r="O16" s="76">
        <f>SUM(114.408)</f>
        <v>114.408</v>
      </c>
      <c r="P16" s="76">
        <f>SUM(130.536)</f>
        <v>130.536</v>
      </c>
      <c r="Q16" s="76">
        <f>SUM(138.726)</f>
        <v>138.726</v>
      </c>
      <c r="R16" s="76">
        <f>SUM(113.274)</f>
        <v>113.274</v>
      </c>
      <c r="S16" s="77">
        <f>SUM(1260)</f>
        <v>1260</v>
      </c>
    </row>
    <row r="17" spans="1:19" ht="15" collapsed="1">
      <c r="A17" s="63" t="s">
        <v>53</v>
      </c>
      <c r="B17" s="58"/>
      <c r="C17" s="64">
        <f>J17-G17</f>
        <v>2.3184699999999481</v>
      </c>
      <c r="D17" s="65"/>
      <c r="E17" s="64">
        <f>K17-H17</f>
        <v>-2.3184299999999638</v>
      </c>
      <c r="F17" s="66"/>
      <c r="G17" s="64">
        <f t="shared" ref="G17:S17" si="0">SUM(G12:G13)</f>
        <v>25.937440000000024</v>
      </c>
      <c r="H17" s="64">
        <f t="shared" si="0"/>
        <v>27.24151999999998</v>
      </c>
      <c r="I17" s="64">
        <f t="shared" si="0"/>
        <v>30.248349999999988</v>
      </c>
      <c r="J17" s="64">
        <f t="shared" si="0"/>
        <v>28.255909999999972</v>
      </c>
      <c r="K17" s="64">
        <f t="shared" si="0"/>
        <v>24.923090000000016</v>
      </c>
      <c r="L17" s="64">
        <f t="shared" si="0"/>
        <v>30.248349999999988</v>
      </c>
      <c r="M17" s="64">
        <f t="shared" si="0"/>
        <v>33.581000000000074</v>
      </c>
      <c r="N17" s="64">
        <f t="shared" si="0"/>
        <v>18.945909999999969</v>
      </c>
      <c r="O17" s="64">
        <f t="shared" si="0"/>
        <v>32.892620000000079</v>
      </c>
      <c r="P17" s="64">
        <f t="shared" si="0"/>
        <v>37.52944999999994</v>
      </c>
      <c r="Q17" s="64">
        <f t="shared" si="0"/>
        <v>39.884149999999977</v>
      </c>
      <c r="R17" s="64">
        <f t="shared" si="0"/>
        <v>32.566620000000029</v>
      </c>
      <c r="S17" s="67">
        <f t="shared" si="0"/>
        <v>362.25440999999955</v>
      </c>
    </row>
    <row r="18" spans="1:19">
      <c r="A18" s="68" t="s">
        <v>54</v>
      </c>
      <c r="B18" s="69"/>
      <c r="C18" s="70"/>
      <c r="D18" s="71"/>
      <c r="E18" s="70"/>
      <c r="F18" s="72"/>
      <c r="G18" s="70">
        <v>31.2239</v>
      </c>
      <c r="H18" s="70">
        <v>32.793819999999997</v>
      </c>
      <c r="I18" s="70">
        <v>36.413350000000001</v>
      </c>
      <c r="J18" s="70">
        <v>34.014859999999999</v>
      </c>
      <c r="K18" s="70">
        <v>30.002849999999999</v>
      </c>
      <c r="L18" s="70">
        <v>36.413350000000001</v>
      </c>
      <c r="M18" s="70">
        <v>40.425359999999998</v>
      </c>
      <c r="N18" s="70">
        <v>22.807400000000001</v>
      </c>
      <c r="O18" s="70">
        <v>39.596789999999999</v>
      </c>
      <c r="P18" s="70">
        <v>45.178719999999998</v>
      </c>
      <c r="Q18" s="70">
        <v>48.013289999999998</v>
      </c>
      <c r="R18" s="70">
        <v>39.20431</v>
      </c>
      <c r="S18" s="73">
        <v>436.08800000000002</v>
      </c>
    </row>
    <row r="19" spans="1:19">
      <c r="A19" s="68" t="s">
        <v>55</v>
      </c>
      <c r="B19" s="69"/>
      <c r="C19" s="70"/>
      <c r="D19" s="71"/>
      <c r="E19" s="70"/>
      <c r="F19" s="72"/>
      <c r="G19" s="70"/>
      <c r="H19" s="70"/>
      <c r="I19" s="70"/>
      <c r="J19" s="70"/>
      <c r="K19" s="70"/>
      <c r="L19" s="70"/>
      <c r="M19" s="70"/>
      <c r="N19" s="70"/>
      <c r="O19" s="70"/>
      <c r="P19" s="70"/>
      <c r="Q19" s="70"/>
      <c r="R19" s="70"/>
      <c r="S19" s="73"/>
    </row>
    <row r="20" spans="1:19">
      <c r="A20" s="68" t="s">
        <v>56</v>
      </c>
      <c r="B20" s="69"/>
      <c r="C20" s="70"/>
      <c r="D20" s="71"/>
      <c r="E20" s="70"/>
      <c r="F20" s="72"/>
      <c r="G20" s="70">
        <f>SUM(0,0.7024,0,3.12176)</f>
        <v>3.82416</v>
      </c>
      <c r="H20" s="70">
        <f>SUM(0,0.73771,0,3.27872)</f>
        <v>4.0164299999999997</v>
      </c>
      <c r="I20" s="70">
        <f>SUM(0,0.81914,0,3.6406)</f>
        <v>4.45974</v>
      </c>
      <c r="J20" s="70">
        <f>SUM(0,0.76518,0,3.4008)</f>
        <v>4.1659799999999994</v>
      </c>
      <c r="K20" s="70">
        <f>SUM(0,0.67493,0,2.99968)</f>
        <v>3.6746100000000004</v>
      </c>
      <c r="L20" s="70">
        <f>SUM(0,0.81914,0,3.6406)</f>
        <v>4.45974</v>
      </c>
      <c r="M20" s="70">
        <f>SUM(0,0.90939,0,4.04172)</f>
        <v>4.9511099999999999</v>
      </c>
      <c r="N20" s="70">
        <f>SUM(0,0.51306,0,2.28028)</f>
        <v>2.7933399999999997</v>
      </c>
      <c r="O20" s="70">
        <f>SUM(0,0.89075,0,3.95888)</f>
        <v>4.8496300000000003</v>
      </c>
      <c r="P20" s="70">
        <f>SUM(0,1.01632,0,4.51696)</f>
        <v>5.5332799999999995</v>
      </c>
      <c r="Q20" s="70">
        <f>SUM(0,1.08008,0,4.80036)</f>
        <v>5.8804400000000001</v>
      </c>
      <c r="R20" s="70">
        <f>SUM(0,0.88192,0,3.91964)</f>
        <v>4.8015600000000003</v>
      </c>
      <c r="S20" s="73">
        <f>SUM(0,9.81002,0,43.6)</f>
        <v>53.410020000000003</v>
      </c>
    </row>
    <row r="21" spans="1:19" hidden="1" outlineLevel="1">
      <c r="A21" s="75" t="s">
        <v>57</v>
      </c>
      <c r="B21" s="69"/>
      <c r="C21" s="70"/>
      <c r="D21" s="71"/>
      <c r="E21" s="70"/>
      <c r="F21" s="72"/>
      <c r="G21" s="76">
        <f t="shared" ref="G21:S21" si="1">SUM(0)</f>
        <v>0</v>
      </c>
      <c r="H21" s="76">
        <f t="shared" si="1"/>
        <v>0</v>
      </c>
      <c r="I21" s="76">
        <f t="shared" si="1"/>
        <v>0</v>
      </c>
      <c r="J21" s="76">
        <f t="shared" si="1"/>
        <v>0</v>
      </c>
      <c r="K21" s="76">
        <f t="shared" si="1"/>
        <v>0</v>
      </c>
      <c r="L21" s="76">
        <f t="shared" si="1"/>
        <v>0</v>
      </c>
      <c r="M21" s="76">
        <f t="shared" si="1"/>
        <v>0</v>
      </c>
      <c r="N21" s="76">
        <f t="shared" si="1"/>
        <v>0</v>
      </c>
      <c r="O21" s="76">
        <f t="shared" si="1"/>
        <v>0</v>
      </c>
      <c r="P21" s="76">
        <f t="shared" si="1"/>
        <v>0</v>
      </c>
      <c r="Q21" s="76">
        <f t="shared" si="1"/>
        <v>0</v>
      </c>
      <c r="R21" s="76">
        <f t="shared" si="1"/>
        <v>0</v>
      </c>
      <c r="S21" s="77">
        <f t="shared" si="1"/>
        <v>0</v>
      </c>
    </row>
    <row r="22" spans="1:19" hidden="1" outlineLevel="1">
      <c r="A22" s="75" t="s">
        <v>58</v>
      </c>
      <c r="B22" s="69"/>
      <c r="C22" s="70"/>
      <c r="D22" s="71"/>
      <c r="E22" s="70"/>
      <c r="F22" s="72"/>
      <c r="G22" s="76">
        <f>SUM(0.7024)</f>
        <v>0.70240000000000002</v>
      </c>
      <c r="H22" s="76">
        <f>SUM(0.73771)</f>
        <v>0.73770999999999998</v>
      </c>
      <c r="I22" s="76">
        <f>SUM(0.81914)</f>
        <v>0.81913999999999998</v>
      </c>
      <c r="J22" s="76">
        <f>SUM(0.76518)</f>
        <v>0.76517999999999997</v>
      </c>
      <c r="K22" s="76">
        <f>SUM(0.67493)</f>
        <v>0.67493000000000003</v>
      </c>
      <c r="L22" s="76">
        <f>SUM(0.81914)</f>
        <v>0.81913999999999998</v>
      </c>
      <c r="M22" s="76">
        <f>SUM(0.90939)</f>
        <v>0.90939000000000003</v>
      </c>
      <c r="N22" s="76">
        <f>SUM(0.51306)</f>
        <v>0.51305999999999996</v>
      </c>
      <c r="O22" s="76">
        <f>SUM(0.89075)</f>
        <v>0.89075000000000004</v>
      </c>
      <c r="P22" s="76">
        <f>SUM(1.01632)</f>
        <v>1.0163199999999999</v>
      </c>
      <c r="Q22" s="76">
        <f>SUM(1.08008)</f>
        <v>1.0800799999999999</v>
      </c>
      <c r="R22" s="76">
        <f>SUM(0.88192)</f>
        <v>0.88192000000000004</v>
      </c>
      <c r="S22" s="77">
        <f>SUM(9.81002)</f>
        <v>9.8100199999999997</v>
      </c>
    </row>
    <row r="23" spans="1:19" hidden="1" outlineLevel="1">
      <c r="A23" s="75" t="s">
        <v>59</v>
      </c>
      <c r="B23" s="69"/>
      <c r="C23" s="70"/>
      <c r="D23" s="71"/>
      <c r="E23" s="70"/>
      <c r="F23" s="72"/>
      <c r="G23" s="76">
        <f t="shared" ref="G23:S23" si="2">SUM(0)</f>
        <v>0</v>
      </c>
      <c r="H23" s="76">
        <f t="shared" si="2"/>
        <v>0</v>
      </c>
      <c r="I23" s="76">
        <f t="shared" si="2"/>
        <v>0</v>
      </c>
      <c r="J23" s="76">
        <f t="shared" si="2"/>
        <v>0</v>
      </c>
      <c r="K23" s="76">
        <f t="shared" si="2"/>
        <v>0</v>
      </c>
      <c r="L23" s="76">
        <f t="shared" si="2"/>
        <v>0</v>
      </c>
      <c r="M23" s="76">
        <f t="shared" si="2"/>
        <v>0</v>
      </c>
      <c r="N23" s="76">
        <f t="shared" si="2"/>
        <v>0</v>
      </c>
      <c r="O23" s="76">
        <f t="shared" si="2"/>
        <v>0</v>
      </c>
      <c r="P23" s="76">
        <f t="shared" si="2"/>
        <v>0</v>
      </c>
      <c r="Q23" s="76">
        <f t="shared" si="2"/>
        <v>0</v>
      </c>
      <c r="R23" s="76">
        <f t="shared" si="2"/>
        <v>0</v>
      </c>
      <c r="S23" s="77">
        <f t="shared" si="2"/>
        <v>0</v>
      </c>
    </row>
    <row r="24" spans="1:19" hidden="1" outlineLevel="1">
      <c r="A24" s="75" t="s">
        <v>60</v>
      </c>
      <c r="B24" s="69"/>
      <c r="C24" s="70"/>
      <c r="D24" s="71"/>
      <c r="E24" s="70"/>
      <c r="F24" s="72"/>
      <c r="G24" s="76">
        <f>SUM(3.12176)</f>
        <v>3.1217600000000001</v>
      </c>
      <c r="H24" s="76">
        <f>SUM(3.27872)</f>
        <v>3.2787199999999999</v>
      </c>
      <c r="I24" s="76">
        <f>SUM(3.6406)</f>
        <v>3.6406000000000001</v>
      </c>
      <c r="J24" s="76">
        <f>SUM(3.4008)</f>
        <v>3.4007999999999998</v>
      </c>
      <c r="K24" s="76">
        <f>SUM(2.99968)</f>
        <v>2.9996800000000001</v>
      </c>
      <c r="L24" s="76">
        <f>SUM(3.6406)</f>
        <v>3.6406000000000001</v>
      </c>
      <c r="M24" s="76">
        <f>SUM(4.04172)</f>
        <v>4.0417199999999998</v>
      </c>
      <c r="N24" s="76">
        <f>SUM(2.28028)</f>
        <v>2.2802799999999999</v>
      </c>
      <c r="O24" s="76">
        <f>SUM(3.95888)</f>
        <v>3.9588800000000002</v>
      </c>
      <c r="P24" s="76">
        <f>SUM(4.51696)</f>
        <v>4.5169600000000001</v>
      </c>
      <c r="Q24" s="76">
        <f>SUM(4.80036)</f>
        <v>4.8003600000000004</v>
      </c>
      <c r="R24" s="76">
        <f>SUM(3.91964)</f>
        <v>3.9196399999999998</v>
      </c>
      <c r="S24" s="77">
        <f>SUM(43.6)</f>
        <v>43.6</v>
      </c>
    </row>
    <row r="25" spans="1:19" collapsed="1">
      <c r="A25" s="68" t="s">
        <v>61</v>
      </c>
      <c r="B25" s="69"/>
      <c r="C25" s="70"/>
      <c r="D25" s="71"/>
      <c r="E25" s="70"/>
      <c r="F25" s="72"/>
      <c r="G25" s="70">
        <f>SUM(14.25585)</f>
        <v>14.255850000000001</v>
      </c>
      <c r="H25" s="70">
        <f>SUM(14.97262)</f>
        <v>14.972619999999999</v>
      </c>
      <c r="I25" s="70">
        <f>SUM(16.62518)</f>
        <v>16.62518</v>
      </c>
      <c r="J25" s="70">
        <f>SUM(15.53011)</f>
        <v>15.530110000000001</v>
      </c>
      <c r="K25" s="70">
        <f>SUM(13.69836)</f>
        <v>13.698359999999999</v>
      </c>
      <c r="L25" s="70">
        <f>SUM(16.62518)</f>
        <v>16.62518</v>
      </c>
      <c r="M25" s="70">
        <f>SUM(18.45694)</f>
        <v>18.456939999999999</v>
      </c>
      <c r="N25" s="70">
        <f>SUM(10.41314)</f>
        <v>10.41314</v>
      </c>
      <c r="O25" s="70">
        <f>SUM(18.07864)</f>
        <v>18.07864</v>
      </c>
      <c r="P25" s="70">
        <f>SUM(20.62717)</f>
        <v>20.62717</v>
      </c>
      <c r="Q25" s="70">
        <f>SUM(21.92135)</f>
        <v>21.92135</v>
      </c>
      <c r="R25" s="70">
        <f>SUM(17.89945)</f>
        <v>17.899450000000002</v>
      </c>
      <c r="S25" s="73">
        <f>SUM(199.10399)</f>
        <v>199.10399000000001</v>
      </c>
    </row>
    <row r="26" spans="1:19">
      <c r="A26" s="68" t="s">
        <v>62</v>
      </c>
      <c r="B26" s="69"/>
      <c r="C26" s="70"/>
      <c r="D26" s="71"/>
      <c r="E26" s="70"/>
      <c r="F26" s="72"/>
      <c r="G26" s="70">
        <v>5.80647</v>
      </c>
      <c r="H26" s="70">
        <v>6.09842</v>
      </c>
      <c r="I26" s="70">
        <v>6.7715199999999998</v>
      </c>
      <c r="J26" s="70">
        <v>6.3254900000000003</v>
      </c>
      <c r="K26" s="70">
        <v>5.5793999999999997</v>
      </c>
      <c r="L26" s="70">
        <v>6.7715199999999998</v>
      </c>
      <c r="M26" s="70">
        <v>7.5175999999999998</v>
      </c>
      <c r="N26" s="70">
        <v>4.24132</v>
      </c>
      <c r="O26" s="70">
        <v>7.3635200000000003</v>
      </c>
      <c r="P26" s="70">
        <v>8.4015500000000003</v>
      </c>
      <c r="Q26" s="70">
        <v>8.9286700000000003</v>
      </c>
      <c r="R26" s="70">
        <v>7.2905300000000004</v>
      </c>
      <c r="S26" s="73">
        <v>81.096010000000007</v>
      </c>
    </row>
    <row r="27" spans="1:19" ht="15">
      <c r="A27" s="63" t="s">
        <v>63</v>
      </c>
      <c r="B27" s="58"/>
      <c r="C27" s="64">
        <f>J27-G27</f>
        <v>7.2445299999999406</v>
      </c>
      <c r="D27" s="65"/>
      <c r="E27" s="64">
        <f>K27-H27</f>
        <v>-7.2444999999999595</v>
      </c>
      <c r="F27" s="66"/>
      <c r="G27" s="64">
        <f t="shared" ref="G27:S27" si="3">SUM(G17:G20)+SUM(G25:G26)</f>
        <v>81.04782000000003</v>
      </c>
      <c r="H27" s="64">
        <f t="shared" si="3"/>
        <v>85.122809999999973</v>
      </c>
      <c r="I27" s="64">
        <f t="shared" si="3"/>
        <v>94.518139999999988</v>
      </c>
      <c r="J27" s="64">
        <f t="shared" si="3"/>
        <v>88.292349999999971</v>
      </c>
      <c r="K27" s="64">
        <f t="shared" si="3"/>
        <v>77.878310000000013</v>
      </c>
      <c r="L27" s="64">
        <f t="shared" si="3"/>
        <v>94.518139999999988</v>
      </c>
      <c r="M27" s="64">
        <f t="shared" si="3"/>
        <v>104.93201000000008</v>
      </c>
      <c r="N27" s="64">
        <f t="shared" si="3"/>
        <v>59.201109999999971</v>
      </c>
      <c r="O27" s="64">
        <f t="shared" si="3"/>
        <v>102.78120000000008</v>
      </c>
      <c r="P27" s="64">
        <f t="shared" si="3"/>
        <v>117.27016999999995</v>
      </c>
      <c r="Q27" s="64">
        <f t="shared" si="3"/>
        <v>124.62789999999998</v>
      </c>
      <c r="R27" s="64">
        <f t="shared" si="3"/>
        <v>101.76247000000002</v>
      </c>
      <c r="S27" s="67">
        <f t="shared" si="3"/>
        <v>1131.9524299999996</v>
      </c>
    </row>
    <row r="28" spans="1:19" ht="15">
      <c r="A28" s="63" t="s">
        <v>64</v>
      </c>
      <c r="B28" s="58"/>
      <c r="C28" s="70"/>
      <c r="D28" s="71"/>
      <c r="E28" s="70"/>
      <c r="F28" s="72"/>
      <c r="G28" s="70">
        <v>43.234290000000001</v>
      </c>
      <c r="H28" s="70">
        <v>43.997920000000001</v>
      </c>
      <c r="I28" s="70">
        <v>45.758519999999997</v>
      </c>
      <c r="J28" s="70">
        <v>44.591859999999997</v>
      </c>
      <c r="K28" s="70">
        <v>42.640349999999998</v>
      </c>
      <c r="L28" s="70">
        <v>45.758519999999997</v>
      </c>
      <c r="M28" s="70">
        <v>47.710030000000003</v>
      </c>
      <c r="N28" s="70">
        <v>39.140360000000001</v>
      </c>
      <c r="O28" s="70">
        <v>47.307000000000002</v>
      </c>
      <c r="P28" s="70">
        <v>50.02214</v>
      </c>
      <c r="Q28" s="70">
        <v>51.400919999999999</v>
      </c>
      <c r="R28" s="70">
        <v>47.11609</v>
      </c>
      <c r="S28" s="73">
        <v>548.678</v>
      </c>
    </row>
    <row r="29" spans="1:19" ht="15">
      <c r="A29" s="63" t="s">
        <v>65</v>
      </c>
      <c r="B29" s="58"/>
      <c r="C29" s="70"/>
      <c r="D29" s="71"/>
      <c r="E29" s="70"/>
      <c r="F29" s="72"/>
      <c r="G29" s="70">
        <f>425.57325-SUM(373.63406,0,6.95952,43.23429)</f>
        <v>1.7453800000000115</v>
      </c>
      <c r="H29" s="70">
        <f>445.5606-SUM(392.4201,0,7.30944,43.99792)</f>
        <v>1.8331400000000144</v>
      </c>
      <c r="I29" s="70">
        <f>491.6426-SUM(435.7324,0,8.1162,45.75852)</f>
        <v>2.0354800000000637</v>
      </c>
      <c r="J29" s="70">
        <f>461.10634-SUM(407.03147,0,7.5816,44.59186)</f>
        <v>1.9014099999999985</v>
      </c>
      <c r="K29" s="70">
        <f>410.0275-SUM(359.02266,0,6.68736,42.64035)</f>
        <v>1.6771299999999769</v>
      </c>
      <c r="L29" s="70">
        <f>491.6426-SUM(435.7324,0,8.1162,45.75852)</f>
        <v>2.0354800000000637</v>
      </c>
      <c r="M29" s="70">
        <f>542.7215-SUM(483.74125,0,9.01044,47.71003)</f>
        <v>2.2597799999999779</v>
      </c>
      <c r="N29" s="70">
        <f>318.41866-SUM(272.91984,0,5.08356,39.14036)</f>
        <v>1.2749000000000024</v>
      </c>
      <c r="O29" s="70">
        <f>532.17256-SUM(473.82638,0,8.82576,47.307)</f>
        <v>2.2134200000000419</v>
      </c>
      <c r="P29" s="70">
        <f>603.2388-SUM(540.6213,0,10.06992,50.02214)</f>
        <v>2.5254399999998896</v>
      </c>
      <c r="Q29" s="70">
        <f>639.32725-SUM(574.5406,0,10.70172,51.40092)</f>
        <v>2.6840099999999438</v>
      </c>
      <c r="R29" s="70">
        <f>527.17575-SUM(469.12988,0,8.73828,47.11609)</f>
        <v>2.1915000000000191</v>
      </c>
      <c r="S29" s="73">
        <f>5888.60741-SUM(5218.35234,0,97.2,548.678)</f>
        <v>24.377069999999549</v>
      </c>
    </row>
    <row r="30" spans="1:19" ht="15">
      <c r="A30" s="63" t="s">
        <v>66</v>
      </c>
      <c r="B30" s="58"/>
      <c r="C30" s="70"/>
      <c r="D30" s="71"/>
      <c r="E30" s="70"/>
      <c r="F30" s="72"/>
      <c r="G30" s="70">
        <f t="shared" ref="G30:S30" si="4">SUM(0)</f>
        <v>0</v>
      </c>
      <c r="H30" s="70">
        <f t="shared" si="4"/>
        <v>0</v>
      </c>
      <c r="I30" s="70">
        <f t="shared" si="4"/>
        <v>0</v>
      </c>
      <c r="J30" s="70">
        <f t="shared" si="4"/>
        <v>0</v>
      </c>
      <c r="K30" s="70">
        <f t="shared" si="4"/>
        <v>0</v>
      </c>
      <c r="L30" s="70">
        <f t="shared" si="4"/>
        <v>0</v>
      </c>
      <c r="M30" s="70">
        <f t="shared" si="4"/>
        <v>0</v>
      </c>
      <c r="N30" s="70">
        <f t="shared" si="4"/>
        <v>0</v>
      </c>
      <c r="O30" s="70">
        <f t="shared" si="4"/>
        <v>0</v>
      </c>
      <c r="P30" s="70">
        <f t="shared" si="4"/>
        <v>0</v>
      </c>
      <c r="Q30" s="70">
        <f t="shared" si="4"/>
        <v>0</v>
      </c>
      <c r="R30" s="70">
        <f t="shared" si="4"/>
        <v>0</v>
      </c>
      <c r="S30" s="73">
        <f t="shared" si="4"/>
        <v>0</v>
      </c>
    </row>
    <row r="31" spans="1:19" ht="15">
      <c r="A31" s="63" t="s">
        <v>67</v>
      </c>
      <c r="B31" s="58"/>
      <c r="C31" s="70"/>
      <c r="D31" s="71"/>
      <c r="E31" s="70"/>
      <c r="F31" s="72"/>
      <c r="G31" s="70">
        <f>SUM(0,6.95952,7.38157,-12.30889)-G30</f>
        <v>2.0322000000000013</v>
      </c>
      <c r="H31" s="70">
        <f>SUM(0,7.30944,7.38157,-12.92777)-H30</f>
        <v>1.7632399999999997</v>
      </c>
      <c r="I31" s="70">
        <f>SUM(0,8.1162,7.38157,-14.35464)-I30</f>
        <v>1.1431299999999993</v>
      </c>
      <c r="J31" s="70">
        <f>SUM(0,7.5816,7.38157,-13.40912)-J30</f>
        <v>1.5540500000000002</v>
      </c>
      <c r="K31" s="70">
        <f>SUM(0,6.68736,7.38157,-11.82753)-K30</f>
        <v>2.2414000000000005</v>
      </c>
      <c r="L31" s="70">
        <f>SUM(0,8.1162,7.38157,-14.35464)-L30</f>
        <v>1.1431299999999993</v>
      </c>
      <c r="M31" s="70">
        <f>SUM(0,9.01044,7.38157,-15.93623)-M30</f>
        <v>0.45577999999999896</v>
      </c>
      <c r="N31" s="70">
        <f>SUM(0,5.08356,7.38157,-8.99099)-N30</f>
        <v>3.4741400000000002</v>
      </c>
      <c r="O31" s="70">
        <f>SUM(0,8.82576,7.38157,-15.60959)-O30</f>
        <v>0.59773999999999816</v>
      </c>
      <c r="P31" s="70">
        <f>SUM(0,10.06992,7.38157,-17.81006)-P30</f>
        <v>-0.35857000000000028</v>
      </c>
      <c r="Q31" s="70">
        <f>SUM(0,10.70172,7.38157,-18.92749)-Q30</f>
        <v>-0.84420000000000073</v>
      </c>
      <c r="R31" s="70">
        <f>SUM(0,8.73828,7.38157,-15.45487)-R30</f>
        <v>0.6649799999999999</v>
      </c>
      <c r="S31" s="73">
        <f>SUM(0,97.2,88.57884,-171.91182)-S30</f>
        <v>13.867019999999997</v>
      </c>
    </row>
    <row r="32" spans="1:19" hidden="1" outlineLevel="1">
      <c r="A32" s="75" t="s">
        <v>68</v>
      </c>
      <c r="B32" s="69"/>
      <c r="C32" s="70"/>
      <c r="D32" s="71"/>
      <c r="E32" s="70"/>
      <c r="F32" s="72"/>
      <c r="G32" s="76">
        <f t="shared" ref="G32:S32" si="5">SUM(0)</f>
        <v>0</v>
      </c>
      <c r="H32" s="76">
        <f t="shared" si="5"/>
        <v>0</v>
      </c>
      <c r="I32" s="76">
        <f t="shared" si="5"/>
        <v>0</v>
      </c>
      <c r="J32" s="76">
        <f t="shared" si="5"/>
        <v>0</v>
      </c>
      <c r="K32" s="76">
        <f t="shared" si="5"/>
        <v>0</v>
      </c>
      <c r="L32" s="76">
        <f t="shared" si="5"/>
        <v>0</v>
      </c>
      <c r="M32" s="76">
        <f t="shared" si="5"/>
        <v>0</v>
      </c>
      <c r="N32" s="76">
        <f t="shared" si="5"/>
        <v>0</v>
      </c>
      <c r="O32" s="76">
        <f t="shared" si="5"/>
        <v>0</v>
      </c>
      <c r="P32" s="76">
        <f t="shared" si="5"/>
        <v>0</v>
      </c>
      <c r="Q32" s="76">
        <f t="shared" si="5"/>
        <v>0</v>
      </c>
      <c r="R32" s="76">
        <f t="shared" si="5"/>
        <v>0</v>
      </c>
      <c r="S32" s="77">
        <f t="shared" si="5"/>
        <v>0</v>
      </c>
    </row>
    <row r="33" spans="1:19" hidden="1" outlineLevel="1">
      <c r="A33" s="75" t="s">
        <v>69</v>
      </c>
      <c r="B33" s="69"/>
      <c r="C33" s="70"/>
      <c r="D33" s="71"/>
      <c r="E33" s="70"/>
      <c r="F33" s="72"/>
      <c r="G33" s="76">
        <f>SUM(6.95952)</f>
        <v>6.9595200000000004</v>
      </c>
      <c r="H33" s="76">
        <f>SUM(7.30944)</f>
        <v>7.3094400000000004</v>
      </c>
      <c r="I33" s="76">
        <f>SUM(8.1162)</f>
        <v>8.1161999999999992</v>
      </c>
      <c r="J33" s="76">
        <f>SUM(7.5816)</f>
        <v>7.5815999999999999</v>
      </c>
      <c r="K33" s="76">
        <f>SUM(6.68736)</f>
        <v>6.68736</v>
      </c>
      <c r="L33" s="76">
        <f>SUM(8.1162)</f>
        <v>8.1161999999999992</v>
      </c>
      <c r="M33" s="76">
        <f>SUM(9.01044)</f>
        <v>9.0104399999999991</v>
      </c>
      <c r="N33" s="76">
        <f>SUM(5.08356)</f>
        <v>5.0835600000000003</v>
      </c>
      <c r="O33" s="76">
        <f>SUM(8.82576)</f>
        <v>8.8257600000000007</v>
      </c>
      <c r="P33" s="76">
        <f>SUM(10.06992)</f>
        <v>10.06992</v>
      </c>
      <c r="Q33" s="76">
        <f>SUM(10.70172)</f>
        <v>10.70172</v>
      </c>
      <c r="R33" s="76">
        <f>SUM(8.73828)</f>
        <v>8.7382799999999996</v>
      </c>
      <c r="S33" s="77">
        <f>SUM(97.2)</f>
        <v>97.2</v>
      </c>
    </row>
    <row r="34" spans="1:19" hidden="1" outlineLevel="1">
      <c r="A34" s="75" t="s">
        <v>70</v>
      </c>
      <c r="B34" s="69"/>
      <c r="C34" s="70"/>
      <c r="D34" s="71"/>
      <c r="E34" s="70"/>
      <c r="F34" s="72"/>
      <c r="G34" s="76">
        <f t="shared" ref="G34:R34" si="6">SUM(7.38157)</f>
        <v>7.38157</v>
      </c>
      <c r="H34" s="76">
        <f t="shared" si="6"/>
        <v>7.38157</v>
      </c>
      <c r="I34" s="76">
        <f t="shared" si="6"/>
        <v>7.38157</v>
      </c>
      <c r="J34" s="76">
        <f t="shared" si="6"/>
        <v>7.38157</v>
      </c>
      <c r="K34" s="76">
        <f t="shared" si="6"/>
        <v>7.38157</v>
      </c>
      <c r="L34" s="76">
        <f t="shared" si="6"/>
        <v>7.38157</v>
      </c>
      <c r="M34" s="76">
        <f t="shared" si="6"/>
        <v>7.38157</v>
      </c>
      <c r="N34" s="76">
        <f t="shared" si="6"/>
        <v>7.38157</v>
      </c>
      <c r="O34" s="76">
        <f t="shared" si="6"/>
        <v>7.38157</v>
      </c>
      <c r="P34" s="76">
        <f t="shared" si="6"/>
        <v>7.38157</v>
      </c>
      <c r="Q34" s="76">
        <f t="shared" si="6"/>
        <v>7.38157</v>
      </c>
      <c r="R34" s="76">
        <f t="shared" si="6"/>
        <v>7.38157</v>
      </c>
      <c r="S34" s="77">
        <f>SUM(88.57884)</f>
        <v>88.57884</v>
      </c>
    </row>
    <row r="35" spans="1:19" hidden="1" outlineLevel="1">
      <c r="A35" s="75" t="s">
        <v>71</v>
      </c>
      <c r="B35" s="69"/>
      <c r="C35" s="70"/>
      <c r="D35" s="71"/>
      <c r="E35" s="70"/>
      <c r="F35" s="72"/>
      <c r="G35" s="76">
        <f t="shared" ref="G35:R35" si="7">SUM(4.1399)</f>
        <v>4.1398999999999999</v>
      </c>
      <c r="H35" s="76">
        <f t="shared" si="7"/>
        <v>4.1398999999999999</v>
      </c>
      <c r="I35" s="76">
        <f t="shared" si="7"/>
        <v>4.1398999999999999</v>
      </c>
      <c r="J35" s="76">
        <f t="shared" si="7"/>
        <v>4.1398999999999999</v>
      </c>
      <c r="K35" s="76">
        <f t="shared" si="7"/>
        <v>4.1398999999999999</v>
      </c>
      <c r="L35" s="76">
        <f t="shared" si="7"/>
        <v>4.1398999999999999</v>
      </c>
      <c r="M35" s="76">
        <f t="shared" si="7"/>
        <v>4.1398999999999999</v>
      </c>
      <c r="N35" s="76">
        <f t="shared" si="7"/>
        <v>4.1398999999999999</v>
      </c>
      <c r="O35" s="76">
        <f t="shared" si="7"/>
        <v>4.1398999999999999</v>
      </c>
      <c r="P35" s="76">
        <f t="shared" si="7"/>
        <v>4.1398999999999999</v>
      </c>
      <c r="Q35" s="76">
        <f t="shared" si="7"/>
        <v>4.1398999999999999</v>
      </c>
      <c r="R35" s="76">
        <f t="shared" si="7"/>
        <v>4.1398999999999999</v>
      </c>
      <c r="S35" s="77">
        <f>SUM(49.6788)</f>
        <v>49.678800000000003</v>
      </c>
    </row>
    <row r="36" spans="1:19" hidden="1" outlineLevel="1">
      <c r="A36" s="75" t="s">
        <v>72</v>
      </c>
      <c r="B36" s="69"/>
      <c r="C36" s="70"/>
      <c r="D36" s="71"/>
      <c r="E36" s="70"/>
      <c r="F36" s="72"/>
      <c r="G36" s="76">
        <f t="shared" ref="G36:R36" si="8">SUM(2.66667)</f>
        <v>2.6666699999999999</v>
      </c>
      <c r="H36" s="76">
        <f t="shared" si="8"/>
        <v>2.6666699999999999</v>
      </c>
      <c r="I36" s="76">
        <f t="shared" si="8"/>
        <v>2.6666699999999999</v>
      </c>
      <c r="J36" s="76">
        <f t="shared" si="8"/>
        <v>2.6666699999999999</v>
      </c>
      <c r="K36" s="76">
        <f t="shared" si="8"/>
        <v>2.6666699999999999</v>
      </c>
      <c r="L36" s="76">
        <f t="shared" si="8"/>
        <v>2.6666699999999999</v>
      </c>
      <c r="M36" s="76">
        <f t="shared" si="8"/>
        <v>2.6666699999999999</v>
      </c>
      <c r="N36" s="76">
        <f t="shared" si="8"/>
        <v>2.6666699999999999</v>
      </c>
      <c r="O36" s="76">
        <f t="shared" si="8"/>
        <v>2.6666699999999999</v>
      </c>
      <c r="P36" s="76">
        <f t="shared" si="8"/>
        <v>2.6666699999999999</v>
      </c>
      <c r="Q36" s="76">
        <f t="shared" si="8"/>
        <v>2.6666699999999999</v>
      </c>
      <c r="R36" s="76">
        <f t="shared" si="8"/>
        <v>2.6666699999999999</v>
      </c>
      <c r="S36" s="77">
        <f>SUM(32.00004)</f>
        <v>32.000039999999998</v>
      </c>
    </row>
    <row r="37" spans="1:19" hidden="1" outlineLevel="1">
      <c r="A37" s="75" t="s">
        <v>73</v>
      </c>
      <c r="B37" s="69"/>
      <c r="C37" s="70"/>
      <c r="D37" s="71"/>
      <c r="E37" s="70"/>
      <c r="F37" s="72"/>
      <c r="G37" s="76">
        <f t="shared" ref="G37:S37" si="9">SUM(0)</f>
        <v>0</v>
      </c>
      <c r="H37" s="76">
        <f t="shared" si="9"/>
        <v>0</v>
      </c>
      <c r="I37" s="76">
        <f t="shared" si="9"/>
        <v>0</v>
      </c>
      <c r="J37" s="76">
        <f t="shared" si="9"/>
        <v>0</v>
      </c>
      <c r="K37" s="76">
        <f t="shared" si="9"/>
        <v>0</v>
      </c>
      <c r="L37" s="76">
        <f t="shared" si="9"/>
        <v>0</v>
      </c>
      <c r="M37" s="76">
        <f t="shared" si="9"/>
        <v>0</v>
      </c>
      <c r="N37" s="76">
        <f t="shared" si="9"/>
        <v>0</v>
      </c>
      <c r="O37" s="76">
        <f t="shared" si="9"/>
        <v>0</v>
      </c>
      <c r="P37" s="76">
        <f t="shared" si="9"/>
        <v>0</v>
      </c>
      <c r="Q37" s="76">
        <f t="shared" si="9"/>
        <v>0</v>
      </c>
      <c r="R37" s="76">
        <f t="shared" si="9"/>
        <v>0</v>
      </c>
      <c r="S37" s="77">
        <f t="shared" si="9"/>
        <v>0</v>
      </c>
    </row>
    <row r="38" spans="1:19" hidden="1" outlineLevel="1">
      <c r="A38" s="75" t="s">
        <v>74</v>
      </c>
      <c r="B38" s="69"/>
      <c r="C38" s="70"/>
      <c r="D38" s="71"/>
      <c r="E38" s="70"/>
      <c r="F38" s="72"/>
      <c r="G38" s="76">
        <f t="shared" ref="G38:R38" si="10">SUM(0.25)</f>
        <v>0.25</v>
      </c>
      <c r="H38" s="76">
        <f t="shared" si="10"/>
        <v>0.25</v>
      </c>
      <c r="I38" s="76">
        <f t="shared" si="10"/>
        <v>0.25</v>
      </c>
      <c r="J38" s="76">
        <f t="shared" si="10"/>
        <v>0.25</v>
      </c>
      <c r="K38" s="76">
        <f t="shared" si="10"/>
        <v>0.25</v>
      </c>
      <c r="L38" s="76">
        <f t="shared" si="10"/>
        <v>0.25</v>
      </c>
      <c r="M38" s="76">
        <f t="shared" si="10"/>
        <v>0.25</v>
      </c>
      <c r="N38" s="76">
        <f t="shared" si="10"/>
        <v>0.25</v>
      </c>
      <c r="O38" s="76">
        <f t="shared" si="10"/>
        <v>0.25</v>
      </c>
      <c r="P38" s="76">
        <f t="shared" si="10"/>
        <v>0.25</v>
      </c>
      <c r="Q38" s="76">
        <f t="shared" si="10"/>
        <v>0.25</v>
      </c>
      <c r="R38" s="76">
        <f t="shared" si="10"/>
        <v>0.25</v>
      </c>
      <c r="S38" s="77">
        <f>SUM(3)</f>
        <v>3</v>
      </c>
    </row>
    <row r="39" spans="1:19" hidden="1" outlineLevel="1">
      <c r="A39" s="75" t="s">
        <v>75</v>
      </c>
      <c r="B39" s="69"/>
      <c r="C39" s="70"/>
      <c r="D39" s="71"/>
      <c r="E39" s="70"/>
      <c r="F39" s="72"/>
      <c r="G39" s="76">
        <f>SUM(-12.30889)-G30</f>
        <v>-12.30889</v>
      </c>
      <c r="H39" s="76">
        <f>SUM(-12.92777)-H30</f>
        <v>-12.927770000000001</v>
      </c>
      <c r="I39" s="76">
        <f>SUM(-14.35464)-I30</f>
        <v>-14.35464</v>
      </c>
      <c r="J39" s="76">
        <f>SUM(-13.40912)-J30</f>
        <v>-13.40912</v>
      </c>
      <c r="K39" s="76">
        <f>SUM(-11.82753)-K30</f>
        <v>-11.827529999999999</v>
      </c>
      <c r="L39" s="76">
        <f>SUM(-14.35464)-L30</f>
        <v>-14.35464</v>
      </c>
      <c r="M39" s="76">
        <f>SUM(-15.93623)-M30</f>
        <v>-15.93623</v>
      </c>
      <c r="N39" s="76">
        <f>SUM(-8.99099)-N30</f>
        <v>-8.99099</v>
      </c>
      <c r="O39" s="76">
        <f>SUM(-15.60959)-O30</f>
        <v>-15.609590000000001</v>
      </c>
      <c r="P39" s="76">
        <f>SUM(-17.81006)-P30</f>
        <v>-17.81006</v>
      </c>
      <c r="Q39" s="76">
        <f>SUM(-18.92749)-Q30</f>
        <v>-18.927489999999999</v>
      </c>
      <c r="R39" s="76">
        <f>SUM(-15.45487)-R30</f>
        <v>-15.45487</v>
      </c>
      <c r="S39" s="77">
        <f>SUM(-171.91182)-S30</f>
        <v>-171.91182000000001</v>
      </c>
    </row>
    <row r="40" spans="1:19" ht="16" collapsed="1" thickBot="1">
      <c r="A40" s="78" t="s">
        <v>76</v>
      </c>
      <c r="B40" s="58"/>
      <c r="C40" s="79">
        <f>J40-G40</f>
        <v>6.2090799999999575</v>
      </c>
      <c r="D40" s="80"/>
      <c r="E40" s="79">
        <f>K40-H40</f>
        <v>-6.2090799999999149</v>
      </c>
      <c r="F40" s="81"/>
      <c r="G40" s="79">
        <f t="shared" ref="G40:S40" si="11">G27-G28-G29-G30-G31</f>
        <v>34.035950000000014</v>
      </c>
      <c r="H40" s="79">
        <f t="shared" si="11"/>
        <v>37.528509999999955</v>
      </c>
      <c r="I40" s="79">
        <f t="shared" si="11"/>
        <v>45.581009999999928</v>
      </c>
      <c r="J40" s="79">
        <f t="shared" si="11"/>
        <v>40.245029999999971</v>
      </c>
      <c r="K40" s="79">
        <f t="shared" si="11"/>
        <v>31.31943000000004</v>
      </c>
      <c r="L40" s="79">
        <f t="shared" si="11"/>
        <v>45.581009999999928</v>
      </c>
      <c r="M40" s="79">
        <f t="shared" si="11"/>
        <v>54.506420000000098</v>
      </c>
      <c r="N40" s="79">
        <f t="shared" si="11"/>
        <v>15.311709999999968</v>
      </c>
      <c r="O40" s="79">
        <f t="shared" si="11"/>
        <v>52.663040000000038</v>
      </c>
      <c r="P40" s="79">
        <f t="shared" si="11"/>
        <v>65.081160000000054</v>
      </c>
      <c r="Q40" s="79">
        <f t="shared" si="11"/>
        <v>71.38717000000004</v>
      </c>
      <c r="R40" s="79">
        <f t="shared" si="11"/>
        <v>51.789900000000003</v>
      </c>
      <c r="S40" s="82">
        <f t="shared" si="11"/>
        <v>545.03034000000002</v>
      </c>
    </row>
    <row r="41" spans="1:19" ht="16" thickTop="1">
      <c r="A41" s="83" t="s">
        <v>77</v>
      </c>
      <c r="B41" s="83"/>
      <c r="C41" s="84"/>
      <c r="D41" s="186"/>
      <c r="E41" s="84"/>
      <c r="F41" s="186"/>
      <c r="G41" s="84">
        <f t="shared" ref="G41:S41" si="12">-G13/G8</f>
        <v>7.6809017776447691E-2</v>
      </c>
      <c r="H41" s="84">
        <f t="shared" si="12"/>
        <v>7.6809000134299921E-2</v>
      </c>
      <c r="I41" s="84">
        <f t="shared" si="12"/>
        <v>7.6808986965373249E-2</v>
      </c>
      <c r="J41" s="84">
        <f t="shared" si="12"/>
        <v>7.6808990878964659E-2</v>
      </c>
      <c r="K41" s="84">
        <f t="shared" si="12"/>
        <v>7.6809010214004492E-2</v>
      </c>
      <c r="L41" s="84">
        <f t="shared" si="12"/>
        <v>7.6808986965373249E-2</v>
      </c>
      <c r="M41" s="84">
        <f t="shared" si="12"/>
        <v>7.6808992069493959E-2</v>
      </c>
      <c r="N41" s="84">
        <f t="shared" si="12"/>
        <v>7.6809008415888225E-2</v>
      </c>
      <c r="O41" s="84">
        <f t="shared" si="12"/>
        <v>7.6808991881026537E-2</v>
      </c>
      <c r="P41" s="84">
        <f t="shared" si="12"/>
        <v>7.6808996900430582E-2</v>
      </c>
      <c r="Q41" s="84">
        <f t="shared" si="12"/>
        <v>7.6809000866847582E-2</v>
      </c>
      <c r="R41" s="84">
        <f t="shared" si="12"/>
        <v>7.6809000226031279E-2</v>
      </c>
      <c r="S41" s="85">
        <f t="shared" si="12"/>
        <v>7.6808997859828101E-2</v>
      </c>
    </row>
    <row r="42" spans="1:19" ht="16" thickBot="1">
      <c r="A42" s="37"/>
      <c r="B42" s="83"/>
      <c r="C42" s="86"/>
      <c r="D42" s="37"/>
      <c r="E42" s="86"/>
      <c r="F42" s="37"/>
      <c r="G42" s="87"/>
      <c r="H42" s="87"/>
      <c r="I42" s="87"/>
      <c r="J42" s="87"/>
      <c r="K42" s="87"/>
      <c r="L42" s="87"/>
      <c r="M42" s="87"/>
      <c r="N42" s="87"/>
      <c r="O42" s="87"/>
      <c r="P42" s="87"/>
      <c r="Q42" s="87"/>
      <c r="R42" s="87"/>
      <c r="S42" s="88"/>
    </row>
    <row r="43" spans="1:19" ht="17" thickTop="1" thickBot="1">
      <c r="A43" s="52" t="s">
        <v>78</v>
      </c>
      <c r="B43" s="53"/>
      <c r="C43" s="89"/>
      <c r="D43" s="55"/>
      <c r="E43" s="90"/>
      <c r="F43" s="55"/>
      <c r="G43" s="89"/>
      <c r="H43" s="89"/>
      <c r="I43" s="89"/>
      <c r="J43" s="89"/>
      <c r="K43" s="89"/>
      <c r="L43" s="89"/>
      <c r="M43" s="89"/>
      <c r="N43" s="89"/>
      <c r="O43" s="89"/>
      <c r="P43" s="89"/>
      <c r="Q43" s="89"/>
      <c r="R43" s="89"/>
      <c r="S43" s="91"/>
    </row>
    <row r="44" spans="1:19" ht="13" thickTop="1">
      <c r="A44" s="92" t="s">
        <v>79</v>
      </c>
      <c r="B44" s="69"/>
      <c r="C44" s="93"/>
      <c r="D44" s="94"/>
      <c r="E44" s="93"/>
      <c r="F44" s="95"/>
      <c r="G44" s="93">
        <v>41</v>
      </c>
      <c r="H44" s="93">
        <v>42</v>
      </c>
      <c r="I44" s="93">
        <v>45</v>
      </c>
      <c r="J44" s="93">
        <v>50</v>
      </c>
      <c r="K44" s="93">
        <v>35</v>
      </c>
      <c r="L44" s="93">
        <v>45</v>
      </c>
      <c r="M44" s="93">
        <v>44</v>
      </c>
      <c r="N44" s="93">
        <v>39</v>
      </c>
      <c r="O44" s="93">
        <v>45</v>
      </c>
      <c r="P44" s="93">
        <v>45</v>
      </c>
      <c r="Q44" s="93">
        <v>45</v>
      </c>
      <c r="R44" s="93">
        <v>44</v>
      </c>
      <c r="S44" s="96">
        <v>520</v>
      </c>
    </row>
    <row r="45" spans="1:19">
      <c r="A45" s="68" t="s">
        <v>80</v>
      </c>
      <c r="B45" s="69"/>
      <c r="C45" s="97"/>
      <c r="D45" s="98"/>
      <c r="E45" s="97"/>
      <c r="F45" s="99"/>
      <c r="G45" s="97">
        <v>25</v>
      </c>
      <c r="H45" s="97">
        <v>26</v>
      </c>
      <c r="I45" s="97">
        <v>28</v>
      </c>
      <c r="J45" s="97">
        <v>31</v>
      </c>
      <c r="K45" s="97">
        <v>21</v>
      </c>
      <c r="L45" s="97">
        <v>28</v>
      </c>
      <c r="M45" s="97">
        <v>27</v>
      </c>
      <c r="N45" s="97">
        <v>24</v>
      </c>
      <c r="O45" s="97">
        <v>27</v>
      </c>
      <c r="P45" s="97">
        <v>28</v>
      </c>
      <c r="Q45" s="97">
        <v>28</v>
      </c>
      <c r="R45" s="97">
        <v>27</v>
      </c>
      <c r="S45" s="73">
        <v>320</v>
      </c>
    </row>
    <row r="46" spans="1:19" ht="15">
      <c r="A46" s="100" t="s">
        <v>81</v>
      </c>
      <c r="B46" s="58"/>
      <c r="C46" s="101">
        <f>J46-G46</f>
        <v>15</v>
      </c>
      <c r="D46" s="102" t="s">
        <v>82</v>
      </c>
      <c r="E46" s="101">
        <f>K46-H46</f>
        <v>-12</v>
      </c>
      <c r="F46" s="103" t="s">
        <v>82</v>
      </c>
      <c r="G46" s="101">
        <f t="shared" ref="G46:S46" si="13">SUM(G44:G45)</f>
        <v>66</v>
      </c>
      <c r="H46" s="101">
        <f t="shared" si="13"/>
        <v>68</v>
      </c>
      <c r="I46" s="101">
        <f t="shared" si="13"/>
        <v>73</v>
      </c>
      <c r="J46" s="101">
        <f t="shared" si="13"/>
        <v>81</v>
      </c>
      <c r="K46" s="101">
        <f t="shared" si="13"/>
        <v>56</v>
      </c>
      <c r="L46" s="101">
        <f t="shared" si="13"/>
        <v>73</v>
      </c>
      <c r="M46" s="101">
        <f t="shared" si="13"/>
        <v>71</v>
      </c>
      <c r="N46" s="101">
        <f t="shared" si="13"/>
        <v>63</v>
      </c>
      <c r="O46" s="101">
        <f t="shared" si="13"/>
        <v>72</v>
      </c>
      <c r="P46" s="101">
        <f t="shared" si="13"/>
        <v>73</v>
      </c>
      <c r="Q46" s="101">
        <f t="shared" si="13"/>
        <v>73</v>
      </c>
      <c r="R46" s="101">
        <f t="shared" si="13"/>
        <v>71</v>
      </c>
      <c r="S46" s="104">
        <f t="shared" si="13"/>
        <v>840</v>
      </c>
    </row>
    <row r="47" spans="1:19" ht="15">
      <c r="A47" s="63" t="s">
        <v>44</v>
      </c>
      <c r="B47" s="58"/>
      <c r="C47" s="105"/>
      <c r="D47" s="106"/>
      <c r="E47" s="105"/>
      <c r="F47" s="107"/>
      <c r="G47" s="105">
        <f>SUM(569.58314,0)</f>
        <v>569.58313999999996</v>
      </c>
      <c r="H47" s="105">
        <f>SUM(586.84324,0)</f>
        <v>586.84324000000004</v>
      </c>
      <c r="I47" s="105">
        <f>SUM(629.99348,0)</f>
        <v>629.99347999999998</v>
      </c>
      <c r="J47" s="105">
        <f>SUM(699.03386,0)</f>
        <v>699.03386</v>
      </c>
      <c r="K47" s="105">
        <f>SUM(483.28267,0)</f>
        <v>483.28267</v>
      </c>
      <c r="L47" s="105">
        <f>SUM(629.99348,0)</f>
        <v>629.99347999999998</v>
      </c>
      <c r="M47" s="105">
        <f>SUM(612.73338,0)</f>
        <v>612.73338000000001</v>
      </c>
      <c r="N47" s="105">
        <f>SUM(543.693,0)</f>
        <v>543.69299999999998</v>
      </c>
      <c r="O47" s="105">
        <f>SUM(621.36343,0)</f>
        <v>621.36342999999999</v>
      </c>
      <c r="P47" s="105">
        <f>SUM(629.99348,0)</f>
        <v>629.99347999999998</v>
      </c>
      <c r="Q47" s="105">
        <f>SUM(629.99348,0)</f>
        <v>629.99347999999998</v>
      </c>
      <c r="R47" s="105">
        <f>SUM(612.73338,0)</f>
        <v>612.73338000000001</v>
      </c>
      <c r="S47" s="67">
        <f>SUM(7249.24002,0)</f>
        <v>7249.2400200000002</v>
      </c>
    </row>
    <row r="48" spans="1:19" ht="15">
      <c r="A48" s="63" t="s">
        <v>83</v>
      </c>
      <c r="B48" s="58"/>
      <c r="C48" s="105"/>
      <c r="D48" s="65"/>
      <c r="E48" s="105"/>
      <c r="F48" s="66"/>
      <c r="G48" s="105">
        <f>SUM(510.06371)</f>
        <v>510.06371000000001</v>
      </c>
      <c r="H48" s="105">
        <f>SUM(525.52019)</f>
        <v>525.52018999999996</v>
      </c>
      <c r="I48" s="105">
        <f>SUM(564.16138)</f>
        <v>564.16138000000001</v>
      </c>
      <c r="J48" s="105">
        <f>SUM(625.98729)</f>
        <v>625.98729000000003</v>
      </c>
      <c r="K48" s="105">
        <f>SUM(432.78133)</f>
        <v>432.78133000000003</v>
      </c>
      <c r="L48" s="105">
        <f>SUM(564.16138)</f>
        <v>564.16138000000001</v>
      </c>
      <c r="M48" s="105">
        <f>SUM(548.7049)</f>
        <v>548.70489999999995</v>
      </c>
      <c r="N48" s="105">
        <f>SUM(486.879)</f>
        <v>486.87900000000002</v>
      </c>
      <c r="O48" s="105">
        <f>SUM(556.43314)</f>
        <v>556.43313999999998</v>
      </c>
      <c r="P48" s="105">
        <f>SUM(564.16138)</f>
        <v>564.16138000000001</v>
      </c>
      <c r="Q48" s="105">
        <f>SUM(564.16138)</f>
        <v>564.16138000000001</v>
      </c>
      <c r="R48" s="105">
        <f>SUM(548.7049)</f>
        <v>548.70489999999995</v>
      </c>
      <c r="S48" s="67">
        <f>SUM(6491.71998)</f>
        <v>6491.7199799999999</v>
      </c>
    </row>
    <row r="49" spans="1:19" s="194" customFormat="1" ht="15">
      <c r="A49" s="187" t="s">
        <v>84</v>
      </c>
      <c r="B49" s="188"/>
      <c r="C49" s="189"/>
      <c r="D49" s="190"/>
      <c r="E49" s="189"/>
      <c r="F49" s="191"/>
      <c r="G49" s="192">
        <f>SUM(569.5831)-SUM(510.06371)</f>
        <v>59.51938999999993</v>
      </c>
      <c r="H49" s="192">
        <f>SUM(586.84325)-SUM(525.52019)</f>
        <v>61.323060000000055</v>
      </c>
      <c r="I49" s="192">
        <f>SUM(629.9935)-SUM(564.16138)</f>
        <v>65.832120000000032</v>
      </c>
      <c r="J49" s="192">
        <f>SUM(699.0339)-SUM(625.98729)</f>
        <v>73.046609999999987</v>
      </c>
      <c r="K49" s="192">
        <f>SUM(483.28266)-SUM(432.78133)</f>
        <v>50.501329999999996</v>
      </c>
      <c r="L49" s="192">
        <f>SUM(629.9935)-SUM(564.16138)</f>
        <v>65.832120000000032</v>
      </c>
      <c r="M49" s="192">
        <f>SUM(612.7334)-SUM(548.7049)</f>
        <v>64.028500000000008</v>
      </c>
      <c r="N49" s="192">
        <f>SUM(543.693)-SUM(486.879)</f>
        <v>56.813999999999965</v>
      </c>
      <c r="O49" s="192">
        <f>SUM(621.36344)-SUM(556.43314)</f>
        <v>64.930299999999988</v>
      </c>
      <c r="P49" s="192">
        <f>SUM(629.9935)-SUM(564.16138)</f>
        <v>65.832120000000032</v>
      </c>
      <c r="Q49" s="192">
        <f>SUM(629.9935)-SUM(564.16138)</f>
        <v>65.832120000000032</v>
      </c>
      <c r="R49" s="192">
        <f>SUM(612.7334)-SUM(548.7049)</f>
        <v>64.028500000000008</v>
      </c>
      <c r="S49" s="193">
        <f>SUM(7249.24015)-SUM(6491.71998)</f>
        <v>757.52016999999978</v>
      </c>
    </row>
    <row r="50" spans="1:19" ht="15">
      <c r="A50" s="63" t="s">
        <v>85</v>
      </c>
      <c r="B50" s="58"/>
      <c r="C50" s="105"/>
      <c r="D50" s="65"/>
      <c r="E50" s="105"/>
      <c r="F50" s="66"/>
      <c r="G50" s="105">
        <f>SUM(25.74)</f>
        <v>25.74</v>
      </c>
      <c r="H50" s="105">
        <f>SUM(26.52)</f>
        <v>26.52</v>
      </c>
      <c r="I50" s="105">
        <f>SUM(28.47)</f>
        <v>28.47</v>
      </c>
      <c r="J50" s="105">
        <f>SUM(31.59)</f>
        <v>31.59</v>
      </c>
      <c r="K50" s="105">
        <f>SUM(21.84)</f>
        <v>21.84</v>
      </c>
      <c r="L50" s="105">
        <f>SUM(28.47)</f>
        <v>28.47</v>
      </c>
      <c r="M50" s="105">
        <f>SUM(27.69)</f>
        <v>27.69</v>
      </c>
      <c r="N50" s="105">
        <f>SUM(24.57)</f>
        <v>24.57</v>
      </c>
      <c r="O50" s="105">
        <f>SUM(28.08)</f>
        <v>28.08</v>
      </c>
      <c r="P50" s="105">
        <f>SUM(28.47)</f>
        <v>28.47</v>
      </c>
      <c r="Q50" s="105">
        <f>SUM(28.47)</f>
        <v>28.47</v>
      </c>
      <c r="R50" s="105">
        <f>SUM(27.69)</f>
        <v>27.69</v>
      </c>
      <c r="S50" s="67">
        <f>SUM(327.6)</f>
        <v>327.60000000000002</v>
      </c>
    </row>
    <row r="51" spans="1:19" ht="15">
      <c r="A51" s="63" t="s">
        <v>86</v>
      </c>
      <c r="B51" s="58"/>
      <c r="C51" s="97"/>
      <c r="D51" s="71"/>
      <c r="E51" s="97"/>
      <c r="F51" s="72"/>
      <c r="G51" s="105">
        <f t="shared" ref="G51:S51" si="14">G53-G49+G50+G52</f>
        <v>3.9694080000000698</v>
      </c>
      <c r="H51" s="105">
        <f t="shared" si="14"/>
        <v>4.0896749999999429</v>
      </c>
      <c r="I51" s="105">
        <f t="shared" si="14"/>
        <v>4.3904379999999659</v>
      </c>
      <c r="J51" s="105">
        <f t="shared" si="14"/>
        <v>4.8715300000000141</v>
      </c>
      <c r="K51" s="105">
        <f t="shared" si="14"/>
        <v>3.3679790000000027</v>
      </c>
      <c r="L51" s="105">
        <f t="shared" si="14"/>
        <v>4.3904379999999659</v>
      </c>
      <c r="M51" s="105">
        <f t="shared" si="14"/>
        <v>4.2701199999999941</v>
      </c>
      <c r="N51" s="105">
        <f t="shared" si="14"/>
        <v>3.788985000000034</v>
      </c>
      <c r="O51" s="105">
        <f t="shared" si="14"/>
        <v>4.3303200000000102</v>
      </c>
      <c r="P51" s="105">
        <f t="shared" si="14"/>
        <v>4.3904379999999659</v>
      </c>
      <c r="Q51" s="105">
        <f t="shared" si="14"/>
        <v>4.3904379999999659</v>
      </c>
      <c r="R51" s="105">
        <f t="shared" si="14"/>
        <v>4.2701199999999941</v>
      </c>
      <c r="S51" s="67">
        <f t="shared" si="14"/>
        <v>50.519889000000234</v>
      </c>
    </row>
    <row r="52" spans="1:19" ht="15">
      <c r="A52" s="63" t="s">
        <v>87</v>
      </c>
      <c r="B52" s="58"/>
      <c r="C52" s="97"/>
      <c r="D52" s="71"/>
      <c r="E52" s="97"/>
      <c r="F52" s="72"/>
      <c r="G52" s="105">
        <f>SUM(6.93011)</f>
        <v>6.93011</v>
      </c>
      <c r="H52" s="105">
        <f>SUM(7.14011)</f>
        <v>7.14011</v>
      </c>
      <c r="I52" s="105">
        <f>SUM(7.66512)</f>
        <v>7.6651199999999999</v>
      </c>
      <c r="J52" s="105">
        <f>SUM(8.50514)</f>
        <v>8.5051400000000008</v>
      </c>
      <c r="K52" s="105">
        <f>SUM(5.88009)</f>
        <v>5.88009</v>
      </c>
      <c r="L52" s="105">
        <f>SUM(7.66512)</f>
        <v>7.6651199999999999</v>
      </c>
      <c r="M52" s="105">
        <f>SUM(7.45512)</f>
        <v>7.45512</v>
      </c>
      <c r="N52" s="105">
        <f>SUM(6.61511)</f>
        <v>6.6151099999999996</v>
      </c>
      <c r="O52" s="105">
        <f>SUM(7.56012)</f>
        <v>7.5601200000000004</v>
      </c>
      <c r="P52" s="105">
        <f>SUM(7.66512)</f>
        <v>7.6651199999999999</v>
      </c>
      <c r="Q52" s="105">
        <f>SUM(7.66512)</f>
        <v>7.6651199999999999</v>
      </c>
      <c r="R52" s="105">
        <f>SUM(7.45512)</f>
        <v>7.45512</v>
      </c>
      <c r="S52" s="67">
        <f>SUM(88.2014)</f>
        <v>88.201400000000007</v>
      </c>
    </row>
    <row r="53" spans="1:19">
      <c r="A53" s="68" t="s">
        <v>48</v>
      </c>
      <c r="B53" s="69"/>
      <c r="C53" s="97"/>
      <c r="D53" s="71"/>
      <c r="E53" s="97"/>
      <c r="F53" s="72"/>
      <c r="G53" s="97">
        <v>30.818688000000002</v>
      </c>
      <c r="H53" s="97">
        <v>31.752624999999998</v>
      </c>
      <c r="I53" s="97">
        <v>34.087437999999999</v>
      </c>
      <c r="J53" s="97">
        <v>37.823</v>
      </c>
      <c r="K53" s="97">
        <v>26.149218999999999</v>
      </c>
      <c r="L53" s="97">
        <v>34.087437999999999</v>
      </c>
      <c r="M53" s="97">
        <v>33.153500000000001</v>
      </c>
      <c r="N53" s="97">
        <v>29.417874999999999</v>
      </c>
      <c r="O53" s="97">
        <v>33.6205</v>
      </c>
      <c r="P53" s="97">
        <v>34.087437999999999</v>
      </c>
      <c r="Q53" s="97">
        <v>34.087437999999999</v>
      </c>
      <c r="R53" s="97">
        <v>33.153500000000001</v>
      </c>
      <c r="S53" s="73">
        <v>392.23865899999998</v>
      </c>
    </row>
    <row r="54" spans="1:19">
      <c r="A54" s="68" t="s">
        <v>56</v>
      </c>
      <c r="B54" s="69"/>
      <c r="C54" s="97"/>
      <c r="D54" s="71"/>
      <c r="E54" s="97"/>
      <c r="F54" s="72"/>
      <c r="G54" s="97">
        <f>SUM(6.6,0,0,7.07143,1.94545)</f>
        <v>15.61688</v>
      </c>
      <c r="H54" s="97">
        <f>SUM(6.8,0,0,7.28571,2.00441)</f>
        <v>16.090119999999999</v>
      </c>
      <c r="I54" s="97">
        <f>SUM(7.3,0,0,7.82143,2.15179)</f>
        <v>17.273220000000002</v>
      </c>
      <c r="J54" s="97">
        <f>SUM(8.1,0,0,8.67857,2.3876)</f>
        <v>19.166170000000001</v>
      </c>
      <c r="K54" s="97">
        <f>SUM(5.6,0,0,6,1.65069)</f>
        <v>13.250689999999999</v>
      </c>
      <c r="L54" s="97">
        <f>SUM(7.3,0,0,7.82143,2.15179)</f>
        <v>17.273220000000002</v>
      </c>
      <c r="M54" s="97">
        <f>SUM(7.1,0,0,7.60714,2.09284)</f>
        <v>16.799979999999998</v>
      </c>
      <c r="N54" s="97">
        <f>SUM(6.3,0,0,6.75,1.85702)</f>
        <v>14.907020000000001</v>
      </c>
      <c r="O54" s="97">
        <f>SUM(7.2,0,0,7.71429,2.12231)</f>
        <v>17.0366</v>
      </c>
      <c r="P54" s="97">
        <f>SUM(7.3,0,0,7.82143,2.15179)</f>
        <v>17.273220000000002</v>
      </c>
      <c r="Q54" s="97">
        <f>SUM(7.3,0,0,7.82143,2.15179)</f>
        <v>17.273220000000002</v>
      </c>
      <c r="R54" s="97">
        <f>SUM(7.1,0,0,7.60714,2.09284)</f>
        <v>16.799979999999998</v>
      </c>
      <c r="S54" s="73">
        <f>SUM(84,0,0,90,24.76032)</f>
        <v>198.76032000000001</v>
      </c>
    </row>
    <row r="55" spans="1:19" hidden="1" outlineLevel="1">
      <c r="A55" s="75" t="s">
        <v>88</v>
      </c>
      <c r="B55" s="69"/>
      <c r="C55" s="70"/>
      <c r="D55" s="71"/>
      <c r="E55" s="70"/>
      <c r="F55" s="72"/>
      <c r="G55" s="76">
        <f t="shared" ref="G55:S55" si="15">SUM(0)</f>
        <v>0</v>
      </c>
      <c r="H55" s="76">
        <f t="shared" si="15"/>
        <v>0</v>
      </c>
      <c r="I55" s="76">
        <f t="shared" si="15"/>
        <v>0</v>
      </c>
      <c r="J55" s="76">
        <f t="shared" si="15"/>
        <v>0</v>
      </c>
      <c r="K55" s="76">
        <f t="shared" si="15"/>
        <v>0</v>
      </c>
      <c r="L55" s="76">
        <f t="shared" si="15"/>
        <v>0</v>
      </c>
      <c r="M55" s="76">
        <f t="shared" si="15"/>
        <v>0</v>
      </c>
      <c r="N55" s="76">
        <f t="shared" si="15"/>
        <v>0</v>
      </c>
      <c r="O55" s="76">
        <f t="shared" si="15"/>
        <v>0</v>
      </c>
      <c r="P55" s="76">
        <f t="shared" si="15"/>
        <v>0</v>
      </c>
      <c r="Q55" s="76">
        <f t="shared" si="15"/>
        <v>0</v>
      </c>
      <c r="R55" s="76">
        <f t="shared" si="15"/>
        <v>0</v>
      </c>
      <c r="S55" s="77">
        <f t="shared" si="15"/>
        <v>0</v>
      </c>
    </row>
    <row r="56" spans="1:19" hidden="1" outlineLevel="1">
      <c r="A56" s="75" t="s">
        <v>89</v>
      </c>
      <c r="B56" s="69"/>
      <c r="C56" s="70"/>
      <c r="D56" s="71"/>
      <c r="E56" s="70"/>
      <c r="F56" s="72"/>
      <c r="G56" s="76">
        <f>SUM(7.07143)</f>
        <v>7.0714300000000003</v>
      </c>
      <c r="H56" s="76">
        <f>SUM(7.28571)</f>
        <v>7.2857099999999999</v>
      </c>
      <c r="I56" s="76">
        <f>SUM(7.82143)</f>
        <v>7.8214300000000003</v>
      </c>
      <c r="J56" s="76">
        <f>SUM(8.67857)</f>
        <v>8.6785700000000006</v>
      </c>
      <c r="K56" s="76">
        <f>SUM(6)</f>
        <v>6</v>
      </c>
      <c r="L56" s="76">
        <f>SUM(7.82143)</f>
        <v>7.8214300000000003</v>
      </c>
      <c r="M56" s="76">
        <f>SUM(7.60714)</f>
        <v>7.6071400000000002</v>
      </c>
      <c r="N56" s="76">
        <f>SUM(6.75)</f>
        <v>6.75</v>
      </c>
      <c r="O56" s="76">
        <f>SUM(7.71429)</f>
        <v>7.7142900000000001</v>
      </c>
      <c r="P56" s="76">
        <f>SUM(7.82143)</f>
        <v>7.8214300000000003</v>
      </c>
      <c r="Q56" s="76">
        <f>SUM(7.82143)</f>
        <v>7.8214300000000003</v>
      </c>
      <c r="R56" s="76">
        <f>SUM(7.60714)</f>
        <v>7.6071400000000002</v>
      </c>
      <c r="S56" s="77">
        <f>SUM(90)</f>
        <v>90</v>
      </c>
    </row>
    <row r="57" spans="1:19" hidden="1" outlineLevel="1">
      <c r="A57" s="75" t="s">
        <v>90</v>
      </c>
      <c r="B57" s="69"/>
      <c r="C57" s="70"/>
      <c r="D57" s="71"/>
      <c r="E57" s="70"/>
      <c r="F57" s="72"/>
      <c r="G57" s="76">
        <f>SUM(6.6,0)</f>
        <v>6.6</v>
      </c>
      <c r="H57" s="76">
        <f>SUM(6.8,0)</f>
        <v>6.8</v>
      </c>
      <c r="I57" s="76">
        <f>SUM(7.3,0)</f>
        <v>7.3</v>
      </c>
      <c r="J57" s="76">
        <f>SUM(8.1,0)</f>
        <v>8.1</v>
      </c>
      <c r="K57" s="76">
        <f>SUM(5.6,0)</f>
        <v>5.6</v>
      </c>
      <c r="L57" s="76">
        <f>SUM(7.3,0)</f>
        <v>7.3</v>
      </c>
      <c r="M57" s="76">
        <f>SUM(7.1,0)</f>
        <v>7.1</v>
      </c>
      <c r="N57" s="76">
        <f>SUM(6.3,0)</f>
        <v>6.3</v>
      </c>
      <c r="O57" s="76">
        <f>SUM(7.2,0)</f>
        <v>7.2</v>
      </c>
      <c r="P57" s="76">
        <f>SUM(7.3,0)</f>
        <v>7.3</v>
      </c>
      <c r="Q57" s="76">
        <f>SUM(7.3,0)</f>
        <v>7.3</v>
      </c>
      <c r="R57" s="76">
        <f>SUM(7.1,0)</f>
        <v>7.1</v>
      </c>
      <c r="S57" s="77">
        <f>SUM(84,0)</f>
        <v>84</v>
      </c>
    </row>
    <row r="58" spans="1:19" hidden="1" outlineLevel="1">
      <c r="A58" s="75" t="s">
        <v>91</v>
      </c>
      <c r="B58" s="69"/>
      <c r="C58" s="70"/>
      <c r="D58" s="71"/>
      <c r="E58" s="70"/>
      <c r="F58" s="72"/>
      <c r="G58" s="76">
        <f>SUM(1.94545)</f>
        <v>1.9454499999999999</v>
      </c>
      <c r="H58" s="76">
        <f>SUM(2.00441)</f>
        <v>2.00441</v>
      </c>
      <c r="I58" s="76">
        <f>SUM(2.15179)</f>
        <v>2.1517900000000001</v>
      </c>
      <c r="J58" s="76">
        <f>SUM(2.3876)</f>
        <v>2.3875999999999999</v>
      </c>
      <c r="K58" s="76">
        <f>SUM(1.65069)</f>
        <v>1.65069</v>
      </c>
      <c r="L58" s="76">
        <f>SUM(2.15179)</f>
        <v>2.1517900000000001</v>
      </c>
      <c r="M58" s="76">
        <f>SUM(2.09284)</f>
        <v>2.0928399999999998</v>
      </c>
      <c r="N58" s="76">
        <f>SUM(1.85702)</f>
        <v>1.8570199999999999</v>
      </c>
      <c r="O58" s="76">
        <f>SUM(2.12231)</f>
        <v>2.1223100000000001</v>
      </c>
      <c r="P58" s="76">
        <f>SUM(2.15179)</f>
        <v>2.1517900000000001</v>
      </c>
      <c r="Q58" s="76">
        <f>SUM(2.15179)</f>
        <v>2.1517900000000001</v>
      </c>
      <c r="R58" s="76">
        <f>SUM(2.09284)</f>
        <v>2.0928399999999998</v>
      </c>
      <c r="S58" s="77">
        <f>SUM(24.76032)</f>
        <v>24.76032</v>
      </c>
    </row>
    <row r="59" spans="1:19" collapsed="1">
      <c r="A59" s="68" t="s">
        <v>61</v>
      </c>
      <c r="B59" s="69"/>
      <c r="C59" s="97"/>
      <c r="D59" s="71"/>
      <c r="E59" s="97"/>
      <c r="F59" s="72"/>
      <c r="G59" s="97">
        <f>SUM(4.70289)</f>
        <v>4.70289</v>
      </c>
      <c r="H59" s="97">
        <f>SUM(4.8454)</f>
        <v>4.8453999999999997</v>
      </c>
      <c r="I59" s="97">
        <f>SUM(5.20168)</f>
        <v>5.2016799999999996</v>
      </c>
      <c r="J59" s="97">
        <f>SUM(5.77173)</f>
        <v>5.7717299999999998</v>
      </c>
      <c r="K59" s="97">
        <f>SUM(3.99033)</f>
        <v>3.9903300000000002</v>
      </c>
      <c r="L59" s="97">
        <f>SUM(5.20168)</f>
        <v>5.2016799999999996</v>
      </c>
      <c r="M59" s="97">
        <f>SUM(5.05917)</f>
        <v>5.0591699999999999</v>
      </c>
      <c r="N59" s="97">
        <f>SUM(4.48913)</f>
        <v>4.4891300000000003</v>
      </c>
      <c r="O59" s="97">
        <f>SUM(5.13043)</f>
        <v>5.1304299999999996</v>
      </c>
      <c r="P59" s="97">
        <f>SUM(5.20168)</f>
        <v>5.2016799999999996</v>
      </c>
      <c r="Q59" s="97">
        <f>SUM(5.20168)</f>
        <v>5.2016799999999996</v>
      </c>
      <c r="R59" s="97">
        <f>SUM(5.05917)</f>
        <v>5.0591699999999999</v>
      </c>
      <c r="S59" s="73">
        <f>SUM(59.85497)</f>
        <v>59.854970000000002</v>
      </c>
    </row>
    <row r="60" spans="1:19" ht="15">
      <c r="A60" s="63" t="s">
        <v>92</v>
      </c>
      <c r="B60" s="58"/>
      <c r="C60" s="105">
        <f>J60-G60</f>
        <v>11.622441999999999</v>
      </c>
      <c r="D60" s="65">
        <f>C60/C$46*1000</f>
        <v>774.82946666666658</v>
      </c>
      <c r="E60" s="105">
        <f>K60-H60</f>
        <v>-9.2979059999999976</v>
      </c>
      <c r="F60" s="66">
        <f>E60/E$46*1000</f>
        <v>774.82549999999981</v>
      </c>
      <c r="G60" s="105">
        <f t="shared" ref="G60:S60" si="16">SUM(G53:G54)+G59</f>
        <v>51.138458</v>
      </c>
      <c r="H60" s="105">
        <f t="shared" si="16"/>
        <v>52.688144999999992</v>
      </c>
      <c r="I60" s="105">
        <f t="shared" si="16"/>
        <v>56.562337999999997</v>
      </c>
      <c r="J60" s="105">
        <f t="shared" si="16"/>
        <v>62.760899999999999</v>
      </c>
      <c r="K60" s="105">
        <f t="shared" si="16"/>
        <v>43.390238999999994</v>
      </c>
      <c r="L60" s="105">
        <f t="shared" si="16"/>
        <v>56.562337999999997</v>
      </c>
      <c r="M60" s="105">
        <f t="shared" si="16"/>
        <v>55.012650000000001</v>
      </c>
      <c r="N60" s="105">
        <f t="shared" si="16"/>
        <v>48.814025000000001</v>
      </c>
      <c r="O60" s="105">
        <f t="shared" si="16"/>
        <v>55.787529999999997</v>
      </c>
      <c r="P60" s="105">
        <f t="shared" si="16"/>
        <v>56.562337999999997</v>
      </c>
      <c r="Q60" s="105">
        <f t="shared" si="16"/>
        <v>56.562337999999997</v>
      </c>
      <c r="R60" s="105">
        <f t="shared" si="16"/>
        <v>55.012650000000001</v>
      </c>
      <c r="S60" s="67">
        <f t="shared" si="16"/>
        <v>650.85394899999994</v>
      </c>
    </row>
    <row r="61" spans="1:19" ht="15">
      <c r="A61" s="63" t="s">
        <v>64</v>
      </c>
      <c r="B61" s="58"/>
      <c r="C61" s="97"/>
      <c r="D61" s="71"/>
      <c r="E61" s="97"/>
      <c r="F61" s="72"/>
      <c r="G61" s="97">
        <f>17.52858</f>
        <v>17.528580000000002</v>
      </c>
      <c r="H61" s="97">
        <f>17.71848</f>
        <v>17.71848</v>
      </c>
      <c r="I61" s="97">
        <f>18.19325</f>
        <v>18.193249999999999</v>
      </c>
      <c r="J61" s="97">
        <f>18.95288</f>
        <v>18.95288</v>
      </c>
      <c r="K61" s="97">
        <f>16.57904</f>
        <v>16.579039999999999</v>
      </c>
      <c r="L61" s="97">
        <f>18.19325</f>
        <v>18.193249999999999</v>
      </c>
      <c r="M61" s="97">
        <f>18.00335</f>
        <v>18.003350000000001</v>
      </c>
      <c r="N61" s="97">
        <f>17.24371</f>
        <v>17.24371</v>
      </c>
      <c r="O61" s="97">
        <f>18.0983</f>
        <v>18.098299999999998</v>
      </c>
      <c r="P61" s="97">
        <f>18.19325</f>
        <v>18.193249999999999</v>
      </c>
      <c r="Q61" s="97">
        <f>18.19325</f>
        <v>18.193249999999999</v>
      </c>
      <c r="R61" s="97">
        <f>18.00335</f>
        <v>18.003350000000001</v>
      </c>
      <c r="S61" s="73">
        <f>214.90069</f>
        <v>214.90069</v>
      </c>
    </row>
    <row r="62" spans="1:19" ht="15">
      <c r="A62" s="63" t="s">
        <v>65</v>
      </c>
      <c r="B62" s="58"/>
      <c r="C62" s="97"/>
      <c r="D62" s="71"/>
      <c r="E62" s="97"/>
      <c r="F62" s="72"/>
      <c r="G62" s="97">
        <f t="shared" ref="G62:R62" si="17">SUM(2.64325)</f>
        <v>2.6432500000000001</v>
      </c>
      <c r="H62" s="97">
        <f t="shared" si="17"/>
        <v>2.6432500000000001</v>
      </c>
      <c r="I62" s="97">
        <f t="shared" si="17"/>
        <v>2.6432500000000001</v>
      </c>
      <c r="J62" s="97">
        <f t="shared" si="17"/>
        <v>2.6432500000000001</v>
      </c>
      <c r="K62" s="97">
        <f t="shared" si="17"/>
        <v>2.6432500000000001</v>
      </c>
      <c r="L62" s="97">
        <f t="shared" si="17"/>
        <v>2.6432500000000001</v>
      </c>
      <c r="M62" s="97">
        <f t="shared" si="17"/>
        <v>2.6432500000000001</v>
      </c>
      <c r="N62" s="97">
        <f t="shared" si="17"/>
        <v>2.6432500000000001</v>
      </c>
      <c r="O62" s="97">
        <f t="shared" si="17"/>
        <v>2.6432500000000001</v>
      </c>
      <c r="P62" s="97">
        <f t="shared" si="17"/>
        <v>2.6432500000000001</v>
      </c>
      <c r="Q62" s="97">
        <f t="shared" si="17"/>
        <v>2.6432500000000001</v>
      </c>
      <c r="R62" s="97">
        <f t="shared" si="17"/>
        <v>2.6432500000000001</v>
      </c>
      <c r="S62" s="73">
        <f>SUM(31.719)</f>
        <v>31.719000000000001</v>
      </c>
    </row>
    <row r="63" spans="1:19" ht="15">
      <c r="A63" s="63" t="s">
        <v>93</v>
      </c>
      <c r="B63" s="58"/>
      <c r="C63" s="97"/>
      <c r="D63" s="71"/>
      <c r="E63" s="97"/>
      <c r="F63" s="72"/>
      <c r="G63" s="97">
        <f t="shared" ref="G63:S63" si="18">SUM(0)</f>
        <v>0</v>
      </c>
      <c r="H63" s="97">
        <f t="shared" si="18"/>
        <v>0</v>
      </c>
      <c r="I63" s="97">
        <f t="shared" si="18"/>
        <v>0</v>
      </c>
      <c r="J63" s="97">
        <f t="shared" si="18"/>
        <v>0</v>
      </c>
      <c r="K63" s="97">
        <f t="shared" si="18"/>
        <v>0</v>
      </c>
      <c r="L63" s="97">
        <f t="shared" si="18"/>
        <v>0</v>
      </c>
      <c r="M63" s="97">
        <f t="shared" si="18"/>
        <v>0</v>
      </c>
      <c r="N63" s="97">
        <f t="shared" si="18"/>
        <v>0</v>
      </c>
      <c r="O63" s="97">
        <f t="shared" si="18"/>
        <v>0</v>
      </c>
      <c r="P63" s="97">
        <f t="shared" si="18"/>
        <v>0</v>
      </c>
      <c r="Q63" s="97">
        <f t="shared" si="18"/>
        <v>0</v>
      </c>
      <c r="R63" s="97">
        <f t="shared" si="18"/>
        <v>0</v>
      </c>
      <c r="S63" s="73">
        <f t="shared" si="18"/>
        <v>0</v>
      </c>
    </row>
    <row r="64" spans="1:19" ht="15">
      <c r="A64" s="63" t="s">
        <v>67</v>
      </c>
      <c r="B64" s="58"/>
      <c r="C64" s="97"/>
      <c r="D64" s="71"/>
      <c r="E64" s="97"/>
      <c r="F64" s="72"/>
      <c r="G64" s="97">
        <f>SUM(31.895371,-10.01194)-G61-G62-G63</f>
        <v>1.7116009999999999</v>
      </c>
      <c r="H64" s="97">
        <f>SUM(32.29861,-10.31533)-H61-H62-H63</f>
        <v>1.6215499999999974</v>
      </c>
      <c r="I64" s="97">
        <f>SUM(33.3067,-11.07381)-I61-I62-I63</f>
        <v>1.3963899999999985</v>
      </c>
      <c r="J64" s="97">
        <f>SUM(34.91967,-12.28738)-J61-J62-J63</f>
        <v>1.0361600000000042</v>
      </c>
      <c r="K64" s="97">
        <f>SUM(29.87916,-8.49498)-K61-K62-K63</f>
        <v>2.1618900000000014</v>
      </c>
      <c r="L64" s="97">
        <f>SUM(33.3067,-11.07381)-L61-L62-L63</f>
        <v>1.3963899999999985</v>
      </c>
      <c r="M64" s="97">
        <f>SUM(32.90347,-10.77042)-M61-M62-M63</f>
        <v>1.4864499999999961</v>
      </c>
      <c r="N64" s="97">
        <f>SUM(31.2905,-9.55685)-N61-N62-N63</f>
        <v>1.8466900000000006</v>
      </c>
      <c r="O64" s="97">
        <f>SUM(33.10509,-10.92211)-O61-O62-O63</f>
        <v>1.4414299999999987</v>
      </c>
      <c r="P64" s="97">
        <f>SUM(33.3067,-11.07381)-P61-P62-P63</f>
        <v>1.3963899999999985</v>
      </c>
      <c r="Q64" s="97">
        <f>SUM(33.3067,-11.07381)-Q61-Q62-Q63</f>
        <v>1.3963899999999985</v>
      </c>
      <c r="R64" s="97">
        <f>SUM(32.90347,-10.77042)-R61-R62-R63</f>
        <v>1.4864499999999961</v>
      </c>
      <c r="S64" s="73">
        <f>SUM(392.422141,-127.42467)-S61-S62-S63</f>
        <v>18.37778100000002</v>
      </c>
    </row>
    <row r="65" spans="1:19" hidden="1" outlineLevel="1">
      <c r="A65" s="75" t="s">
        <v>94</v>
      </c>
      <c r="B65" s="69"/>
      <c r="C65" s="70"/>
      <c r="D65" s="71"/>
      <c r="E65" s="70"/>
      <c r="F65" s="72"/>
      <c r="G65" s="76">
        <f t="shared" ref="G65:S65" si="19">SUM(0)</f>
        <v>0</v>
      </c>
      <c r="H65" s="76">
        <f t="shared" si="19"/>
        <v>0</v>
      </c>
      <c r="I65" s="76">
        <f t="shared" si="19"/>
        <v>0</v>
      </c>
      <c r="J65" s="76">
        <f t="shared" si="19"/>
        <v>0</v>
      </c>
      <c r="K65" s="76">
        <f t="shared" si="19"/>
        <v>0</v>
      </c>
      <c r="L65" s="76">
        <f t="shared" si="19"/>
        <v>0</v>
      </c>
      <c r="M65" s="76">
        <f t="shared" si="19"/>
        <v>0</v>
      </c>
      <c r="N65" s="76">
        <f t="shared" si="19"/>
        <v>0</v>
      </c>
      <c r="O65" s="76">
        <f t="shared" si="19"/>
        <v>0</v>
      </c>
      <c r="P65" s="76">
        <f t="shared" si="19"/>
        <v>0</v>
      </c>
      <c r="Q65" s="76">
        <f t="shared" si="19"/>
        <v>0</v>
      </c>
      <c r="R65" s="76">
        <f t="shared" si="19"/>
        <v>0</v>
      </c>
      <c r="S65" s="77">
        <f t="shared" si="19"/>
        <v>0</v>
      </c>
    </row>
    <row r="66" spans="1:19" hidden="1" outlineLevel="1">
      <c r="A66" s="75" t="s">
        <v>95</v>
      </c>
      <c r="B66" s="69"/>
      <c r="C66" s="70"/>
      <c r="D66" s="71"/>
      <c r="E66" s="70"/>
      <c r="F66" s="72"/>
      <c r="G66" s="76">
        <f>SUM(4.49429)</f>
        <v>4.4942900000000003</v>
      </c>
      <c r="H66" s="76">
        <f>SUM(4.63048)</f>
        <v>4.6304800000000004</v>
      </c>
      <c r="I66" s="76">
        <f>SUM(4.97095)</f>
        <v>4.9709500000000002</v>
      </c>
      <c r="J66" s="76">
        <f>SUM(5.51571)</f>
        <v>5.5157100000000003</v>
      </c>
      <c r="K66" s="76">
        <f>SUM(3.81333)</f>
        <v>3.8133300000000001</v>
      </c>
      <c r="L66" s="76">
        <f>SUM(4.97095)</f>
        <v>4.9709500000000002</v>
      </c>
      <c r="M66" s="76">
        <f>SUM(4.83476)</f>
        <v>4.8347600000000002</v>
      </c>
      <c r="N66" s="76">
        <f>SUM(4.29)</f>
        <v>4.29</v>
      </c>
      <c r="O66" s="76">
        <f>SUM(4.90286)</f>
        <v>4.9028600000000004</v>
      </c>
      <c r="P66" s="76">
        <f>SUM(4.97095)</f>
        <v>4.9709500000000002</v>
      </c>
      <c r="Q66" s="76">
        <f>SUM(4.97095)</f>
        <v>4.9709500000000002</v>
      </c>
      <c r="R66" s="76">
        <f>SUM(4.83476)</f>
        <v>4.8347600000000002</v>
      </c>
      <c r="S66" s="77">
        <f>SUM(57.19999)</f>
        <v>57.19999</v>
      </c>
    </row>
    <row r="67" spans="1:19" hidden="1" outlineLevel="1">
      <c r="A67" s="75" t="s">
        <v>96</v>
      </c>
      <c r="B67" s="69"/>
      <c r="C67" s="70"/>
      <c r="D67" s="71"/>
      <c r="E67" s="70"/>
      <c r="F67" s="72"/>
      <c r="G67" s="76">
        <f>SUM(1.83857)</f>
        <v>1.83857</v>
      </c>
      <c r="H67" s="76">
        <f>SUM(1.89429)</f>
        <v>1.89429</v>
      </c>
      <c r="I67" s="76">
        <f>SUM(2.03357)</f>
        <v>2.0335700000000001</v>
      </c>
      <c r="J67" s="76">
        <f>SUM(2.25643)</f>
        <v>2.2564299999999999</v>
      </c>
      <c r="K67" s="76">
        <f>SUM(1.56)</f>
        <v>1.56</v>
      </c>
      <c r="L67" s="76">
        <f>SUM(2.03357)</f>
        <v>2.0335700000000001</v>
      </c>
      <c r="M67" s="76">
        <f>SUM(1.97786)</f>
        <v>1.97786</v>
      </c>
      <c r="N67" s="76">
        <f>SUM(1.755)</f>
        <v>1.7549999999999999</v>
      </c>
      <c r="O67" s="76">
        <f>SUM(2.00571)</f>
        <v>2.0057100000000001</v>
      </c>
      <c r="P67" s="76">
        <f>SUM(2.03357)</f>
        <v>2.0335700000000001</v>
      </c>
      <c r="Q67" s="76">
        <f>SUM(2.03357)</f>
        <v>2.0335700000000001</v>
      </c>
      <c r="R67" s="76">
        <f>SUM(1.97786)</f>
        <v>1.97786</v>
      </c>
      <c r="S67" s="77">
        <f>SUM(23.4)</f>
        <v>23.4</v>
      </c>
    </row>
    <row r="68" spans="1:19" hidden="1" outlineLevel="1">
      <c r="A68" s="75" t="s">
        <v>69</v>
      </c>
      <c r="B68" s="69"/>
      <c r="C68" s="70"/>
      <c r="D68" s="71"/>
      <c r="E68" s="70"/>
      <c r="F68" s="72"/>
      <c r="G68" s="76">
        <f>SUM(0.70714)</f>
        <v>0.70713999999999999</v>
      </c>
      <c r="H68" s="76">
        <f>SUM(0.72857)</f>
        <v>0.72857000000000005</v>
      </c>
      <c r="I68" s="76">
        <f>SUM(0.78214)</f>
        <v>0.78213999999999995</v>
      </c>
      <c r="J68" s="76">
        <f>SUM(0.86786)</f>
        <v>0.86785999999999996</v>
      </c>
      <c r="K68" s="76">
        <f>SUM(0.6)</f>
        <v>0.6</v>
      </c>
      <c r="L68" s="76">
        <f>SUM(0.78214)</f>
        <v>0.78213999999999995</v>
      </c>
      <c r="M68" s="76">
        <f>SUM(0.76071)</f>
        <v>0.76071</v>
      </c>
      <c r="N68" s="76">
        <f>SUM(0.675)</f>
        <v>0.67500000000000004</v>
      </c>
      <c r="O68" s="76">
        <f>SUM(0.77143)</f>
        <v>0.77142999999999995</v>
      </c>
      <c r="P68" s="76">
        <f>SUM(0.78214)</f>
        <v>0.78213999999999995</v>
      </c>
      <c r="Q68" s="76">
        <f>SUM(0.78214)</f>
        <v>0.78213999999999995</v>
      </c>
      <c r="R68" s="76">
        <f>SUM(0.76071)</f>
        <v>0.76071</v>
      </c>
      <c r="S68" s="77">
        <f>SUM(8.99998)</f>
        <v>8.9999800000000008</v>
      </c>
    </row>
    <row r="69" spans="1:19" hidden="1" outlineLevel="1">
      <c r="A69" s="75" t="s">
        <v>70</v>
      </c>
      <c r="B69" s="69"/>
      <c r="C69" s="70"/>
      <c r="D69" s="71"/>
      <c r="E69" s="70"/>
      <c r="F69" s="72"/>
      <c r="G69" s="76">
        <f t="shared" ref="G69:R69" si="20">SUM(4.68354)</f>
        <v>4.6835399999999998</v>
      </c>
      <c r="H69" s="76">
        <f t="shared" si="20"/>
        <v>4.6835399999999998</v>
      </c>
      <c r="I69" s="76">
        <f t="shared" si="20"/>
        <v>4.6835399999999998</v>
      </c>
      <c r="J69" s="76">
        <f t="shared" si="20"/>
        <v>4.6835399999999998</v>
      </c>
      <c r="K69" s="76">
        <f t="shared" si="20"/>
        <v>4.6835399999999998</v>
      </c>
      <c r="L69" s="76">
        <f t="shared" si="20"/>
        <v>4.6835399999999998</v>
      </c>
      <c r="M69" s="76">
        <f t="shared" si="20"/>
        <v>4.6835399999999998</v>
      </c>
      <c r="N69" s="76">
        <f t="shared" si="20"/>
        <v>4.6835399999999998</v>
      </c>
      <c r="O69" s="76">
        <f t="shared" si="20"/>
        <v>4.6835399999999998</v>
      </c>
      <c r="P69" s="76">
        <f t="shared" si="20"/>
        <v>4.6835399999999998</v>
      </c>
      <c r="Q69" s="76">
        <f t="shared" si="20"/>
        <v>4.6835399999999998</v>
      </c>
      <c r="R69" s="76">
        <f t="shared" si="20"/>
        <v>4.6835399999999998</v>
      </c>
      <c r="S69" s="77">
        <f>SUM(56.20248)</f>
        <v>56.202480000000001</v>
      </c>
    </row>
    <row r="70" spans="1:19" hidden="1" outlineLevel="1">
      <c r="A70" s="75" t="s">
        <v>97</v>
      </c>
      <c r="B70" s="69"/>
      <c r="C70" s="70"/>
      <c r="D70" s="71"/>
      <c r="E70" s="70"/>
      <c r="F70" s="72"/>
      <c r="G70" s="76">
        <f t="shared" ref="G70:R70" si="21">SUM(2.8502)</f>
        <v>2.8502000000000001</v>
      </c>
      <c r="H70" s="76">
        <f t="shared" si="21"/>
        <v>2.8502000000000001</v>
      </c>
      <c r="I70" s="76">
        <f t="shared" si="21"/>
        <v>2.8502000000000001</v>
      </c>
      <c r="J70" s="76">
        <f t="shared" si="21"/>
        <v>2.8502000000000001</v>
      </c>
      <c r="K70" s="76">
        <f t="shared" si="21"/>
        <v>2.8502000000000001</v>
      </c>
      <c r="L70" s="76">
        <f t="shared" si="21"/>
        <v>2.8502000000000001</v>
      </c>
      <c r="M70" s="76">
        <f t="shared" si="21"/>
        <v>2.8502000000000001</v>
      </c>
      <c r="N70" s="76">
        <f t="shared" si="21"/>
        <v>2.8502000000000001</v>
      </c>
      <c r="O70" s="76">
        <f t="shared" si="21"/>
        <v>2.8502000000000001</v>
      </c>
      <c r="P70" s="76">
        <f t="shared" si="21"/>
        <v>2.8502000000000001</v>
      </c>
      <c r="Q70" s="76">
        <f t="shared" si="21"/>
        <v>2.8502000000000001</v>
      </c>
      <c r="R70" s="76">
        <f t="shared" si="21"/>
        <v>2.8502000000000001</v>
      </c>
      <c r="S70" s="77">
        <f>SUM(34.2024)</f>
        <v>34.202399999999997</v>
      </c>
    </row>
    <row r="71" spans="1:19" hidden="1" outlineLevel="1">
      <c r="A71" s="75" t="s">
        <v>72</v>
      </c>
      <c r="B71" s="69"/>
      <c r="C71" s="70"/>
      <c r="D71" s="71"/>
      <c r="E71" s="70"/>
      <c r="F71" s="72"/>
      <c r="G71" s="76">
        <f t="shared" ref="G71:R71" si="22">SUM(0.41667)</f>
        <v>0.41666999999999998</v>
      </c>
      <c r="H71" s="76">
        <f t="shared" si="22"/>
        <v>0.41666999999999998</v>
      </c>
      <c r="I71" s="76">
        <f t="shared" si="22"/>
        <v>0.41666999999999998</v>
      </c>
      <c r="J71" s="76">
        <f t="shared" si="22"/>
        <v>0.41666999999999998</v>
      </c>
      <c r="K71" s="76">
        <f t="shared" si="22"/>
        <v>0.41666999999999998</v>
      </c>
      <c r="L71" s="76">
        <f t="shared" si="22"/>
        <v>0.41666999999999998</v>
      </c>
      <c r="M71" s="76">
        <f t="shared" si="22"/>
        <v>0.41666999999999998</v>
      </c>
      <c r="N71" s="76">
        <f t="shared" si="22"/>
        <v>0.41666999999999998</v>
      </c>
      <c r="O71" s="76">
        <f t="shared" si="22"/>
        <v>0.41666999999999998</v>
      </c>
      <c r="P71" s="76">
        <f t="shared" si="22"/>
        <v>0.41666999999999998</v>
      </c>
      <c r="Q71" s="76">
        <f t="shared" si="22"/>
        <v>0.41666999999999998</v>
      </c>
      <c r="R71" s="76">
        <f t="shared" si="22"/>
        <v>0.41666999999999998</v>
      </c>
      <c r="S71" s="77">
        <f>SUM(5.00004)</f>
        <v>5.0000400000000003</v>
      </c>
    </row>
    <row r="72" spans="1:19" hidden="1" outlineLevel="1">
      <c r="A72" s="75" t="s">
        <v>73</v>
      </c>
      <c r="B72" s="69"/>
      <c r="C72" s="70"/>
      <c r="D72" s="71"/>
      <c r="E72" s="70"/>
      <c r="F72" s="72"/>
      <c r="G72" s="76">
        <f t="shared" ref="G72:S72" si="23">SUM(0)</f>
        <v>0</v>
      </c>
      <c r="H72" s="76">
        <f t="shared" si="23"/>
        <v>0</v>
      </c>
      <c r="I72" s="76">
        <f t="shared" si="23"/>
        <v>0</v>
      </c>
      <c r="J72" s="76">
        <f t="shared" si="23"/>
        <v>0</v>
      </c>
      <c r="K72" s="76">
        <f t="shared" si="23"/>
        <v>0</v>
      </c>
      <c r="L72" s="76">
        <f t="shared" si="23"/>
        <v>0</v>
      </c>
      <c r="M72" s="76">
        <f t="shared" si="23"/>
        <v>0</v>
      </c>
      <c r="N72" s="76">
        <f t="shared" si="23"/>
        <v>0</v>
      </c>
      <c r="O72" s="76">
        <f t="shared" si="23"/>
        <v>0</v>
      </c>
      <c r="P72" s="76">
        <f t="shared" si="23"/>
        <v>0</v>
      </c>
      <c r="Q72" s="76">
        <f t="shared" si="23"/>
        <v>0</v>
      </c>
      <c r="R72" s="76">
        <f t="shared" si="23"/>
        <v>0</v>
      </c>
      <c r="S72" s="77">
        <f t="shared" si="23"/>
        <v>0</v>
      </c>
    </row>
    <row r="73" spans="1:19" hidden="1" outlineLevel="1">
      <c r="A73" s="75" t="s">
        <v>74</v>
      </c>
      <c r="B73" s="69"/>
      <c r="C73" s="70"/>
      <c r="D73" s="71"/>
      <c r="E73" s="70"/>
      <c r="F73" s="72"/>
      <c r="G73" s="76">
        <f t="shared" ref="G73:R73" si="24">SUM(1.41667)</f>
        <v>1.4166700000000001</v>
      </c>
      <c r="H73" s="76">
        <f t="shared" si="24"/>
        <v>1.4166700000000001</v>
      </c>
      <c r="I73" s="76">
        <f t="shared" si="24"/>
        <v>1.4166700000000001</v>
      </c>
      <c r="J73" s="76">
        <f t="shared" si="24"/>
        <v>1.4166700000000001</v>
      </c>
      <c r="K73" s="76">
        <f t="shared" si="24"/>
        <v>1.4166700000000001</v>
      </c>
      <c r="L73" s="76">
        <f t="shared" si="24"/>
        <v>1.4166700000000001</v>
      </c>
      <c r="M73" s="76">
        <f t="shared" si="24"/>
        <v>1.4166700000000001</v>
      </c>
      <c r="N73" s="76">
        <f t="shared" si="24"/>
        <v>1.4166700000000001</v>
      </c>
      <c r="O73" s="76">
        <f t="shared" si="24"/>
        <v>1.4166700000000001</v>
      </c>
      <c r="P73" s="76">
        <f t="shared" si="24"/>
        <v>1.4166700000000001</v>
      </c>
      <c r="Q73" s="76">
        <f t="shared" si="24"/>
        <v>1.4166700000000001</v>
      </c>
      <c r="R73" s="76">
        <f t="shared" si="24"/>
        <v>1.4166700000000001</v>
      </c>
      <c r="S73" s="77">
        <f>SUM(17.00004)</f>
        <v>17.000039999999998</v>
      </c>
    </row>
    <row r="74" spans="1:19" hidden="1" outlineLevel="1">
      <c r="A74" s="75" t="s">
        <v>75</v>
      </c>
      <c r="B74" s="69"/>
      <c r="C74" s="70"/>
      <c r="D74" s="71"/>
      <c r="E74" s="70"/>
      <c r="F74" s="72"/>
      <c r="G74" s="76">
        <f>SUM(-10.01194)-G63</f>
        <v>-10.011939999999999</v>
      </c>
      <c r="H74" s="76">
        <f>SUM(-10.31533)-H63</f>
        <v>-10.315329999999999</v>
      </c>
      <c r="I74" s="76">
        <f>SUM(-11.07381)-I63</f>
        <v>-11.07381</v>
      </c>
      <c r="J74" s="76">
        <f>SUM(-12.28738)-J63</f>
        <v>-12.287380000000001</v>
      </c>
      <c r="K74" s="76">
        <f>SUM(-8.49498)-K63</f>
        <v>-8.49498</v>
      </c>
      <c r="L74" s="76">
        <f>SUM(-11.07381)-L63</f>
        <v>-11.07381</v>
      </c>
      <c r="M74" s="76">
        <f>SUM(-10.77042)-M63</f>
        <v>-10.77042</v>
      </c>
      <c r="N74" s="76">
        <f>SUM(-9.55685)-N63</f>
        <v>-9.5568500000000007</v>
      </c>
      <c r="O74" s="76">
        <f>SUM(-10.92211)-O63</f>
        <v>-10.92211</v>
      </c>
      <c r="P74" s="76">
        <f>SUM(-11.07381)-P63</f>
        <v>-11.07381</v>
      </c>
      <c r="Q74" s="76">
        <f>SUM(-11.07381)-Q63</f>
        <v>-11.07381</v>
      </c>
      <c r="R74" s="76">
        <f>SUM(-10.77042)-R63</f>
        <v>-10.77042</v>
      </c>
      <c r="S74" s="77">
        <f>SUM(-127.42467)-S63</f>
        <v>-127.42467000000001</v>
      </c>
    </row>
    <row r="75" spans="1:19" ht="16" collapsed="1" thickBot="1">
      <c r="A75" s="78" t="s">
        <v>76</v>
      </c>
      <c r="B75" s="58"/>
      <c r="C75" s="108">
        <f>J75-G75</f>
        <v>10.873583000000004</v>
      </c>
      <c r="D75" s="80">
        <f>C75/C$46*1000</f>
        <v>724.90553333333355</v>
      </c>
      <c r="E75" s="108">
        <f>K75-H75</f>
        <v>-8.6988059999999976</v>
      </c>
      <c r="F75" s="81">
        <f>E75/E$46*1000</f>
        <v>724.90049999999985</v>
      </c>
      <c r="G75" s="108">
        <f t="shared" ref="G75:S75" si="25">G60-G61-G62-G63-G64</f>
        <v>29.255026999999991</v>
      </c>
      <c r="H75" s="108">
        <f t="shared" si="25"/>
        <v>30.704864999999991</v>
      </c>
      <c r="I75" s="108">
        <f t="shared" si="25"/>
        <v>34.329447999999999</v>
      </c>
      <c r="J75" s="108">
        <f t="shared" si="25"/>
        <v>40.128609999999995</v>
      </c>
      <c r="K75" s="108">
        <f t="shared" si="25"/>
        <v>22.006058999999993</v>
      </c>
      <c r="L75" s="108">
        <f t="shared" si="25"/>
        <v>34.329447999999999</v>
      </c>
      <c r="M75" s="108">
        <f t="shared" si="25"/>
        <v>32.879599999999996</v>
      </c>
      <c r="N75" s="108">
        <f t="shared" si="25"/>
        <v>27.080374999999997</v>
      </c>
      <c r="O75" s="108">
        <f t="shared" si="25"/>
        <v>33.604549999999996</v>
      </c>
      <c r="P75" s="108">
        <f t="shared" si="25"/>
        <v>34.329447999999999</v>
      </c>
      <c r="Q75" s="108">
        <f t="shared" si="25"/>
        <v>34.329447999999999</v>
      </c>
      <c r="R75" s="108">
        <f t="shared" si="25"/>
        <v>32.879599999999996</v>
      </c>
      <c r="S75" s="82">
        <f t="shared" si="25"/>
        <v>385.85647799999992</v>
      </c>
    </row>
    <row r="76" spans="1:19" ht="16" thickTop="1">
      <c r="A76" s="83" t="s">
        <v>98</v>
      </c>
      <c r="B76" s="83"/>
      <c r="C76" s="109"/>
      <c r="D76" s="109"/>
      <c r="E76" s="109"/>
      <c r="F76" s="109"/>
      <c r="G76" s="109">
        <f>G75/G44*1000</f>
        <v>713.53724390243883</v>
      </c>
      <c r="H76" s="109">
        <f t="shared" ref="H76:S76" si="26">H75/H44*1000</f>
        <v>731.06821428571413</v>
      </c>
      <c r="I76" s="109">
        <f t="shared" si="26"/>
        <v>762.87662222222218</v>
      </c>
      <c r="J76" s="109">
        <f t="shared" si="26"/>
        <v>802.57219999999984</v>
      </c>
      <c r="K76" s="109">
        <f t="shared" si="26"/>
        <v>628.74454285714262</v>
      </c>
      <c r="L76" s="109">
        <f t="shared" si="26"/>
        <v>762.87662222222218</v>
      </c>
      <c r="M76" s="109">
        <f t="shared" si="26"/>
        <v>747.26363636363624</v>
      </c>
      <c r="N76" s="109">
        <f t="shared" si="26"/>
        <v>694.36858974358961</v>
      </c>
      <c r="O76" s="109">
        <f t="shared" si="26"/>
        <v>746.76777777777772</v>
      </c>
      <c r="P76" s="109">
        <f t="shared" si="26"/>
        <v>762.87662222222218</v>
      </c>
      <c r="Q76" s="109">
        <f t="shared" si="26"/>
        <v>762.87662222222218</v>
      </c>
      <c r="R76" s="109">
        <f t="shared" si="26"/>
        <v>747.26363636363624</v>
      </c>
      <c r="S76" s="109">
        <f t="shared" si="26"/>
        <v>742.03168846153835</v>
      </c>
    </row>
    <row r="77" spans="1:19" ht="15">
      <c r="A77" s="109" t="s">
        <v>99</v>
      </c>
      <c r="B77" s="109"/>
      <c r="C77" s="109"/>
      <c r="D77" s="109"/>
      <c r="E77" s="109"/>
      <c r="F77" s="109"/>
      <c r="G77" s="97">
        <f>SUM(27.34903)</f>
        <v>27.349029999999999</v>
      </c>
      <c r="H77" s="97">
        <f>SUM(28.17779)</f>
        <v>28.177790000000002</v>
      </c>
      <c r="I77" s="97">
        <f>SUM(30.24969)</f>
        <v>30.249690000000001</v>
      </c>
      <c r="J77" s="97">
        <f>SUM(33.56472)</f>
        <v>33.564720000000001</v>
      </c>
      <c r="K77" s="97">
        <f>SUM(23.20524)</f>
        <v>23.20524</v>
      </c>
      <c r="L77" s="97">
        <f>SUM(30.24969)</f>
        <v>30.249690000000001</v>
      </c>
      <c r="M77" s="97">
        <f>SUM(29.42093)</f>
        <v>29.420929999999998</v>
      </c>
      <c r="N77" s="97">
        <f>SUM(26.10589)</f>
        <v>26.105889999999999</v>
      </c>
      <c r="O77" s="97">
        <f>SUM(29.83531)</f>
        <v>29.83531</v>
      </c>
      <c r="P77" s="97">
        <f>SUM(30.24969)</f>
        <v>30.249690000000001</v>
      </c>
      <c r="Q77" s="97">
        <f>SUM(30.24969)</f>
        <v>30.249690000000001</v>
      </c>
      <c r="R77" s="97">
        <f>SUM(29.42093)</f>
        <v>29.420929999999998</v>
      </c>
      <c r="S77" s="73">
        <f>SUM(348.0786)</f>
        <v>348.07859999999999</v>
      </c>
    </row>
    <row r="78" spans="1:19" ht="15">
      <c r="A78" s="109" t="s">
        <v>100</v>
      </c>
      <c r="B78" s="109"/>
      <c r="C78" s="109"/>
      <c r="D78" s="109"/>
      <c r="E78" s="109"/>
      <c r="F78" s="109"/>
      <c r="G78" s="97">
        <f>SUM(0)</f>
        <v>0</v>
      </c>
      <c r="H78" s="97">
        <f>SUM(3.57486)</f>
        <v>3.5748600000000001</v>
      </c>
      <c r="I78" s="97">
        <f>SUM(3.83771)</f>
        <v>3.83771</v>
      </c>
      <c r="J78" s="97">
        <f>SUM(4.25829)</f>
        <v>4.2582899999999997</v>
      </c>
      <c r="K78" s="97">
        <f>SUM(2.944)</f>
        <v>2.944</v>
      </c>
      <c r="L78" s="97">
        <f>SUM(3.83771)</f>
        <v>3.83771</v>
      </c>
      <c r="M78" s="97">
        <f>SUM(3.73257)</f>
        <v>3.7325699999999999</v>
      </c>
      <c r="N78" s="97">
        <f>SUM(3.312)</f>
        <v>3.3119999999999998</v>
      </c>
      <c r="O78" s="97">
        <f>SUM(3.78514)</f>
        <v>3.7851400000000002</v>
      </c>
      <c r="P78" s="97">
        <f>SUM(3.83771)</f>
        <v>3.83771</v>
      </c>
      <c r="Q78" s="97">
        <f>SUM(3.83771)</f>
        <v>3.83771</v>
      </c>
      <c r="R78" s="97">
        <f>SUM(3.73257)</f>
        <v>3.7325699999999999</v>
      </c>
      <c r="S78" s="73">
        <f>SUM(44.15998)</f>
        <v>44.159979999999997</v>
      </c>
    </row>
    <row r="79" spans="1:19" ht="16" thickBot="1">
      <c r="A79" s="83"/>
      <c r="B79" s="83"/>
      <c r="C79" s="109"/>
      <c r="D79" s="109"/>
      <c r="E79" s="109"/>
      <c r="F79" s="109"/>
      <c r="G79" s="109"/>
      <c r="H79" s="109"/>
      <c r="I79" s="109"/>
      <c r="J79" s="109"/>
      <c r="K79" s="109"/>
      <c r="L79" s="109"/>
      <c r="M79" s="109"/>
      <c r="N79" s="109"/>
      <c r="O79" s="109"/>
      <c r="P79" s="109"/>
      <c r="Q79" s="109"/>
      <c r="R79" s="109"/>
      <c r="S79" s="110"/>
    </row>
    <row r="80" spans="1:19" ht="17" thickTop="1" thickBot="1">
      <c r="A80" s="111" t="s">
        <v>101</v>
      </c>
      <c r="B80" s="83"/>
      <c r="C80" s="112">
        <f>J80-G80</f>
        <v>17.082662999999961</v>
      </c>
      <c r="D80" s="113"/>
      <c r="E80" s="112">
        <f>+E40+E75</f>
        <v>-14.907885999999912</v>
      </c>
      <c r="F80" s="114"/>
      <c r="G80" s="112">
        <f t="shared" ref="G80:S80" si="27">+G40+G75</f>
        <v>63.290977000000005</v>
      </c>
      <c r="H80" s="112">
        <f t="shared" si="27"/>
        <v>68.233374999999938</v>
      </c>
      <c r="I80" s="112">
        <f t="shared" si="27"/>
        <v>79.91045799999992</v>
      </c>
      <c r="J80" s="112">
        <f t="shared" si="27"/>
        <v>80.373639999999966</v>
      </c>
      <c r="K80" s="112">
        <f t="shared" si="27"/>
        <v>53.325489000000033</v>
      </c>
      <c r="L80" s="112">
        <f t="shared" si="27"/>
        <v>79.91045799999992</v>
      </c>
      <c r="M80" s="112">
        <f t="shared" si="27"/>
        <v>87.386020000000087</v>
      </c>
      <c r="N80" s="112">
        <f t="shared" si="27"/>
        <v>42.392084999999966</v>
      </c>
      <c r="O80" s="112">
        <f t="shared" si="27"/>
        <v>86.267590000000041</v>
      </c>
      <c r="P80" s="112">
        <f t="shared" si="27"/>
        <v>99.410608000000053</v>
      </c>
      <c r="Q80" s="112">
        <f t="shared" si="27"/>
        <v>105.71661800000004</v>
      </c>
      <c r="R80" s="112">
        <f t="shared" si="27"/>
        <v>84.669499999999999</v>
      </c>
      <c r="S80" s="115">
        <f t="shared" si="27"/>
        <v>930.88681799999995</v>
      </c>
    </row>
    <row r="81" spans="1:22" ht="17" thickTop="1" thickBot="1">
      <c r="A81" s="37"/>
      <c r="B81" s="83"/>
      <c r="C81" s="86"/>
      <c r="D81" s="37"/>
      <c r="E81" s="37"/>
      <c r="F81" s="37"/>
      <c r="G81" s="116"/>
      <c r="H81" s="116"/>
      <c r="I81" s="116"/>
      <c r="J81" s="116"/>
      <c r="K81" s="116"/>
      <c r="L81" s="116"/>
      <c r="M81" s="116"/>
      <c r="N81" s="116"/>
      <c r="O81" s="116"/>
      <c r="P81" s="116"/>
      <c r="Q81" s="116"/>
      <c r="R81" s="116"/>
      <c r="S81" s="117"/>
      <c r="U81" s="38">
        <v>1000</v>
      </c>
    </row>
    <row r="82" spans="1:22" ht="17" thickTop="1" thickBot="1">
      <c r="A82" s="52" t="s">
        <v>102</v>
      </c>
      <c r="B82" s="53"/>
      <c r="C82" s="89"/>
      <c r="D82" s="55"/>
      <c r="E82" s="55"/>
      <c r="F82" s="55"/>
      <c r="G82" s="54"/>
      <c r="H82" s="54"/>
      <c r="I82" s="54"/>
      <c r="J82" s="54"/>
      <c r="K82" s="54"/>
      <c r="L82" s="54"/>
      <c r="M82" s="54"/>
      <c r="N82" s="54"/>
      <c r="O82" s="54"/>
      <c r="P82" s="54"/>
      <c r="Q82" s="54"/>
      <c r="R82" s="54"/>
      <c r="S82" s="118"/>
      <c r="U82" s="38" t="s">
        <v>20</v>
      </c>
      <c r="V82" s="38" t="s">
        <v>103</v>
      </c>
    </row>
    <row r="83" spans="1:22" ht="13" thickTop="1">
      <c r="A83" s="119" t="s">
        <v>104</v>
      </c>
      <c r="B83" s="120"/>
      <c r="C83" s="121"/>
      <c r="D83" s="122"/>
      <c r="E83" s="121"/>
      <c r="F83" s="123"/>
      <c r="G83" s="121">
        <v>1958.1802</v>
      </c>
      <c r="H83" s="121">
        <v>1865.8960999999999</v>
      </c>
      <c r="I83" s="121">
        <v>2050.4643999999998</v>
      </c>
      <c r="J83" s="121">
        <v>1958.1802</v>
      </c>
      <c r="K83" s="121">
        <v>1584.6494</v>
      </c>
      <c r="L83" s="121">
        <v>2052.2222000000002</v>
      </c>
      <c r="M83" s="121">
        <v>2050.4643999999998</v>
      </c>
      <c r="N83" s="121">
        <v>1865.8960999999999</v>
      </c>
      <c r="O83" s="121">
        <v>2050.4643999999998</v>
      </c>
      <c r="P83" s="121">
        <v>2050.4643999999998</v>
      </c>
      <c r="Q83" s="121">
        <v>1865.8960999999999</v>
      </c>
      <c r="R83" s="121">
        <v>2052.2222000000002</v>
      </c>
      <c r="S83" s="124">
        <v>23405.000100000001</v>
      </c>
      <c r="T83" s="38">
        <v>1</v>
      </c>
      <c r="U83" s="125">
        <f>(G84-G91)*$U$81</f>
        <v>263099.39</v>
      </c>
      <c r="V83" s="125">
        <f>+G83</f>
        <v>1958.1802</v>
      </c>
    </row>
    <row r="84" spans="1:22" ht="15">
      <c r="A84" s="63" t="s">
        <v>105</v>
      </c>
      <c r="B84" s="58"/>
      <c r="C84" s="105"/>
      <c r="D84" s="126"/>
      <c r="E84" s="105"/>
      <c r="F84" s="127"/>
      <c r="G84" s="105">
        <v>291.03915000000001</v>
      </c>
      <c r="H84" s="105">
        <v>277.32321999999999</v>
      </c>
      <c r="I84" s="105">
        <v>304.75509</v>
      </c>
      <c r="J84" s="105">
        <v>291.03915000000001</v>
      </c>
      <c r="K84" s="105">
        <v>235.52225999999999</v>
      </c>
      <c r="L84" s="105">
        <v>305.01634999999999</v>
      </c>
      <c r="M84" s="105">
        <v>304.75509</v>
      </c>
      <c r="N84" s="105">
        <v>277.32321999999999</v>
      </c>
      <c r="O84" s="105">
        <v>304.75509</v>
      </c>
      <c r="P84" s="105">
        <v>304.75509</v>
      </c>
      <c r="Q84" s="105">
        <v>277.32321999999999</v>
      </c>
      <c r="R84" s="105">
        <v>305.01634999999999</v>
      </c>
      <c r="S84" s="67">
        <v>3478.6232799999998</v>
      </c>
      <c r="T84" s="38">
        <v>2</v>
      </c>
      <c r="U84" s="125">
        <f>(H84-H91)*$U$81</f>
        <v>250700.19</v>
      </c>
      <c r="V84" s="125">
        <f>+H83</f>
        <v>1865.8960999999999</v>
      </c>
    </row>
    <row r="85" spans="1:22" ht="15">
      <c r="A85" s="63" t="s">
        <v>106</v>
      </c>
      <c r="B85" s="58"/>
      <c r="C85" s="105"/>
      <c r="D85" s="126"/>
      <c r="E85" s="105"/>
      <c r="F85" s="127"/>
      <c r="G85" s="64">
        <v>28.37968</v>
      </c>
      <c r="H85" s="64">
        <v>27.04222</v>
      </c>
      <c r="I85" s="64">
        <v>29.71715</v>
      </c>
      <c r="J85" s="64">
        <v>28.37968</v>
      </c>
      <c r="K85" s="64">
        <v>22.966149999999999</v>
      </c>
      <c r="L85" s="64">
        <v>29.742619999999999</v>
      </c>
      <c r="M85" s="64">
        <v>29.71715</v>
      </c>
      <c r="N85" s="64">
        <v>27.04222</v>
      </c>
      <c r="O85" s="64">
        <v>29.71715</v>
      </c>
      <c r="P85" s="64">
        <v>29.71715</v>
      </c>
      <c r="Q85" s="64">
        <v>27.04222</v>
      </c>
      <c r="R85" s="64">
        <v>29.742619999999999</v>
      </c>
      <c r="S85" s="67">
        <v>339.20600999999999</v>
      </c>
      <c r="T85" s="38">
        <v>3</v>
      </c>
      <c r="U85" s="125">
        <f>(I84-I91)*U81</f>
        <v>275498.60000000003</v>
      </c>
      <c r="V85" s="125">
        <f>+I83</f>
        <v>2050.4643999999998</v>
      </c>
    </row>
    <row r="86" spans="1:22" ht="15">
      <c r="A86" s="63" t="s">
        <v>107</v>
      </c>
      <c r="B86" s="58"/>
      <c r="C86" s="105"/>
      <c r="D86" s="126"/>
      <c r="E86" s="105"/>
      <c r="F86" s="127"/>
      <c r="G86" s="64">
        <v>319.41883999999999</v>
      </c>
      <c r="H86" s="64">
        <v>304.36543999999998</v>
      </c>
      <c r="I86" s="64">
        <v>334.47224999999997</v>
      </c>
      <c r="J86" s="64">
        <v>319.41883999999999</v>
      </c>
      <c r="K86" s="64">
        <v>258.48842000000002</v>
      </c>
      <c r="L86" s="64">
        <v>334.75896999999998</v>
      </c>
      <c r="M86" s="64">
        <v>334.47224999999997</v>
      </c>
      <c r="N86" s="64">
        <v>304.36543999999998</v>
      </c>
      <c r="O86" s="64">
        <v>334.47224999999997</v>
      </c>
      <c r="P86" s="64">
        <v>334.47224999999997</v>
      </c>
      <c r="Q86" s="64">
        <v>304.36543999999998</v>
      </c>
      <c r="R86" s="64">
        <v>334.75896999999998</v>
      </c>
      <c r="S86" s="67">
        <v>3817.8293600000002</v>
      </c>
      <c r="T86" s="38">
        <v>4</v>
      </c>
      <c r="U86" s="125">
        <f>(J84-J91)*U81</f>
        <v>263099.39</v>
      </c>
      <c r="V86" s="125">
        <f>+J83</f>
        <v>1958.1802</v>
      </c>
    </row>
    <row r="87" spans="1:22" ht="15">
      <c r="A87" s="63" t="s">
        <v>48</v>
      </c>
      <c r="B87" s="58"/>
      <c r="C87" s="64"/>
      <c r="D87" s="126"/>
      <c r="E87" s="64"/>
      <c r="F87" s="127"/>
      <c r="G87" s="64">
        <v>145.20913999999999</v>
      </c>
      <c r="H87" s="64">
        <v>138.36581000000001</v>
      </c>
      <c r="I87" s="64">
        <v>152.05248</v>
      </c>
      <c r="J87" s="64">
        <v>145.20913999999999</v>
      </c>
      <c r="K87" s="64">
        <v>117.50991999999999</v>
      </c>
      <c r="L87" s="64">
        <v>152.18283</v>
      </c>
      <c r="M87" s="64">
        <v>152.05248</v>
      </c>
      <c r="N87" s="64">
        <v>138.36581000000001</v>
      </c>
      <c r="O87" s="64">
        <v>152.05248</v>
      </c>
      <c r="P87" s="64">
        <v>152.05248</v>
      </c>
      <c r="Q87" s="64">
        <v>138.36581000000001</v>
      </c>
      <c r="R87" s="64">
        <v>152.18283</v>
      </c>
      <c r="S87" s="67">
        <v>1735.60121</v>
      </c>
      <c r="T87" s="38">
        <v>5</v>
      </c>
      <c r="U87" s="125">
        <f>(K84-K91)*U81</f>
        <v>212912.12</v>
      </c>
      <c r="V87" s="125">
        <f>+K83</f>
        <v>1584.6494</v>
      </c>
    </row>
    <row r="88" spans="1:22" ht="15">
      <c r="A88" s="63" t="s">
        <v>108</v>
      </c>
      <c r="B88" s="58"/>
      <c r="C88" s="64"/>
      <c r="D88" s="126"/>
      <c r="E88" s="64"/>
      <c r="F88" s="127"/>
      <c r="G88" s="64">
        <f>SUM(4.18326)</f>
        <v>4.1832599999999998</v>
      </c>
      <c r="H88" s="64">
        <f>SUM(3.9861)</f>
        <v>3.9861</v>
      </c>
      <c r="I88" s="64">
        <f>SUM(4.3804)</f>
        <v>4.3803999999999998</v>
      </c>
      <c r="J88" s="64">
        <f>SUM(4.18326)</f>
        <v>4.1832599999999998</v>
      </c>
      <c r="K88" s="64">
        <f>SUM(3.38528)</f>
        <v>3.3852799999999998</v>
      </c>
      <c r="L88" s="64">
        <f>SUM(4.38416)</f>
        <v>4.3841599999999996</v>
      </c>
      <c r="M88" s="64">
        <f>SUM(4.3804)</f>
        <v>4.3803999999999998</v>
      </c>
      <c r="N88" s="64">
        <f>SUM(3.9861)</f>
        <v>3.9861</v>
      </c>
      <c r="O88" s="64">
        <f>SUM(4.3804)</f>
        <v>4.3803999999999998</v>
      </c>
      <c r="P88" s="64">
        <f>SUM(4.3804)</f>
        <v>4.3803999999999998</v>
      </c>
      <c r="Q88" s="64">
        <f>SUM(3.9861)</f>
        <v>3.9861</v>
      </c>
      <c r="R88" s="64">
        <f>SUM(4.38416)</f>
        <v>4.3841599999999996</v>
      </c>
      <c r="S88" s="67">
        <f>SUM(50.00002)</f>
        <v>50.000019999999999</v>
      </c>
      <c r="T88" s="38">
        <v>6</v>
      </c>
      <c r="U88" s="125">
        <f>(L84-L91)*U81</f>
        <v>275734.78000000003</v>
      </c>
      <c r="V88" s="125">
        <f>+L83</f>
        <v>2052.2222000000002</v>
      </c>
    </row>
    <row r="89" spans="1:22" ht="15">
      <c r="A89" s="63" t="s">
        <v>91</v>
      </c>
      <c r="B89" s="58"/>
      <c r="C89" s="64"/>
      <c r="D89" s="126"/>
      <c r="E89" s="64"/>
      <c r="F89" s="127"/>
      <c r="G89" s="64">
        <f>G90-G87-SUM(4.18326)</f>
        <v>6.1579600000000214</v>
      </c>
      <c r="H89" s="64">
        <f>H90-H87-SUM(3.9861)</f>
        <v>5.8677299999999875</v>
      </c>
      <c r="I89" s="64">
        <f>I90-I87-SUM(4.3804)</f>
        <v>6.4481699999999851</v>
      </c>
      <c r="J89" s="64">
        <f>J90-J87-SUM(4.18326)</f>
        <v>6.1579600000000214</v>
      </c>
      <c r="K89" s="64">
        <f>K90-K87-SUM(3.38528)</f>
        <v>4.9833000000000087</v>
      </c>
      <c r="L89" s="64">
        <f>L90-L87-SUM(4.38416)</f>
        <v>6.4536800000000003</v>
      </c>
      <c r="M89" s="64">
        <f>M90-M87-SUM(4.3804)</f>
        <v>6.4481699999999851</v>
      </c>
      <c r="N89" s="64">
        <f>N90-N87-SUM(3.9861)</f>
        <v>5.8677299999999875</v>
      </c>
      <c r="O89" s="64">
        <f>O90-O87-SUM(4.3804)</f>
        <v>6.4481699999999851</v>
      </c>
      <c r="P89" s="64">
        <f>P90-P87-SUM(4.3804)</f>
        <v>6.4481699999999851</v>
      </c>
      <c r="Q89" s="64">
        <f>Q90-Q87-SUM(3.9861)</f>
        <v>5.8677299999999875</v>
      </c>
      <c r="R89" s="64">
        <f>R90-R87-SUM(4.38416)</f>
        <v>6.4536800000000003</v>
      </c>
      <c r="S89" s="67">
        <f>S90-S87-SUM(50.00002)</f>
        <v>73.602450000000033</v>
      </c>
      <c r="T89" s="38">
        <v>7</v>
      </c>
      <c r="U89" s="125">
        <f>(M84-M91)*U81</f>
        <v>275498.60000000003</v>
      </c>
      <c r="V89" s="125">
        <f>+M83</f>
        <v>2050.4643999999998</v>
      </c>
    </row>
    <row r="90" spans="1:22" ht="15">
      <c r="A90" s="63" t="s">
        <v>109</v>
      </c>
      <c r="B90" s="58"/>
      <c r="C90" s="64"/>
      <c r="D90" s="195"/>
      <c r="E90" s="64"/>
      <c r="F90" s="196"/>
      <c r="G90" s="64">
        <v>155.55036000000001</v>
      </c>
      <c r="H90" s="64">
        <v>148.21964</v>
      </c>
      <c r="I90" s="64">
        <v>162.88104999999999</v>
      </c>
      <c r="J90" s="64">
        <v>155.55036000000001</v>
      </c>
      <c r="K90" s="64">
        <v>125.8785</v>
      </c>
      <c r="L90" s="64">
        <v>163.02067</v>
      </c>
      <c r="M90" s="64">
        <v>162.88104999999999</v>
      </c>
      <c r="N90" s="64">
        <v>148.21964</v>
      </c>
      <c r="O90" s="64">
        <v>162.88104999999999</v>
      </c>
      <c r="P90" s="64">
        <v>162.88104999999999</v>
      </c>
      <c r="Q90" s="64">
        <v>148.21964</v>
      </c>
      <c r="R90" s="64">
        <v>163.02067</v>
      </c>
      <c r="S90" s="67">
        <v>1859.2036800000001</v>
      </c>
      <c r="T90" s="38">
        <v>8</v>
      </c>
      <c r="U90" s="125">
        <f>(N84-N91)*U81</f>
        <v>250700.19</v>
      </c>
      <c r="V90" s="125">
        <f>+N83</f>
        <v>1865.8960999999999</v>
      </c>
    </row>
    <row r="91" spans="1:22">
      <c r="A91" s="68" t="s">
        <v>110</v>
      </c>
      <c r="B91" s="69"/>
      <c r="C91" s="70"/>
      <c r="D91" s="197"/>
      <c r="E91" s="70"/>
      <c r="F91" s="198"/>
      <c r="G91" s="70">
        <f>SUM(21.82794,6.11182)</f>
        <v>27.93976</v>
      </c>
      <c r="H91" s="70">
        <f>SUM(20.79924,5.82379)</f>
        <v>26.62303</v>
      </c>
      <c r="I91" s="70">
        <f>SUM(22.85663,6.39986)</f>
        <v>29.256489999999999</v>
      </c>
      <c r="J91" s="70">
        <f>SUM(21.82794,6.11182)</f>
        <v>27.93976</v>
      </c>
      <c r="K91" s="70">
        <f>SUM(17.66417,4.94597)</f>
        <v>22.610139999999998</v>
      </c>
      <c r="L91" s="70">
        <f>SUM(22.87623,6.40534)</f>
        <v>29.281569999999999</v>
      </c>
      <c r="M91" s="70">
        <f>SUM(22.85663,6.39986)</f>
        <v>29.256489999999999</v>
      </c>
      <c r="N91" s="70">
        <f>SUM(20.79924,5.82379)</f>
        <v>26.62303</v>
      </c>
      <c r="O91" s="70">
        <f>SUM(22.85663,6.39986)</f>
        <v>29.256489999999999</v>
      </c>
      <c r="P91" s="70">
        <f>SUM(22.85663,6.39986)</f>
        <v>29.256489999999999</v>
      </c>
      <c r="Q91" s="70">
        <f>SUM(20.79924,5.82379)</f>
        <v>26.62303</v>
      </c>
      <c r="R91" s="70">
        <f>SUM(22.87623,6.40534)</f>
        <v>29.281569999999999</v>
      </c>
      <c r="S91" s="73">
        <f>SUM(260.89675,73.0511)</f>
        <v>333.94785000000002</v>
      </c>
      <c r="T91" s="38">
        <v>9</v>
      </c>
      <c r="U91" s="125">
        <f>(O84-O91)*U81</f>
        <v>275498.60000000003</v>
      </c>
      <c r="V91" s="125">
        <f>+O83</f>
        <v>2050.4643999999998</v>
      </c>
    </row>
    <row r="92" spans="1:22">
      <c r="A92" s="68" t="s">
        <v>111</v>
      </c>
      <c r="B92" s="69"/>
      <c r="C92" s="70"/>
      <c r="D92" s="197"/>
      <c r="E92" s="70"/>
      <c r="F92" s="198"/>
      <c r="G92" s="70">
        <f>SUM(1.60072,3.17927)</f>
        <v>4.7799899999999997</v>
      </c>
      <c r="H92" s="70">
        <f>SUM(1.52528,3.02944)</f>
        <v>4.5547199999999997</v>
      </c>
      <c r="I92" s="70">
        <f>SUM(1.67615,3.3291)</f>
        <v>5.0052500000000002</v>
      </c>
      <c r="J92" s="70">
        <f>SUM(1.60072,3.17927)</f>
        <v>4.7799899999999997</v>
      </c>
      <c r="K92" s="70">
        <f>SUM(1.29537,2.57281)</f>
        <v>3.8681799999999997</v>
      </c>
      <c r="L92" s="70">
        <f>SUM(1.67759,3.33196)</f>
        <v>5.0095499999999999</v>
      </c>
      <c r="M92" s="70">
        <f>SUM(1.67615,3.3291)</f>
        <v>5.0052500000000002</v>
      </c>
      <c r="N92" s="70">
        <f>SUM(1.52528,3.02944)</f>
        <v>4.5547199999999997</v>
      </c>
      <c r="O92" s="70">
        <f>SUM(1.67615,3.3291)</f>
        <v>5.0052500000000002</v>
      </c>
      <c r="P92" s="70">
        <f>SUM(1.67615,3.3291)</f>
        <v>5.0052500000000002</v>
      </c>
      <c r="Q92" s="70">
        <f>SUM(1.52528,3.02944)</f>
        <v>4.5547199999999997</v>
      </c>
      <c r="R92" s="70">
        <f>SUM(1.67759,3.33196)</f>
        <v>5.0095499999999999</v>
      </c>
      <c r="S92" s="73">
        <f>SUM(19.13243,37.99999)</f>
        <v>57.132419999999996</v>
      </c>
      <c r="T92" s="38">
        <v>10</v>
      </c>
      <c r="U92" s="125">
        <f>(P84-P91)*U81</f>
        <v>275498.60000000003</v>
      </c>
      <c r="V92" s="125">
        <f>+P83</f>
        <v>2050.4643999999998</v>
      </c>
    </row>
    <row r="93" spans="1:22" ht="15">
      <c r="A93" s="63" t="s">
        <v>112</v>
      </c>
      <c r="B93" s="58"/>
      <c r="C93" s="64"/>
      <c r="D93" s="195"/>
      <c r="E93" s="64"/>
      <c r="F93" s="196"/>
      <c r="G93" s="70">
        <f>SUM(19.16383,11.29528)</f>
        <v>30.459110000000003</v>
      </c>
      <c r="H93" s="70">
        <f>SUM(19.0989,11.29528)</f>
        <v>30.394179999999999</v>
      </c>
      <c r="I93" s="70">
        <f>SUM(19.22876,11.29528)</f>
        <v>30.524039999999999</v>
      </c>
      <c r="J93" s="70">
        <f>SUM(19.16383,11.29528)</f>
        <v>30.459110000000003</v>
      </c>
      <c r="K93" s="70">
        <f>SUM(18.90102,11.29528)</f>
        <v>30.196300000000001</v>
      </c>
      <c r="L93" s="70">
        <f>SUM(19.23,11.29528)</f>
        <v>30.525280000000002</v>
      </c>
      <c r="M93" s="70">
        <f>SUM(19.22876,11.29528)</f>
        <v>30.524039999999999</v>
      </c>
      <c r="N93" s="70">
        <f>SUM(19.0989,11.29528)</f>
        <v>30.394179999999999</v>
      </c>
      <c r="O93" s="70">
        <f>SUM(19.22876,11.29528)</f>
        <v>30.524039999999999</v>
      </c>
      <c r="P93" s="70">
        <f>SUM(19.22876,11.29528)</f>
        <v>30.524039999999999</v>
      </c>
      <c r="Q93" s="70">
        <f>SUM(19.0989,11.29528)</f>
        <v>30.394179999999999</v>
      </c>
      <c r="R93" s="70">
        <f>SUM(19.23,11.29528)</f>
        <v>30.525280000000002</v>
      </c>
      <c r="S93" s="73">
        <f>SUM(229.90042,135.54336)</f>
        <v>365.44378</v>
      </c>
      <c r="T93" s="38">
        <v>11</v>
      </c>
      <c r="U93" s="125">
        <f>(Q84-Q91)*U81</f>
        <v>250700.19</v>
      </c>
      <c r="V93" s="125">
        <f>+Q83</f>
        <v>1865.8960999999999</v>
      </c>
    </row>
    <row r="94" spans="1:22" ht="15">
      <c r="A94" s="63" t="s">
        <v>65</v>
      </c>
      <c r="B94" s="58"/>
      <c r="C94" s="64"/>
      <c r="D94" s="195"/>
      <c r="E94" s="64"/>
      <c r="F94" s="196"/>
      <c r="G94" s="70">
        <f t="shared" ref="G94:R94" si="28">SUM(1.58083)</f>
        <v>1.58083</v>
      </c>
      <c r="H94" s="70">
        <f t="shared" si="28"/>
        <v>1.58083</v>
      </c>
      <c r="I94" s="70">
        <f t="shared" si="28"/>
        <v>1.58083</v>
      </c>
      <c r="J94" s="70">
        <f t="shared" si="28"/>
        <v>1.58083</v>
      </c>
      <c r="K94" s="70">
        <f t="shared" si="28"/>
        <v>1.58083</v>
      </c>
      <c r="L94" s="70">
        <f t="shared" si="28"/>
        <v>1.58083</v>
      </c>
      <c r="M94" s="70">
        <f t="shared" si="28"/>
        <v>1.58083</v>
      </c>
      <c r="N94" s="70">
        <f t="shared" si="28"/>
        <v>1.58083</v>
      </c>
      <c r="O94" s="70">
        <f t="shared" si="28"/>
        <v>1.58083</v>
      </c>
      <c r="P94" s="70">
        <f t="shared" si="28"/>
        <v>1.58083</v>
      </c>
      <c r="Q94" s="70">
        <f t="shared" si="28"/>
        <v>1.58083</v>
      </c>
      <c r="R94" s="70">
        <f t="shared" si="28"/>
        <v>1.58083</v>
      </c>
      <c r="S94" s="73">
        <f>SUM(18.96996)</f>
        <v>18.96996</v>
      </c>
      <c r="T94" s="38">
        <v>12</v>
      </c>
      <c r="U94" s="125">
        <f>(R84-R91)*U81</f>
        <v>275734.78000000003</v>
      </c>
      <c r="V94" s="125">
        <f>+R83</f>
        <v>2052.2222000000002</v>
      </c>
    </row>
    <row r="95" spans="1:22" ht="15">
      <c r="A95" s="63" t="s">
        <v>67</v>
      </c>
      <c r="B95" s="58"/>
      <c r="C95" s="97"/>
      <c r="D95" s="195"/>
      <c r="E95" s="97"/>
      <c r="F95" s="196"/>
      <c r="G95" s="70">
        <f>SUM(7.37872,16.13366,1)</f>
        <v>24.51238</v>
      </c>
      <c r="H95" s="70">
        <f>SUM(7.03098,16.13366,1)</f>
        <v>24.164639999999999</v>
      </c>
      <c r="I95" s="70">
        <f>SUM(7.72646,16.13366,1)</f>
        <v>24.860119999999998</v>
      </c>
      <c r="J95" s="70">
        <f>SUM(7.37872,16.13366,1)</f>
        <v>24.51238</v>
      </c>
      <c r="K95" s="70">
        <f>SUM(5.9712,16.13366,1)</f>
        <v>23.104859999999999</v>
      </c>
      <c r="L95" s="70">
        <f>SUM(7.73308,16.13366,1)</f>
        <v>24.86674</v>
      </c>
      <c r="M95" s="70">
        <f>SUM(7.72646,16.13366,1)</f>
        <v>24.860119999999998</v>
      </c>
      <c r="N95" s="70">
        <f>SUM(7.03098,16.13366,1)</f>
        <v>24.164639999999999</v>
      </c>
      <c r="O95" s="70">
        <f>SUM(7.72646,16.13366,1)</f>
        <v>24.860119999999998</v>
      </c>
      <c r="P95" s="70">
        <f>SUM(7.72646,16.13366,1)</f>
        <v>24.860119999999998</v>
      </c>
      <c r="Q95" s="70">
        <f>SUM(7.03098,16.13366,1)</f>
        <v>24.164639999999999</v>
      </c>
      <c r="R95" s="70">
        <f>SUM(7.73308,16.13366,1)</f>
        <v>24.86674</v>
      </c>
      <c r="S95" s="73">
        <f>SUM(88.19358,193.60392,12)</f>
        <v>293.79750000000001</v>
      </c>
      <c r="U95" s="125">
        <f>SUM(U83:U94)</f>
        <v>3144675.4299999997</v>
      </c>
      <c r="V95" s="125">
        <f>SUM(V83:V94)</f>
        <v>23405.000100000001</v>
      </c>
    </row>
    <row r="96" spans="1:22" hidden="1" outlineLevel="1">
      <c r="A96" s="75" t="s">
        <v>113</v>
      </c>
      <c r="B96" s="69"/>
      <c r="C96" s="70"/>
      <c r="D96" s="71"/>
      <c r="E96" s="70"/>
      <c r="F96" s="72"/>
      <c r="G96" s="76">
        <f>SUM(7.37872)</f>
        <v>7.3787200000000004</v>
      </c>
      <c r="H96" s="76">
        <f>SUM(7.03098)</f>
        <v>7.0309799999999996</v>
      </c>
      <c r="I96" s="76">
        <f>SUM(7.72646)</f>
        <v>7.7264600000000003</v>
      </c>
      <c r="J96" s="76">
        <f>SUM(7.37872)</f>
        <v>7.3787200000000004</v>
      </c>
      <c r="K96" s="76">
        <f>SUM(5.9712)</f>
        <v>5.9711999999999996</v>
      </c>
      <c r="L96" s="76">
        <f>SUM(7.73308)</f>
        <v>7.7330800000000002</v>
      </c>
      <c r="M96" s="76">
        <f>SUM(7.72646)</f>
        <v>7.7264600000000003</v>
      </c>
      <c r="N96" s="76">
        <f>SUM(7.03098)</f>
        <v>7.0309799999999996</v>
      </c>
      <c r="O96" s="76">
        <f>SUM(7.72646)</f>
        <v>7.7264600000000003</v>
      </c>
      <c r="P96" s="76">
        <f>SUM(7.72646)</f>
        <v>7.7264600000000003</v>
      </c>
      <c r="Q96" s="76">
        <f>SUM(7.03098)</f>
        <v>7.0309799999999996</v>
      </c>
      <c r="R96" s="76">
        <f>SUM(7.73308)</f>
        <v>7.7330800000000002</v>
      </c>
      <c r="S96" s="77">
        <f>SUM(88.19358)</f>
        <v>88.193579999999997</v>
      </c>
      <c r="U96" s="125"/>
    </row>
    <row r="97" spans="1:19" hidden="1" outlineLevel="1">
      <c r="A97" s="75" t="s">
        <v>70</v>
      </c>
      <c r="B97" s="69"/>
      <c r="C97" s="70"/>
      <c r="D97" s="71"/>
      <c r="E97" s="70"/>
      <c r="F97" s="72"/>
      <c r="G97" s="76">
        <f t="shared" ref="G97:R97" si="29">SUM(16.13366)</f>
        <v>16.133659999999999</v>
      </c>
      <c r="H97" s="76">
        <f t="shared" si="29"/>
        <v>16.133659999999999</v>
      </c>
      <c r="I97" s="76">
        <f t="shared" si="29"/>
        <v>16.133659999999999</v>
      </c>
      <c r="J97" s="76">
        <f t="shared" si="29"/>
        <v>16.133659999999999</v>
      </c>
      <c r="K97" s="76">
        <f t="shared" si="29"/>
        <v>16.133659999999999</v>
      </c>
      <c r="L97" s="76">
        <f t="shared" si="29"/>
        <v>16.133659999999999</v>
      </c>
      <c r="M97" s="76">
        <f t="shared" si="29"/>
        <v>16.133659999999999</v>
      </c>
      <c r="N97" s="76">
        <f t="shared" si="29"/>
        <v>16.133659999999999</v>
      </c>
      <c r="O97" s="76">
        <f t="shared" si="29"/>
        <v>16.133659999999999</v>
      </c>
      <c r="P97" s="76">
        <f t="shared" si="29"/>
        <v>16.133659999999999</v>
      </c>
      <c r="Q97" s="76">
        <f t="shared" si="29"/>
        <v>16.133659999999999</v>
      </c>
      <c r="R97" s="76">
        <f t="shared" si="29"/>
        <v>16.133659999999999</v>
      </c>
      <c r="S97" s="77">
        <f>SUM(193.60392)</f>
        <v>193.60391999999999</v>
      </c>
    </row>
    <row r="98" spans="1:19" hidden="1" outlineLevel="1">
      <c r="A98" s="75" t="s">
        <v>71</v>
      </c>
      <c r="B98" s="69"/>
      <c r="C98" s="70"/>
      <c r="D98" s="71"/>
      <c r="E98" s="70"/>
      <c r="F98" s="72"/>
      <c r="G98" s="76">
        <f t="shared" ref="G98:R98" si="30">SUM(1.38366)</f>
        <v>1.3836599999999999</v>
      </c>
      <c r="H98" s="76">
        <f t="shared" si="30"/>
        <v>1.3836599999999999</v>
      </c>
      <c r="I98" s="76">
        <f t="shared" si="30"/>
        <v>1.3836599999999999</v>
      </c>
      <c r="J98" s="76">
        <f t="shared" si="30"/>
        <v>1.3836599999999999</v>
      </c>
      <c r="K98" s="76">
        <f t="shared" si="30"/>
        <v>1.3836599999999999</v>
      </c>
      <c r="L98" s="76">
        <f t="shared" si="30"/>
        <v>1.3836599999999999</v>
      </c>
      <c r="M98" s="76">
        <f t="shared" si="30"/>
        <v>1.3836599999999999</v>
      </c>
      <c r="N98" s="76">
        <f t="shared" si="30"/>
        <v>1.3836599999999999</v>
      </c>
      <c r="O98" s="76">
        <f t="shared" si="30"/>
        <v>1.3836599999999999</v>
      </c>
      <c r="P98" s="76">
        <f t="shared" si="30"/>
        <v>1.3836599999999999</v>
      </c>
      <c r="Q98" s="76">
        <f t="shared" si="30"/>
        <v>1.3836599999999999</v>
      </c>
      <c r="R98" s="76">
        <f t="shared" si="30"/>
        <v>1.3836599999999999</v>
      </c>
      <c r="S98" s="77">
        <f>SUM(16.60392)</f>
        <v>16.603919999999999</v>
      </c>
    </row>
    <row r="99" spans="1:19" hidden="1" outlineLevel="1">
      <c r="A99" s="75" t="s">
        <v>72</v>
      </c>
      <c r="B99" s="69"/>
      <c r="C99" s="70"/>
      <c r="D99" s="71"/>
      <c r="E99" s="70"/>
      <c r="F99" s="72"/>
      <c r="G99" s="76">
        <f t="shared" ref="G99:R99" si="31">SUM(8.33333)</f>
        <v>8.3333300000000001</v>
      </c>
      <c r="H99" s="76">
        <f t="shared" si="31"/>
        <v>8.3333300000000001</v>
      </c>
      <c r="I99" s="76">
        <f t="shared" si="31"/>
        <v>8.3333300000000001</v>
      </c>
      <c r="J99" s="76">
        <f t="shared" si="31"/>
        <v>8.3333300000000001</v>
      </c>
      <c r="K99" s="76">
        <f t="shared" si="31"/>
        <v>8.3333300000000001</v>
      </c>
      <c r="L99" s="76">
        <f t="shared" si="31"/>
        <v>8.3333300000000001</v>
      </c>
      <c r="M99" s="76">
        <f t="shared" si="31"/>
        <v>8.3333300000000001</v>
      </c>
      <c r="N99" s="76">
        <f t="shared" si="31"/>
        <v>8.3333300000000001</v>
      </c>
      <c r="O99" s="76">
        <f t="shared" si="31"/>
        <v>8.3333300000000001</v>
      </c>
      <c r="P99" s="76">
        <f t="shared" si="31"/>
        <v>8.3333300000000001</v>
      </c>
      <c r="Q99" s="76">
        <f t="shared" si="31"/>
        <v>8.3333300000000001</v>
      </c>
      <c r="R99" s="76">
        <f t="shared" si="31"/>
        <v>8.3333300000000001</v>
      </c>
      <c r="S99" s="77">
        <f>SUM(99.99996)</f>
        <v>99.999960000000002</v>
      </c>
    </row>
    <row r="100" spans="1:19" hidden="1" outlineLevel="1">
      <c r="A100" s="75" t="s">
        <v>114</v>
      </c>
      <c r="B100" s="69"/>
      <c r="C100" s="70"/>
      <c r="D100" s="71"/>
      <c r="E100" s="70"/>
      <c r="F100" s="72"/>
      <c r="G100" s="76">
        <f t="shared" ref="G100:R100" si="32">SUM(1)</f>
        <v>1</v>
      </c>
      <c r="H100" s="76">
        <f t="shared" si="32"/>
        <v>1</v>
      </c>
      <c r="I100" s="76">
        <f t="shared" si="32"/>
        <v>1</v>
      </c>
      <c r="J100" s="76">
        <f t="shared" si="32"/>
        <v>1</v>
      </c>
      <c r="K100" s="76">
        <f t="shared" si="32"/>
        <v>1</v>
      </c>
      <c r="L100" s="76">
        <f t="shared" si="32"/>
        <v>1</v>
      </c>
      <c r="M100" s="76">
        <f t="shared" si="32"/>
        <v>1</v>
      </c>
      <c r="N100" s="76">
        <f t="shared" si="32"/>
        <v>1</v>
      </c>
      <c r="O100" s="76">
        <f t="shared" si="32"/>
        <v>1</v>
      </c>
      <c r="P100" s="76">
        <f t="shared" si="32"/>
        <v>1</v>
      </c>
      <c r="Q100" s="76">
        <f t="shared" si="32"/>
        <v>1</v>
      </c>
      <c r="R100" s="76">
        <f t="shared" si="32"/>
        <v>1</v>
      </c>
      <c r="S100" s="77">
        <f>SUM(12)</f>
        <v>12</v>
      </c>
    </row>
    <row r="101" spans="1:19" hidden="1" outlineLevel="1">
      <c r="A101" s="75" t="s">
        <v>115</v>
      </c>
      <c r="B101" s="69"/>
      <c r="C101" s="70"/>
      <c r="D101" s="71"/>
      <c r="E101" s="70"/>
      <c r="F101" s="72"/>
      <c r="G101" s="76">
        <f t="shared" ref="G101:S101" si="33">SUM(0)</f>
        <v>0</v>
      </c>
      <c r="H101" s="76">
        <f t="shared" si="33"/>
        <v>0</v>
      </c>
      <c r="I101" s="76">
        <f t="shared" si="33"/>
        <v>0</v>
      </c>
      <c r="J101" s="76">
        <f t="shared" si="33"/>
        <v>0</v>
      </c>
      <c r="K101" s="76">
        <f t="shared" si="33"/>
        <v>0</v>
      </c>
      <c r="L101" s="76">
        <f t="shared" si="33"/>
        <v>0</v>
      </c>
      <c r="M101" s="76">
        <f t="shared" si="33"/>
        <v>0</v>
      </c>
      <c r="N101" s="76">
        <f t="shared" si="33"/>
        <v>0</v>
      </c>
      <c r="O101" s="76">
        <f t="shared" si="33"/>
        <v>0</v>
      </c>
      <c r="P101" s="76">
        <f t="shared" si="33"/>
        <v>0</v>
      </c>
      <c r="Q101" s="76">
        <f t="shared" si="33"/>
        <v>0</v>
      </c>
      <c r="R101" s="76">
        <f t="shared" si="33"/>
        <v>0</v>
      </c>
      <c r="S101" s="77">
        <f t="shared" si="33"/>
        <v>0</v>
      </c>
    </row>
    <row r="102" spans="1:19" hidden="1" outlineLevel="1">
      <c r="A102" s="75" t="s">
        <v>74</v>
      </c>
      <c r="B102" s="69"/>
      <c r="C102" s="70"/>
      <c r="D102" s="71"/>
      <c r="E102" s="70"/>
      <c r="F102" s="72"/>
      <c r="G102" s="76">
        <f t="shared" ref="G102:R102" si="34">SUM(1.08333)</f>
        <v>1.0833299999999999</v>
      </c>
      <c r="H102" s="76">
        <f t="shared" si="34"/>
        <v>1.0833299999999999</v>
      </c>
      <c r="I102" s="76">
        <f t="shared" si="34"/>
        <v>1.0833299999999999</v>
      </c>
      <c r="J102" s="76">
        <f t="shared" si="34"/>
        <v>1.0833299999999999</v>
      </c>
      <c r="K102" s="76">
        <f t="shared" si="34"/>
        <v>1.0833299999999999</v>
      </c>
      <c r="L102" s="76">
        <f t="shared" si="34"/>
        <v>1.0833299999999999</v>
      </c>
      <c r="M102" s="76">
        <f t="shared" si="34"/>
        <v>1.0833299999999999</v>
      </c>
      <c r="N102" s="76">
        <f t="shared" si="34"/>
        <v>1.0833299999999999</v>
      </c>
      <c r="O102" s="76">
        <f t="shared" si="34"/>
        <v>1.0833299999999999</v>
      </c>
      <c r="P102" s="76">
        <f t="shared" si="34"/>
        <v>1.0833299999999999</v>
      </c>
      <c r="Q102" s="76">
        <f t="shared" si="34"/>
        <v>1.0833299999999999</v>
      </c>
      <c r="R102" s="76">
        <f t="shared" si="34"/>
        <v>1.0833299999999999</v>
      </c>
      <c r="S102" s="77">
        <f>SUM(12.99996)</f>
        <v>12.99996</v>
      </c>
    </row>
    <row r="103" spans="1:19" hidden="1" outlineLevel="1">
      <c r="A103" s="75" t="s">
        <v>116</v>
      </c>
      <c r="B103" s="69"/>
      <c r="C103" s="70"/>
      <c r="D103" s="71"/>
      <c r="E103" s="70"/>
      <c r="F103" s="72"/>
      <c r="G103" s="76">
        <f t="shared" ref="G103:R103" si="35">SUM(1)</f>
        <v>1</v>
      </c>
      <c r="H103" s="76">
        <f t="shared" si="35"/>
        <v>1</v>
      </c>
      <c r="I103" s="76">
        <f t="shared" si="35"/>
        <v>1</v>
      </c>
      <c r="J103" s="76">
        <f t="shared" si="35"/>
        <v>1</v>
      </c>
      <c r="K103" s="76">
        <f t="shared" si="35"/>
        <v>1</v>
      </c>
      <c r="L103" s="76">
        <f t="shared" si="35"/>
        <v>1</v>
      </c>
      <c r="M103" s="76">
        <f t="shared" si="35"/>
        <v>1</v>
      </c>
      <c r="N103" s="76">
        <f t="shared" si="35"/>
        <v>1</v>
      </c>
      <c r="O103" s="76">
        <f t="shared" si="35"/>
        <v>1</v>
      </c>
      <c r="P103" s="76">
        <f t="shared" si="35"/>
        <v>1</v>
      </c>
      <c r="Q103" s="76">
        <f t="shared" si="35"/>
        <v>1</v>
      </c>
      <c r="R103" s="76">
        <f t="shared" si="35"/>
        <v>1</v>
      </c>
      <c r="S103" s="77">
        <f>SUM(12)</f>
        <v>12</v>
      </c>
    </row>
    <row r="104" spans="1:19" ht="16" collapsed="1" thickBot="1">
      <c r="A104" s="78" t="s">
        <v>76</v>
      </c>
      <c r="B104" s="58"/>
      <c r="C104" s="79"/>
      <c r="D104" s="199"/>
      <c r="E104" s="79"/>
      <c r="F104" s="200"/>
      <c r="G104" s="79">
        <f t="shared" ref="G104:S104" si="36">+G90-G91-G92-G93-G94-G95</f>
        <v>66.278289999999998</v>
      </c>
      <c r="H104" s="79">
        <f t="shared" si="36"/>
        <v>60.902239999999985</v>
      </c>
      <c r="I104" s="79">
        <f t="shared" si="36"/>
        <v>71.654319999999984</v>
      </c>
      <c r="J104" s="79">
        <f t="shared" si="36"/>
        <v>66.278289999999998</v>
      </c>
      <c r="K104" s="79">
        <f t="shared" si="36"/>
        <v>44.51818999999999</v>
      </c>
      <c r="L104" s="79">
        <f t="shared" si="36"/>
        <v>71.756699999999995</v>
      </c>
      <c r="M104" s="79">
        <f t="shared" si="36"/>
        <v>71.654319999999984</v>
      </c>
      <c r="N104" s="79">
        <f t="shared" si="36"/>
        <v>60.902239999999985</v>
      </c>
      <c r="O104" s="79">
        <f t="shared" si="36"/>
        <v>71.654319999999984</v>
      </c>
      <c r="P104" s="79">
        <f t="shared" si="36"/>
        <v>71.654319999999984</v>
      </c>
      <c r="Q104" s="79">
        <f t="shared" si="36"/>
        <v>60.902239999999985</v>
      </c>
      <c r="R104" s="79">
        <f t="shared" si="36"/>
        <v>71.756699999999995</v>
      </c>
      <c r="S104" s="82">
        <f t="shared" si="36"/>
        <v>789.91217000000017</v>
      </c>
    </row>
    <row r="105" spans="1:19" ht="16" thickTop="1">
      <c r="A105" s="83" t="s">
        <v>117</v>
      </c>
      <c r="B105" s="83"/>
      <c r="C105" s="128"/>
      <c r="D105" s="201"/>
      <c r="E105" s="128"/>
      <c r="F105" s="201"/>
      <c r="G105" s="128">
        <f t="shared" ref="G105:S105" si="37">G84/G83*1000</f>
        <v>148.62735819716693</v>
      </c>
      <c r="H105" s="128">
        <f t="shared" si="37"/>
        <v>148.62736462121336</v>
      </c>
      <c r="I105" s="128">
        <f t="shared" si="37"/>
        <v>148.62734997983873</v>
      </c>
      <c r="J105" s="128">
        <f t="shared" si="37"/>
        <v>148.62735819716693</v>
      </c>
      <c r="K105" s="128">
        <f t="shared" si="37"/>
        <v>148.62736198934604</v>
      </c>
      <c r="L105" s="128">
        <f t="shared" si="37"/>
        <v>148.62735136575364</v>
      </c>
      <c r="M105" s="128">
        <f t="shared" si="37"/>
        <v>148.62734997983873</v>
      </c>
      <c r="N105" s="128">
        <f t="shared" si="37"/>
        <v>148.62736462121336</v>
      </c>
      <c r="O105" s="128">
        <f t="shared" si="37"/>
        <v>148.62734997983873</v>
      </c>
      <c r="P105" s="128">
        <f t="shared" si="37"/>
        <v>148.62734997983873</v>
      </c>
      <c r="Q105" s="128">
        <f t="shared" si="37"/>
        <v>148.62736462121336</v>
      </c>
      <c r="R105" s="128">
        <f t="shared" si="37"/>
        <v>148.62735136575364</v>
      </c>
      <c r="S105" s="129">
        <f t="shared" si="37"/>
        <v>148.62735591272224</v>
      </c>
    </row>
    <row r="106" spans="1:19" ht="16" thickBot="1">
      <c r="A106" s="37"/>
      <c r="B106" s="83"/>
      <c r="C106" s="86"/>
      <c r="D106" s="37"/>
      <c r="E106" s="86"/>
      <c r="F106" s="37"/>
      <c r="G106" s="87"/>
      <c r="H106" s="87"/>
      <c r="I106" s="87"/>
      <c r="J106" s="87"/>
      <c r="K106" s="87"/>
      <c r="L106" s="87"/>
      <c r="M106" s="87"/>
      <c r="N106" s="87"/>
      <c r="O106" s="87"/>
      <c r="P106" s="87"/>
      <c r="Q106" s="87"/>
      <c r="R106" s="87"/>
      <c r="S106" s="88"/>
    </row>
    <row r="107" spans="1:19" ht="17" thickTop="1" thickBot="1">
      <c r="A107" s="52" t="s">
        <v>118</v>
      </c>
      <c r="B107" s="53"/>
      <c r="C107" s="89"/>
      <c r="D107" s="55"/>
      <c r="E107" s="89"/>
      <c r="F107" s="55"/>
      <c r="G107" s="89"/>
      <c r="H107" s="89"/>
      <c r="I107" s="89"/>
      <c r="J107" s="89"/>
      <c r="K107" s="89"/>
      <c r="L107" s="89"/>
      <c r="M107" s="89"/>
      <c r="N107" s="89"/>
      <c r="O107" s="89"/>
      <c r="P107" s="89"/>
      <c r="Q107" s="89"/>
      <c r="R107" s="89"/>
      <c r="S107" s="91"/>
    </row>
    <row r="108" spans="1:19" ht="16" thickTop="1">
      <c r="A108" s="63" t="s">
        <v>119</v>
      </c>
      <c r="B108" s="58"/>
      <c r="C108" s="130"/>
      <c r="D108" s="202"/>
      <c r="E108" s="130"/>
      <c r="F108" s="202"/>
      <c r="G108" s="64">
        <f>13.38899</f>
        <v>13.38899</v>
      </c>
      <c r="H108" s="64">
        <f>12.75216</f>
        <v>12.75216</v>
      </c>
      <c r="I108" s="64">
        <f>14.01029</f>
        <v>14.010289999999999</v>
      </c>
      <c r="J108" s="64">
        <f>13.38899</f>
        <v>13.38899</v>
      </c>
      <c r="K108" s="64">
        <f>10.8339</f>
        <v>10.8339</v>
      </c>
      <c r="L108" s="64">
        <f>14.03359</f>
        <v>14.03359</v>
      </c>
      <c r="M108" s="64">
        <f>14.01806</f>
        <v>14.01806</v>
      </c>
      <c r="N108" s="64">
        <f>12.75216</f>
        <v>12.75216</v>
      </c>
      <c r="O108" s="64">
        <f>14.01806</f>
        <v>14.01806</v>
      </c>
      <c r="P108" s="64">
        <f>14.01806</f>
        <v>14.01806</v>
      </c>
      <c r="Q108" s="64">
        <f>12.75216</f>
        <v>12.75216</v>
      </c>
      <c r="R108" s="64">
        <f>14.03359</f>
        <v>14.03359</v>
      </c>
      <c r="S108" s="67">
        <f>160.00001</f>
        <v>160.00001</v>
      </c>
    </row>
    <row r="109" spans="1:19" ht="15">
      <c r="A109" s="63" t="s">
        <v>120</v>
      </c>
      <c r="B109" s="58"/>
      <c r="C109" s="64"/>
      <c r="D109" s="195"/>
      <c r="E109" s="64"/>
      <c r="F109" s="195"/>
      <c r="G109" s="64">
        <f t="shared" ref="G109:S109" si="38">SUM(0)</f>
        <v>0</v>
      </c>
      <c r="H109" s="64">
        <f t="shared" si="38"/>
        <v>0</v>
      </c>
      <c r="I109" s="64">
        <f t="shared" si="38"/>
        <v>0</v>
      </c>
      <c r="J109" s="64">
        <f t="shared" si="38"/>
        <v>0</v>
      </c>
      <c r="K109" s="64">
        <f t="shared" si="38"/>
        <v>0</v>
      </c>
      <c r="L109" s="64">
        <f t="shared" si="38"/>
        <v>0</v>
      </c>
      <c r="M109" s="64">
        <f t="shared" si="38"/>
        <v>0</v>
      </c>
      <c r="N109" s="64">
        <f t="shared" si="38"/>
        <v>0</v>
      </c>
      <c r="O109" s="64">
        <f t="shared" si="38"/>
        <v>0</v>
      </c>
      <c r="P109" s="64">
        <f t="shared" si="38"/>
        <v>0</v>
      </c>
      <c r="Q109" s="64">
        <f t="shared" si="38"/>
        <v>0</v>
      </c>
      <c r="R109" s="64">
        <f t="shared" si="38"/>
        <v>0</v>
      </c>
      <c r="S109" s="67">
        <f t="shared" si="38"/>
        <v>0</v>
      </c>
    </row>
    <row r="110" spans="1:19" ht="15">
      <c r="A110" s="63" t="s">
        <v>121</v>
      </c>
      <c r="B110" s="58"/>
      <c r="C110" s="64"/>
      <c r="D110" s="195"/>
      <c r="E110" s="64"/>
      <c r="F110" s="195"/>
      <c r="G110" s="64">
        <f>SUM(0.58577,0)</f>
        <v>0.58577000000000001</v>
      </c>
      <c r="H110" s="64">
        <f>SUM(0.55791,0)</f>
        <v>0.55791000000000002</v>
      </c>
      <c r="I110" s="64">
        <f>SUM(0.61295,0)</f>
        <v>0.61294999999999999</v>
      </c>
      <c r="J110" s="64">
        <f>SUM(0.58577,0)</f>
        <v>0.58577000000000001</v>
      </c>
      <c r="K110" s="64">
        <f>SUM(0.47398,0)</f>
        <v>0.47398000000000001</v>
      </c>
      <c r="L110" s="64">
        <f>SUM(0.61397,0)</f>
        <v>0.61397000000000002</v>
      </c>
      <c r="M110" s="64">
        <f>SUM(0.61329,0)</f>
        <v>0.61329</v>
      </c>
      <c r="N110" s="64">
        <f>SUM(0.55791,0)</f>
        <v>0.55791000000000002</v>
      </c>
      <c r="O110" s="64">
        <f>SUM(0.61329,0)</f>
        <v>0.61329</v>
      </c>
      <c r="P110" s="64">
        <f>SUM(0.61329,0)</f>
        <v>0.61329</v>
      </c>
      <c r="Q110" s="64">
        <f>SUM(0.55791,0)</f>
        <v>0.55791000000000002</v>
      </c>
      <c r="R110" s="64">
        <f>SUM(0.61397,0)</f>
        <v>0.61397000000000002</v>
      </c>
      <c r="S110" s="67">
        <f>SUM(7.00001,0)</f>
        <v>7.0000099999999996</v>
      </c>
    </row>
    <row r="111" spans="1:19" ht="15">
      <c r="A111" s="63" t="s">
        <v>122</v>
      </c>
      <c r="B111" s="58"/>
      <c r="C111" s="64"/>
      <c r="D111" s="195"/>
      <c r="E111" s="64"/>
      <c r="F111" s="195"/>
      <c r="G111" s="64">
        <f>SUM(1.00417,0)</f>
        <v>1.00417</v>
      </c>
      <c r="H111" s="64">
        <f>SUM(0.95641,0)</f>
        <v>0.95640999999999998</v>
      </c>
      <c r="I111" s="64">
        <f>SUM(1.05077,0)</f>
        <v>1.05077</v>
      </c>
      <c r="J111" s="64">
        <f>SUM(1.00417,0)</f>
        <v>1.00417</v>
      </c>
      <c r="K111" s="64">
        <f>SUM(0.81254,0)</f>
        <v>0.81254000000000004</v>
      </c>
      <c r="L111" s="64">
        <f>SUM(1.05252,0)</f>
        <v>1.0525199999999999</v>
      </c>
      <c r="M111" s="64">
        <f>SUM(1.05135,0)</f>
        <v>1.05135</v>
      </c>
      <c r="N111" s="64">
        <f>SUM(0.95641,0)</f>
        <v>0.95640999999999998</v>
      </c>
      <c r="O111" s="64">
        <f>SUM(1.05135,0)</f>
        <v>1.05135</v>
      </c>
      <c r="P111" s="64">
        <f>SUM(1.05135,0)</f>
        <v>1.05135</v>
      </c>
      <c r="Q111" s="64">
        <f>SUM(0.95641,0)</f>
        <v>0.95640999999999998</v>
      </c>
      <c r="R111" s="64">
        <f>SUM(1.05252,0)</f>
        <v>1.0525199999999999</v>
      </c>
      <c r="S111" s="67">
        <f>SUM(11.99997,0)</f>
        <v>11.999969999999999</v>
      </c>
    </row>
    <row r="112" spans="1:19" ht="15">
      <c r="A112" s="63" t="s">
        <v>123</v>
      </c>
      <c r="B112" s="58"/>
      <c r="C112" s="64"/>
      <c r="D112" s="195"/>
      <c r="E112" s="64"/>
      <c r="F112" s="195"/>
      <c r="G112" s="105">
        <v>33.733980000000003</v>
      </c>
      <c r="H112" s="105">
        <v>32.129469999999998</v>
      </c>
      <c r="I112" s="105">
        <v>35.29936</v>
      </c>
      <c r="J112" s="105">
        <v>33.733980000000003</v>
      </c>
      <c r="K112" s="105">
        <v>27.29635</v>
      </c>
      <c r="L112" s="105">
        <v>35.358069999999998</v>
      </c>
      <c r="M112" s="105">
        <v>35.318930000000002</v>
      </c>
      <c r="N112" s="105">
        <v>32.129469999999998</v>
      </c>
      <c r="O112" s="105">
        <v>35.318930000000002</v>
      </c>
      <c r="P112" s="105">
        <v>35.318930000000002</v>
      </c>
      <c r="Q112" s="105">
        <v>32.129469999999998</v>
      </c>
      <c r="R112" s="105">
        <v>35.358069999999998</v>
      </c>
      <c r="S112" s="67">
        <v>403.12500999999997</v>
      </c>
    </row>
    <row r="113" spans="1:19" ht="15">
      <c r="A113" s="63" t="s">
        <v>124</v>
      </c>
      <c r="B113" s="58"/>
      <c r="C113" s="64"/>
      <c r="D113" s="195"/>
      <c r="E113" s="64"/>
      <c r="F113" s="195"/>
      <c r="G113" s="105">
        <v>125.27709</v>
      </c>
      <c r="H113" s="105">
        <v>119.31843000000001</v>
      </c>
      <c r="I113" s="105">
        <v>131.09040999999999</v>
      </c>
      <c r="J113" s="105">
        <v>125.27709</v>
      </c>
      <c r="K113" s="105">
        <v>101.3698</v>
      </c>
      <c r="L113" s="105">
        <v>131.30841000000001</v>
      </c>
      <c r="M113" s="105">
        <v>131.16308000000001</v>
      </c>
      <c r="N113" s="105">
        <v>119.31843000000001</v>
      </c>
      <c r="O113" s="105">
        <v>131.16308000000001</v>
      </c>
      <c r="P113" s="105">
        <v>131.16308000000001</v>
      </c>
      <c r="Q113" s="105">
        <v>119.31843000000001</v>
      </c>
      <c r="R113" s="105">
        <v>131.30841000000001</v>
      </c>
      <c r="S113" s="67">
        <v>1497.07574</v>
      </c>
    </row>
    <row r="114" spans="1:19" ht="15">
      <c r="A114" s="63" t="s">
        <v>125</v>
      </c>
      <c r="B114" s="58"/>
      <c r="C114" s="64"/>
      <c r="D114" s="195"/>
      <c r="E114" s="64"/>
      <c r="F114" s="195"/>
      <c r="G114" s="105">
        <v>172.40006</v>
      </c>
      <c r="H114" s="105">
        <v>164.20006000000001</v>
      </c>
      <c r="I114" s="105">
        <v>180.40006</v>
      </c>
      <c r="J114" s="105">
        <v>172.40006</v>
      </c>
      <c r="K114" s="105">
        <v>139.50004999999999</v>
      </c>
      <c r="L114" s="105">
        <v>180.70006000000001</v>
      </c>
      <c r="M114" s="105">
        <v>180.50005999999999</v>
      </c>
      <c r="N114" s="105">
        <v>164.20006000000001</v>
      </c>
      <c r="O114" s="105">
        <v>180.50005999999999</v>
      </c>
      <c r="P114" s="105">
        <v>180.50005999999999</v>
      </c>
      <c r="Q114" s="105">
        <v>164.20006000000001</v>
      </c>
      <c r="R114" s="105">
        <v>180.70006000000001</v>
      </c>
      <c r="S114" s="67">
        <v>2060.2007100000001</v>
      </c>
    </row>
    <row r="115" spans="1:19" ht="15">
      <c r="A115" s="68" t="s">
        <v>48</v>
      </c>
      <c r="B115" s="69"/>
      <c r="C115" s="70"/>
      <c r="D115" s="195"/>
      <c r="E115" s="70"/>
      <c r="F115" s="195"/>
      <c r="G115" s="70">
        <v>69.304820000000007</v>
      </c>
      <c r="H115" s="70">
        <v>66.008430000000004</v>
      </c>
      <c r="I115" s="70">
        <v>72.520820000000001</v>
      </c>
      <c r="J115" s="70">
        <v>69.304820000000007</v>
      </c>
      <c r="K115" s="70">
        <v>56.079016000000003</v>
      </c>
      <c r="L115" s="70">
        <v>72.641419999999997</v>
      </c>
      <c r="M115" s="70">
        <v>72.561015999999995</v>
      </c>
      <c r="N115" s="70">
        <v>66.008430000000004</v>
      </c>
      <c r="O115" s="70">
        <v>72.561015999999995</v>
      </c>
      <c r="P115" s="70">
        <v>72.561015999999995</v>
      </c>
      <c r="Q115" s="70">
        <v>66.008430000000004</v>
      </c>
      <c r="R115" s="70">
        <v>72.641419999999997</v>
      </c>
      <c r="S115" s="73">
        <v>828.20065399999999</v>
      </c>
    </row>
    <row r="116" spans="1:19" ht="15">
      <c r="A116" s="68" t="s">
        <v>56</v>
      </c>
      <c r="B116" s="69"/>
      <c r="C116" s="70"/>
      <c r="D116" s="195"/>
      <c r="E116" s="70"/>
      <c r="F116" s="195"/>
      <c r="G116" s="70">
        <f t="shared" ref="G116:S116" si="39">SUM(0,0,0)</f>
        <v>0</v>
      </c>
      <c r="H116" s="70">
        <f t="shared" si="39"/>
        <v>0</v>
      </c>
      <c r="I116" s="70">
        <f t="shared" si="39"/>
        <v>0</v>
      </c>
      <c r="J116" s="70">
        <f t="shared" si="39"/>
        <v>0</v>
      </c>
      <c r="K116" s="70">
        <f t="shared" si="39"/>
        <v>0</v>
      </c>
      <c r="L116" s="70">
        <f t="shared" si="39"/>
        <v>0</v>
      </c>
      <c r="M116" s="70">
        <f t="shared" si="39"/>
        <v>0</v>
      </c>
      <c r="N116" s="70">
        <f t="shared" si="39"/>
        <v>0</v>
      </c>
      <c r="O116" s="70">
        <f t="shared" si="39"/>
        <v>0</v>
      </c>
      <c r="P116" s="70">
        <f t="shared" si="39"/>
        <v>0</v>
      </c>
      <c r="Q116" s="70">
        <f t="shared" si="39"/>
        <v>0</v>
      </c>
      <c r="R116" s="70">
        <f t="shared" si="39"/>
        <v>0</v>
      </c>
      <c r="S116" s="73">
        <f t="shared" si="39"/>
        <v>0</v>
      </c>
    </row>
    <row r="117" spans="1:19" ht="15">
      <c r="A117" s="68" t="s">
        <v>126</v>
      </c>
      <c r="B117" s="69"/>
      <c r="C117" s="70">
        <f>J117-G117</f>
        <v>0</v>
      </c>
      <c r="D117" s="195"/>
      <c r="E117" s="70">
        <f>K117-H117</f>
        <v>0</v>
      </c>
      <c r="F117" s="195"/>
      <c r="G117" s="70">
        <f t="shared" ref="G117:S117" si="40">G118-G115-G116</f>
        <v>0</v>
      </c>
      <c r="H117" s="70">
        <f t="shared" si="40"/>
        <v>0</v>
      </c>
      <c r="I117" s="70">
        <f t="shared" si="40"/>
        <v>0</v>
      </c>
      <c r="J117" s="70">
        <f t="shared" si="40"/>
        <v>0</v>
      </c>
      <c r="K117" s="70">
        <f t="shared" si="40"/>
        <v>0</v>
      </c>
      <c r="L117" s="70">
        <f t="shared" si="40"/>
        <v>0</v>
      </c>
      <c r="M117" s="70">
        <f t="shared" si="40"/>
        <v>0</v>
      </c>
      <c r="N117" s="70">
        <f t="shared" si="40"/>
        <v>0</v>
      </c>
      <c r="O117" s="70">
        <f t="shared" si="40"/>
        <v>0</v>
      </c>
      <c r="P117" s="70">
        <f t="shared" si="40"/>
        <v>0</v>
      </c>
      <c r="Q117" s="70">
        <f t="shared" si="40"/>
        <v>0</v>
      </c>
      <c r="R117" s="70">
        <f t="shared" si="40"/>
        <v>0</v>
      </c>
      <c r="S117" s="73">
        <f t="shared" si="40"/>
        <v>0</v>
      </c>
    </row>
    <row r="118" spans="1:19" ht="15">
      <c r="A118" s="63" t="s">
        <v>127</v>
      </c>
      <c r="B118" s="58"/>
      <c r="C118" s="64"/>
      <c r="D118" s="195"/>
      <c r="E118" s="64"/>
      <c r="F118" s="195"/>
      <c r="G118" s="64">
        <v>69.304820000000007</v>
      </c>
      <c r="H118" s="64">
        <v>66.008430000000004</v>
      </c>
      <c r="I118" s="64">
        <v>72.520820000000001</v>
      </c>
      <c r="J118" s="64">
        <v>69.304820000000007</v>
      </c>
      <c r="K118" s="64">
        <v>56.079016000000003</v>
      </c>
      <c r="L118" s="64">
        <v>72.641419999999997</v>
      </c>
      <c r="M118" s="64">
        <v>72.561015999999995</v>
      </c>
      <c r="N118" s="64">
        <v>66.008430000000004</v>
      </c>
      <c r="O118" s="64">
        <v>72.561015999999995</v>
      </c>
      <c r="P118" s="64">
        <v>72.561015999999995</v>
      </c>
      <c r="Q118" s="64">
        <v>66.008430000000004</v>
      </c>
      <c r="R118" s="64">
        <v>72.641419999999997</v>
      </c>
      <c r="S118" s="67">
        <v>828.20065399999999</v>
      </c>
    </row>
    <row r="119" spans="1:19" ht="15">
      <c r="A119" s="68" t="s">
        <v>110</v>
      </c>
      <c r="B119" s="69"/>
      <c r="C119" s="70"/>
      <c r="D119" s="195"/>
      <c r="E119" s="70"/>
      <c r="F119" s="195"/>
      <c r="G119" s="70">
        <f>1.67538</f>
        <v>1.6753800000000001</v>
      </c>
      <c r="H119" s="70">
        <f>1.59569</f>
        <v>1.5956900000000001</v>
      </c>
      <c r="I119" s="70">
        <f>1.75313</f>
        <v>1.7531300000000001</v>
      </c>
      <c r="J119" s="70">
        <f>1.67538</f>
        <v>1.6753800000000001</v>
      </c>
      <c r="K119" s="70">
        <f>1.35566</f>
        <v>1.3556600000000001</v>
      </c>
      <c r="L119" s="70">
        <f>1.75604</f>
        <v>1.75604</v>
      </c>
      <c r="M119" s="70">
        <f>1.7541</f>
        <v>1.7541</v>
      </c>
      <c r="N119" s="70">
        <f>1.59569</f>
        <v>1.5956900000000001</v>
      </c>
      <c r="O119" s="70">
        <f>1.7541</f>
        <v>1.7541</v>
      </c>
      <c r="P119" s="70">
        <f>1.7541</f>
        <v>1.7541</v>
      </c>
      <c r="Q119" s="70">
        <f>1.59569</f>
        <v>1.5956900000000001</v>
      </c>
      <c r="R119" s="70">
        <f>1.75604</f>
        <v>1.75604</v>
      </c>
      <c r="S119" s="73">
        <f>20.021</f>
        <v>20.021000000000001</v>
      </c>
    </row>
    <row r="120" spans="1:19" ht="15">
      <c r="A120" s="68" t="s">
        <v>128</v>
      </c>
      <c r="B120" s="69"/>
      <c r="C120" s="70"/>
      <c r="D120" s="195"/>
      <c r="E120" s="70"/>
      <c r="F120" s="195"/>
      <c r="G120" s="70">
        <v>9.37805</v>
      </c>
      <c r="H120" s="70">
        <v>8.9319900000000008</v>
      </c>
      <c r="I120" s="70">
        <v>9.8132199999999994</v>
      </c>
      <c r="J120" s="70">
        <v>9.37805</v>
      </c>
      <c r="K120" s="70">
        <v>7.5883799999999999</v>
      </c>
      <c r="L120" s="70">
        <v>9.8295399999999997</v>
      </c>
      <c r="M120" s="70">
        <v>9.8186599999999995</v>
      </c>
      <c r="N120" s="70">
        <v>8.9319900000000008</v>
      </c>
      <c r="O120" s="70">
        <v>9.8186599999999995</v>
      </c>
      <c r="P120" s="70">
        <v>9.8186599999999995</v>
      </c>
      <c r="Q120" s="70">
        <v>8.9319900000000008</v>
      </c>
      <c r="R120" s="70">
        <v>9.8295399999999997</v>
      </c>
      <c r="S120" s="73">
        <v>112.06873</v>
      </c>
    </row>
    <row r="121" spans="1:19" ht="15">
      <c r="A121" s="68" t="s">
        <v>129</v>
      </c>
      <c r="B121" s="69"/>
      <c r="C121" s="70"/>
      <c r="D121" s="195"/>
      <c r="E121" s="70"/>
      <c r="F121" s="195"/>
      <c r="G121" s="70">
        <v>38.237830000000002</v>
      </c>
      <c r="H121" s="70">
        <v>36.419089999999997</v>
      </c>
      <c r="I121" s="70">
        <v>40.012210000000003</v>
      </c>
      <c r="J121" s="70">
        <v>38.237830000000002</v>
      </c>
      <c r="K121" s="70">
        <v>30.9407</v>
      </c>
      <c r="L121" s="70">
        <v>40.078749999999999</v>
      </c>
      <c r="M121" s="70">
        <v>40.034390000000002</v>
      </c>
      <c r="N121" s="70">
        <v>36.419089999999997</v>
      </c>
      <c r="O121" s="70">
        <v>40.034390000000002</v>
      </c>
      <c r="P121" s="70">
        <v>40.034390000000002</v>
      </c>
      <c r="Q121" s="70">
        <v>36.419089999999997</v>
      </c>
      <c r="R121" s="70">
        <v>40.078749999999999</v>
      </c>
      <c r="S121" s="73">
        <v>456.94650999999999</v>
      </c>
    </row>
    <row r="122" spans="1:19" ht="15">
      <c r="A122" s="63" t="s">
        <v>130</v>
      </c>
      <c r="B122" s="58"/>
      <c r="C122" s="64"/>
      <c r="D122" s="195"/>
      <c r="E122" s="64"/>
      <c r="F122" s="195"/>
      <c r="G122" s="64">
        <f t="shared" ref="G122:S122" si="41">SUM(0,0,0)</f>
        <v>0</v>
      </c>
      <c r="H122" s="64">
        <f t="shared" si="41"/>
        <v>0</v>
      </c>
      <c r="I122" s="64">
        <f t="shared" si="41"/>
        <v>0</v>
      </c>
      <c r="J122" s="64">
        <f t="shared" si="41"/>
        <v>0</v>
      </c>
      <c r="K122" s="64">
        <f t="shared" si="41"/>
        <v>0</v>
      </c>
      <c r="L122" s="64">
        <f t="shared" si="41"/>
        <v>0</v>
      </c>
      <c r="M122" s="64">
        <f t="shared" si="41"/>
        <v>0</v>
      </c>
      <c r="N122" s="64">
        <f t="shared" si="41"/>
        <v>0</v>
      </c>
      <c r="O122" s="64">
        <f t="shared" si="41"/>
        <v>0</v>
      </c>
      <c r="P122" s="64">
        <f t="shared" si="41"/>
        <v>0</v>
      </c>
      <c r="Q122" s="64">
        <f t="shared" si="41"/>
        <v>0</v>
      </c>
      <c r="R122" s="64">
        <f t="shared" si="41"/>
        <v>0</v>
      </c>
      <c r="S122" s="67">
        <f t="shared" si="41"/>
        <v>0</v>
      </c>
    </row>
    <row r="123" spans="1:19" ht="15">
      <c r="A123" s="63" t="s">
        <v>131</v>
      </c>
      <c r="B123" s="58"/>
      <c r="C123" s="64"/>
      <c r="D123" s="195"/>
      <c r="E123" s="64"/>
      <c r="F123" s="195"/>
      <c r="G123" s="70">
        <f t="shared" ref="G123:S123" si="42">SUM(0)</f>
        <v>0</v>
      </c>
      <c r="H123" s="70">
        <f t="shared" si="42"/>
        <v>0</v>
      </c>
      <c r="I123" s="70">
        <f t="shared" si="42"/>
        <v>0</v>
      </c>
      <c r="J123" s="70">
        <f t="shared" si="42"/>
        <v>0</v>
      </c>
      <c r="K123" s="70">
        <f t="shared" si="42"/>
        <v>0</v>
      </c>
      <c r="L123" s="70">
        <f t="shared" si="42"/>
        <v>0</v>
      </c>
      <c r="M123" s="70">
        <f t="shared" si="42"/>
        <v>0</v>
      </c>
      <c r="N123" s="70">
        <f t="shared" si="42"/>
        <v>0</v>
      </c>
      <c r="O123" s="70">
        <f t="shared" si="42"/>
        <v>0</v>
      </c>
      <c r="P123" s="70">
        <f t="shared" si="42"/>
        <v>0</v>
      </c>
      <c r="Q123" s="70">
        <f t="shared" si="42"/>
        <v>0</v>
      </c>
      <c r="R123" s="70">
        <f t="shared" si="42"/>
        <v>0</v>
      </c>
      <c r="S123" s="73">
        <f t="shared" si="42"/>
        <v>0</v>
      </c>
    </row>
    <row r="124" spans="1:19" ht="15">
      <c r="A124" s="63" t="s">
        <v>132</v>
      </c>
      <c r="B124" s="58"/>
      <c r="C124" s="64"/>
      <c r="D124" s="195"/>
      <c r="E124" s="64"/>
      <c r="F124" s="195"/>
      <c r="G124" s="70">
        <f t="shared" ref="G124:S124" si="43">+SUM(0)</f>
        <v>0</v>
      </c>
      <c r="H124" s="70">
        <f t="shared" si="43"/>
        <v>0</v>
      </c>
      <c r="I124" s="70">
        <f t="shared" si="43"/>
        <v>0</v>
      </c>
      <c r="J124" s="70">
        <f t="shared" si="43"/>
        <v>0</v>
      </c>
      <c r="K124" s="70">
        <f t="shared" si="43"/>
        <v>0</v>
      </c>
      <c r="L124" s="70">
        <f t="shared" si="43"/>
        <v>0</v>
      </c>
      <c r="M124" s="70">
        <f t="shared" si="43"/>
        <v>0</v>
      </c>
      <c r="N124" s="70">
        <f t="shared" si="43"/>
        <v>0</v>
      </c>
      <c r="O124" s="70">
        <f t="shared" si="43"/>
        <v>0</v>
      </c>
      <c r="P124" s="70">
        <f t="shared" si="43"/>
        <v>0</v>
      </c>
      <c r="Q124" s="70">
        <f t="shared" si="43"/>
        <v>0</v>
      </c>
      <c r="R124" s="70">
        <f t="shared" si="43"/>
        <v>0</v>
      </c>
      <c r="S124" s="73">
        <f t="shared" si="43"/>
        <v>0</v>
      </c>
    </row>
    <row r="125" spans="1:19" ht="15">
      <c r="A125" s="63" t="s">
        <v>133</v>
      </c>
      <c r="B125" s="58"/>
      <c r="C125" s="64"/>
      <c r="D125" s="195"/>
      <c r="E125" s="64"/>
      <c r="F125" s="195"/>
      <c r="G125" s="70">
        <f t="shared" ref="G125:R125" si="44">SUM(5.61013)</f>
        <v>5.6101299999999998</v>
      </c>
      <c r="H125" s="70">
        <f t="shared" si="44"/>
        <v>5.6101299999999998</v>
      </c>
      <c r="I125" s="70">
        <f t="shared" si="44"/>
        <v>5.6101299999999998</v>
      </c>
      <c r="J125" s="70">
        <f t="shared" si="44"/>
        <v>5.6101299999999998</v>
      </c>
      <c r="K125" s="70">
        <f t="shared" si="44"/>
        <v>5.6101299999999998</v>
      </c>
      <c r="L125" s="70">
        <f t="shared" si="44"/>
        <v>5.6101299999999998</v>
      </c>
      <c r="M125" s="70">
        <f t="shared" si="44"/>
        <v>5.6101299999999998</v>
      </c>
      <c r="N125" s="70">
        <f t="shared" si="44"/>
        <v>5.6101299999999998</v>
      </c>
      <c r="O125" s="70">
        <f t="shared" si="44"/>
        <v>5.6101299999999998</v>
      </c>
      <c r="P125" s="70">
        <f t="shared" si="44"/>
        <v>5.6101299999999998</v>
      </c>
      <c r="Q125" s="70">
        <f t="shared" si="44"/>
        <v>5.6101299999999998</v>
      </c>
      <c r="R125" s="70">
        <f t="shared" si="44"/>
        <v>5.6101299999999998</v>
      </c>
      <c r="S125" s="73">
        <f>SUM(67.32156)</f>
        <v>67.321560000000005</v>
      </c>
    </row>
    <row r="126" spans="1:19" ht="15">
      <c r="A126" s="63" t="s">
        <v>134</v>
      </c>
      <c r="B126" s="58"/>
      <c r="C126" s="64"/>
      <c r="D126" s="195"/>
      <c r="E126" s="64"/>
      <c r="F126" s="195"/>
      <c r="G126" s="70">
        <f t="shared" ref="G126:S126" si="45">+SUM(0)</f>
        <v>0</v>
      </c>
      <c r="H126" s="70">
        <f t="shared" si="45"/>
        <v>0</v>
      </c>
      <c r="I126" s="70">
        <f t="shared" si="45"/>
        <v>0</v>
      </c>
      <c r="J126" s="70">
        <f t="shared" si="45"/>
        <v>0</v>
      </c>
      <c r="K126" s="70">
        <f t="shared" si="45"/>
        <v>0</v>
      </c>
      <c r="L126" s="70">
        <f t="shared" si="45"/>
        <v>0</v>
      </c>
      <c r="M126" s="70">
        <f t="shared" si="45"/>
        <v>0</v>
      </c>
      <c r="N126" s="70">
        <f t="shared" si="45"/>
        <v>0</v>
      </c>
      <c r="O126" s="70">
        <f t="shared" si="45"/>
        <v>0</v>
      </c>
      <c r="P126" s="70">
        <f t="shared" si="45"/>
        <v>0</v>
      </c>
      <c r="Q126" s="70">
        <f t="shared" si="45"/>
        <v>0</v>
      </c>
      <c r="R126" s="70">
        <f t="shared" si="45"/>
        <v>0</v>
      </c>
      <c r="S126" s="73">
        <f t="shared" si="45"/>
        <v>0</v>
      </c>
    </row>
    <row r="127" spans="1:19" ht="15">
      <c r="A127" s="63" t="s">
        <v>67</v>
      </c>
      <c r="B127" s="58"/>
      <c r="C127" s="64"/>
      <c r="D127" s="195"/>
      <c r="E127" s="64"/>
      <c r="F127" s="195"/>
      <c r="G127" s="70">
        <f>SUM(54.901387,0)-G119-G122-G125-G120-G121-G126</f>
        <v>-2.9999999995311555E-6</v>
      </c>
      <c r="H127" s="70">
        <f>SUM(52.556902,0)-H119-H122-H125-H120-H121-H126</f>
        <v>2.0000000091613401E-6</v>
      </c>
      <c r="I127" s="70">
        <f>SUM(57.188688,0)-I119-I122-I125-I120-I121-I126</f>
        <v>-2.0000000020559128E-6</v>
      </c>
      <c r="J127" s="70">
        <f>SUM(54.901387,0)-J119-J122-J125-J120-J121-J126</f>
        <v>-2.9999999995311555E-6</v>
      </c>
      <c r="K127" s="70">
        <f>SUM(45.494867,0)-K119-K122-K125-K120-K121-K126</f>
        <v>-2.9999999995311555E-6</v>
      </c>
      <c r="L127" s="70">
        <f>SUM(57.274457,0)-L119-L122-L125-L120-L121-L126</f>
        <v>-2.9999999995311555E-6</v>
      </c>
      <c r="M127" s="70">
        <f>SUM(57.21728,0)-M119-M122-M125-M120-M121-M126</f>
        <v>0</v>
      </c>
      <c r="N127" s="70">
        <f>SUM(52.556902,0)-N119-N122-N125-N120-N121-N126</f>
        <v>2.0000000091613401E-6</v>
      </c>
      <c r="O127" s="70">
        <f>SUM(57.21728,0)-O119-O122-O125-O120-O121-O126</f>
        <v>0</v>
      </c>
      <c r="P127" s="70">
        <f>SUM(57.21728,0)-P119-P122-P125-P120-P121-P126</f>
        <v>0</v>
      </c>
      <c r="Q127" s="70">
        <f>SUM(52.556902,0)-Q119-Q122-Q125-Q120-Q121-Q126</f>
        <v>2.0000000091613401E-6</v>
      </c>
      <c r="R127" s="70">
        <f>SUM(57.274457,0)-R119-R122-R125-R120-R121-R126</f>
        <v>-2.9999999995311555E-6</v>
      </c>
      <c r="S127" s="73">
        <f>SUM(656.357789,0)-S119-S122-S125-S120-S121-S126</f>
        <v>-1.0999999915384251E-5</v>
      </c>
    </row>
    <row r="128" spans="1:19" hidden="1" outlineLevel="1">
      <c r="A128" s="75" t="s">
        <v>135</v>
      </c>
      <c r="B128" s="69"/>
      <c r="C128" s="70"/>
      <c r="D128" s="71"/>
      <c r="E128" s="70"/>
      <c r="F128" s="72"/>
      <c r="G128" s="76">
        <f t="shared" ref="G128:S134" si="46">SUM(0)</f>
        <v>0</v>
      </c>
      <c r="H128" s="76">
        <f t="shared" si="46"/>
        <v>0</v>
      </c>
      <c r="I128" s="76">
        <f t="shared" si="46"/>
        <v>0</v>
      </c>
      <c r="J128" s="76">
        <f t="shared" si="46"/>
        <v>0</v>
      </c>
      <c r="K128" s="76">
        <f t="shared" si="46"/>
        <v>0</v>
      </c>
      <c r="L128" s="76">
        <f t="shared" si="46"/>
        <v>0</v>
      </c>
      <c r="M128" s="76">
        <f t="shared" si="46"/>
        <v>0</v>
      </c>
      <c r="N128" s="76">
        <f t="shared" si="46"/>
        <v>0</v>
      </c>
      <c r="O128" s="76">
        <f t="shared" si="46"/>
        <v>0</v>
      </c>
      <c r="P128" s="76">
        <f t="shared" si="46"/>
        <v>0</v>
      </c>
      <c r="Q128" s="76">
        <f t="shared" si="46"/>
        <v>0</v>
      </c>
      <c r="R128" s="76">
        <f t="shared" si="46"/>
        <v>0</v>
      </c>
      <c r="S128" s="77">
        <f t="shared" si="46"/>
        <v>0</v>
      </c>
    </row>
    <row r="129" spans="1:19" hidden="1" outlineLevel="1">
      <c r="A129" s="75" t="s">
        <v>136</v>
      </c>
      <c r="B129" s="69"/>
      <c r="C129" s="70"/>
      <c r="D129" s="71"/>
      <c r="E129" s="70"/>
      <c r="F129" s="72"/>
      <c r="G129" s="76">
        <f t="shared" si="46"/>
        <v>0</v>
      </c>
      <c r="H129" s="76">
        <f t="shared" si="46"/>
        <v>0</v>
      </c>
      <c r="I129" s="76">
        <f t="shared" si="46"/>
        <v>0</v>
      </c>
      <c r="J129" s="76">
        <f t="shared" si="46"/>
        <v>0</v>
      </c>
      <c r="K129" s="76">
        <f t="shared" si="46"/>
        <v>0</v>
      </c>
      <c r="L129" s="76">
        <f t="shared" si="46"/>
        <v>0</v>
      </c>
      <c r="M129" s="76">
        <f t="shared" si="46"/>
        <v>0</v>
      </c>
      <c r="N129" s="76">
        <f t="shared" si="46"/>
        <v>0</v>
      </c>
      <c r="O129" s="76">
        <f t="shared" si="46"/>
        <v>0</v>
      </c>
      <c r="P129" s="76">
        <f t="shared" si="46"/>
        <v>0</v>
      </c>
      <c r="Q129" s="76">
        <f t="shared" si="46"/>
        <v>0</v>
      </c>
      <c r="R129" s="76">
        <f t="shared" si="46"/>
        <v>0</v>
      </c>
      <c r="S129" s="77">
        <f t="shared" si="46"/>
        <v>0</v>
      </c>
    </row>
    <row r="130" spans="1:19" hidden="1" outlineLevel="1">
      <c r="A130" s="75" t="s">
        <v>69</v>
      </c>
      <c r="B130" s="69"/>
      <c r="C130" s="70"/>
      <c r="D130" s="71"/>
      <c r="E130" s="70"/>
      <c r="F130" s="72"/>
      <c r="G130" s="76">
        <f t="shared" si="46"/>
        <v>0</v>
      </c>
      <c r="H130" s="76">
        <f t="shared" si="46"/>
        <v>0</v>
      </c>
      <c r="I130" s="76">
        <f t="shared" si="46"/>
        <v>0</v>
      </c>
      <c r="J130" s="76">
        <f t="shared" si="46"/>
        <v>0</v>
      </c>
      <c r="K130" s="76">
        <f t="shared" si="46"/>
        <v>0</v>
      </c>
      <c r="L130" s="76">
        <f t="shared" si="46"/>
        <v>0</v>
      </c>
      <c r="M130" s="76">
        <f t="shared" si="46"/>
        <v>0</v>
      </c>
      <c r="N130" s="76">
        <f t="shared" si="46"/>
        <v>0</v>
      </c>
      <c r="O130" s="76">
        <f t="shared" si="46"/>
        <v>0</v>
      </c>
      <c r="P130" s="76">
        <f t="shared" si="46"/>
        <v>0</v>
      </c>
      <c r="Q130" s="76">
        <f t="shared" si="46"/>
        <v>0</v>
      </c>
      <c r="R130" s="76">
        <f t="shared" si="46"/>
        <v>0</v>
      </c>
      <c r="S130" s="77">
        <f t="shared" si="46"/>
        <v>0</v>
      </c>
    </row>
    <row r="131" spans="1:19" hidden="1" outlineLevel="1">
      <c r="A131" s="75" t="s">
        <v>137</v>
      </c>
      <c r="B131" s="69"/>
      <c r="C131" s="70"/>
      <c r="D131" s="71"/>
      <c r="E131" s="70"/>
      <c r="F131" s="72"/>
      <c r="G131" s="76">
        <f t="shared" si="46"/>
        <v>0</v>
      </c>
      <c r="H131" s="76">
        <f t="shared" si="46"/>
        <v>0</v>
      </c>
      <c r="I131" s="76">
        <f t="shared" si="46"/>
        <v>0</v>
      </c>
      <c r="J131" s="76">
        <f t="shared" si="46"/>
        <v>0</v>
      </c>
      <c r="K131" s="76">
        <f t="shared" si="46"/>
        <v>0</v>
      </c>
      <c r="L131" s="76">
        <f t="shared" si="46"/>
        <v>0</v>
      </c>
      <c r="M131" s="76">
        <f t="shared" si="46"/>
        <v>0</v>
      </c>
      <c r="N131" s="76">
        <f t="shared" si="46"/>
        <v>0</v>
      </c>
      <c r="O131" s="76">
        <f t="shared" si="46"/>
        <v>0</v>
      </c>
      <c r="P131" s="76">
        <f t="shared" si="46"/>
        <v>0</v>
      </c>
      <c r="Q131" s="76">
        <f t="shared" si="46"/>
        <v>0</v>
      </c>
      <c r="R131" s="76">
        <f t="shared" si="46"/>
        <v>0</v>
      </c>
      <c r="S131" s="77">
        <f t="shared" si="46"/>
        <v>0</v>
      </c>
    </row>
    <row r="132" spans="1:19" hidden="1" outlineLevel="1">
      <c r="A132" s="75" t="s">
        <v>138</v>
      </c>
      <c r="B132" s="69"/>
      <c r="C132" s="70"/>
      <c r="D132" s="71"/>
      <c r="E132" s="70"/>
      <c r="F132" s="72"/>
      <c r="G132" s="76">
        <f t="shared" si="46"/>
        <v>0</v>
      </c>
      <c r="H132" s="76">
        <f t="shared" si="46"/>
        <v>0</v>
      </c>
      <c r="I132" s="76">
        <f t="shared" si="46"/>
        <v>0</v>
      </c>
      <c r="J132" s="76">
        <f t="shared" si="46"/>
        <v>0</v>
      </c>
      <c r="K132" s="76">
        <f t="shared" si="46"/>
        <v>0</v>
      </c>
      <c r="L132" s="76">
        <f t="shared" si="46"/>
        <v>0</v>
      </c>
      <c r="M132" s="76">
        <f t="shared" si="46"/>
        <v>0</v>
      </c>
      <c r="N132" s="76">
        <f t="shared" si="46"/>
        <v>0</v>
      </c>
      <c r="O132" s="76">
        <f t="shared" si="46"/>
        <v>0</v>
      </c>
      <c r="P132" s="76">
        <f t="shared" si="46"/>
        <v>0</v>
      </c>
      <c r="Q132" s="76">
        <f t="shared" si="46"/>
        <v>0</v>
      </c>
      <c r="R132" s="76">
        <f t="shared" si="46"/>
        <v>0</v>
      </c>
      <c r="S132" s="77">
        <f t="shared" si="46"/>
        <v>0</v>
      </c>
    </row>
    <row r="133" spans="1:19" hidden="1" outlineLevel="1">
      <c r="A133" s="75" t="s">
        <v>139</v>
      </c>
      <c r="B133" s="69"/>
      <c r="C133" s="70"/>
      <c r="D133" s="71"/>
      <c r="E133" s="70"/>
      <c r="F133" s="72"/>
      <c r="G133" s="76">
        <f t="shared" si="46"/>
        <v>0</v>
      </c>
      <c r="H133" s="76">
        <f t="shared" si="46"/>
        <v>0</v>
      </c>
      <c r="I133" s="76">
        <f t="shared" si="46"/>
        <v>0</v>
      </c>
      <c r="J133" s="76">
        <f t="shared" si="46"/>
        <v>0</v>
      </c>
      <c r="K133" s="76">
        <f t="shared" si="46"/>
        <v>0</v>
      </c>
      <c r="L133" s="76">
        <f t="shared" si="46"/>
        <v>0</v>
      </c>
      <c r="M133" s="76">
        <f t="shared" si="46"/>
        <v>0</v>
      </c>
      <c r="N133" s="76">
        <f t="shared" si="46"/>
        <v>0</v>
      </c>
      <c r="O133" s="76">
        <f t="shared" si="46"/>
        <v>0</v>
      </c>
      <c r="P133" s="76">
        <f t="shared" si="46"/>
        <v>0</v>
      </c>
      <c r="Q133" s="76">
        <f t="shared" si="46"/>
        <v>0</v>
      </c>
      <c r="R133" s="76">
        <f t="shared" si="46"/>
        <v>0</v>
      </c>
      <c r="S133" s="77">
        <f t="shared" si="46"/>
        <v>0</v>
      </c>
    </row>
    <row r="134" spans="1:19" hidden="1" outlineLevel="1">
      <c r="A134" s="75" t="s">
        <v>116</v>
      </c>
      <c r="B134" s="69"/>
      <c r="C134" s="70"/>
      <c r="D134" s="71"/>
      <c r="E134" s="70"/>
      <c r="F134" s="72"/>
      <c r="G134" s="76">
        <f t="shared" si="46"/>
        <v>0</v>
      </c>
      <c r="H134" s="76">
        <f t="shared" si="46"/>
        <v>0</v>
      </c>
      <c r="I134" s="76">
        <f t="shared" si="46"/>
        <v>0</v>
      </c>
      <c r="J134" s="76">
        <f t="shared" si="46"/>
        <v>0</v>
      </c>
      <c r="K134" s="76">
        <f t="shared" si="46"/>
        <v>0</v>
      </c>
      <c r="L134" s="76">
        <f t="shared" si="46"/>
        <v>0</v>
      </c>
      <c r="M134" s="76">
        <f t="shared" si="46"/>
        <v>0</v>
      </c>
      <c r="N134" s="76">
        <f t="shared" si="46"/>
        <v>0</v>
      </c>
      <c r="O134" s="76">
        <f t="shared" si="46"/>
        <v>0</v>
      </c>
      <c r="P134" s="76">
        <f t="shared" si="46"/>
        <v>0</v>
      </c>
      <c r="Q134" s="76">
        <f t="shared" si="46"/>
        <v>0</v>
      </c>
      <c r="R134" s="76">
        <f t="shared" si="46"/>
        <v>0</v>
      </c>
      <c r="S134" s="77">
        <f t="shared" si="46"/>
        <v>0</v>
      </c>
    </row>
    <row r="135" spans="1:19" ht="16" collapsed="1" thickBot="1">
      <c r="A135" s="78" t="s">
        <v>76</v>
      </c>
      <c r="B135" s="58"/>
      <c r="C135" s="79"/>
      <c r="D135" s="199"/>
      <c r="E135" s="79"/>
      <c r="F135" s="199"/>
      <c r="G135" s="79">
        <f>14.403434</f>
        <v>14.403434000000001</v>
      </c>
      <c r="H135" s="79">
        <f>13.451527</f>
        <v>13.451527</v>
      </c>
      <c r="I135" s="79">
        <f>15.332133</f>
        <v>15.332133000000001</v>
      </c>
      <c r="J135" s="79">
        <f>14.403434</f>
        <v>14.403434000000001</v>
      </c>
      <c r="K135" s="79">
        <f>10.584148</f>
        <v>10.584148000000001</v>
      </c>
      <c r="L135" s="79">
        <f>15.366965</f>
        <v>15.366965</v>
      </c>
      <c r="M135" s="79">
        <f>15.343734</f>
        <v>15.343734</v>
      </c>
      <c r="N135" s="79">
        <f>13.451527</f>
        <v>13.451527</v>
      </c>
      <c r="O135" s="79">
        <f>15.343734</f>
        <v>15.343734</v>
      </c>
      <c r="P135" s="79">
        <f>15.343734</f>
        <v>15.343734</v>
      </c>
      <c r="Q135" s="79">
        <f>13.451527</f>
        <v>13.451527</v>
      </c>
      <c r="R135" s="79">
        <f>15.366965</f>
        <v>15.366965</v>
      </c>
      <c r="S135" s="82">
        <f>171.842862</f>
        <v>171.842862</v>
      </c>
    </row>
    <row r="136" spans="1:19" ht="16" thickTop="1">
      <c r="A136" s="83"/>
      <c r="B136" s="83"/>
      <c r="C136" s="109"/>
      <c r="D136" s="186"/>
      <c r="E136" s="109"/>
      <c r="F136" s="186"/>
      <c r="G136" s="109"/>
      <c r="H136" s="109"/>
      <c r="I136" s="109"/>
      <c r="J136" s="109"/>
      <c r="K136" s="109"/>
      <c r="L136" s="109"/>
      <c r="M136" s="109"/>
      <c r="N136" s="109"/>
      <c r="O136" s="109"/>
      <c r="P136" s="109"/>
      <c r="Q136" s="109"/>
      <c r="R136" s="109"/>
      <c r="S136" s="110"/>
    </row>
    <row r="137" spans="1:19" ht="16" thickBot="1">
      <c r="A137" s="83"/>
      <c r="B137" s="83"/>
      <c r="C137" s="109"/>
      <c r="D137" s="186"/>
      <c r="E137" s="109"/>
      <c r="F137" s="186"/>
      <c r="G137" s="109"/>
      <c r="H137" s="109"/>
      <c r="I137" s="109"/>
      <c r="J137" s="109"/>
      <c r="K137" s="109"/>
      <c r="L137" s="109"/>
      <c r="M137" s="109"/>
      <c r="N137" s="109"/>
      <c r="O137" s="109"/>
      <c r="P137" s="109"/>
      <c r="Q137" s="109"/>
      <c r="R137" s="109"/>
      <c r="S137" s="110"/>
    </row>
    <row r="138" spans="1:19" ht="17" thickTop="1" thickBot="1">
      <c r="A138" s="52" t="s">
        <v>140</v>
      </c>
      <c r="B138" s="53"/>
      <c r="C138" s="89"/>
      <c r="D138" s="55"/>
      <c r="E138" s="89"/>
      <c r="F138" s="55"/>
      <c r="G138" s="89"/>
      <c r="H138" s="89"/>
      <c r="I138" s="89"/>
      <c r="J138" s="89"/>
      <c r="K138" s="89"/>
      <c r="L138" s="89"/>
      <c r="M138" s="89"/>
      <c r="N138" s="89"/>
      <c r="O138" s="89"/>
      <c r="P138" s="89"/>
      <c r="Q138" s="89"/>
      <c r="R138" s="89"/>
      <c r="S138" s="91"/>
    </row>
    <row r="139" spans="1:19" ht="16" thickTop="1">
      <c r="A139" s="57" t="s">
        <v>119</v>
      </c>
      <c r="B139" s="58"/>
      <c r="C139" s="131"/>
      <c r="D139" s="132">
        <v>1</v>
      </c>
      <c r="E139" s="131"/>
      <c r="F139" s="132">
        <v>1</v>
      </c>
      <c r="G139" s="131">
        <f t="shared" ref="G139:S139" si="47">0</f>
        <v>0</v>
      </c>
      <c r="H139" s="131">
        <f t="shared" si="47"/>
        <v>0</v>
      </c>
      <c r="I139" s="131">
        <f t="shared" si="47"/>
        <v>0</v>
      </c>
      <c r="J139" s="131">
        <f t="shared" si="47"/>
        <v>0</v>
      </c>
      <c r="K139" s="131">
        <f t="shared" si="47"/>
        <v>0</v>
      </c>
      <c r="L139" s="131">
        <f t="shared" si="47"/>
        <v>0</v>
      </c>
      <c r="M139" s="131">
        <f t="shared" si="47"/>
        <v>0</v>
      </c>
      <c r="N139" s="131">
        <f t="shared" si="47"/>
        <v>0</v>
      </c>
      <c r="O139" s="131">
        <f t="shared" si="47"/>
        <v>0</v>
      </c>
      <c r="P139" s="131">
        <f t="shared" si="47"/>
        <v>0</v>
      </c>
      <c r="Q139" s="131">
        <f t="shared" si="47"/>
        <v>0</v>
      </c>
      <c r="R139" s="131">
        <f t="shared" si="47"/>
        <v>0</v>
      </c>
      <c r="S139" s="62">
        <f t="shared" si="47"/>
        <v>0</v>
      </c>
    </row>
    <row r="140" spans="1:19" ht="15">
      <c r="A140" s="63" t="s">
        <v>141</v>
      </c>
      <c r="B140" s="58"/>
      <c r="C140" s="105"/>
      <c r="D140" s="126"/>
      <c r="E140" s="105"/>
      <c r="F140" s="126"/>
      <c r="G140" s="105">
        <v>0</v>
      </c>
      <c r="H140" s="105">
        <v>0</v>
      </c>
      <c r="I140" s="105">
        <v>0</v>
      </c>
      <c r="J140" s="105">
        <v>0</v>
      </c>
      <c r="K140" s="105">
        <v>0</v>
      </c>
      <c r="L140" s="105">
        <v>0</v>
      </c>
      <c r="M140" s="105">
        <v>0</v>
      </c>
      <c r="N140" s="105">
        <v>0</v>
      </c>
      <c r="O140" s="105">
        <v>0</v>
      </c>
      <c r="P140" s="105">
        <v>0</v>
      </c>
      <c r="Q140" s="105">
        <v>0</v>
      </c>
      <c r="R140" s="105">
        <v>0</v>
      </c>
      <c r="S140" s="67">
        <v>0</v>
      </c>
    </row>
    <row r="141" spans="1:19" ht="15">
      <c r="A141" s="63" t="s">
        <v>142</v>
      </c>
      <c r="B141" s="58"/>
      <c r="C141" s="133"/>
      <c r="D141" s="134">
        <v>0</v>
      </c>
      <c r="E141" s="133"/>
      <c r="F141" s="134">
        <v>0</v>
      </c>
      <c r="G141" s="133"/>
      <c r="H141" s="133">
        <v>0</v>
      </c>
      <c r="I141" s="133">
        <v>0</v>
      </c>
      <c r="J141" s="133">
        <v>0</v>
      </c>
      <c r="K141" s="133">
        <v>0</v>
      </c>
      <c r="L141" s="133">
        <v>0</v>
      </c>
      <c r="M141" s="133">
        <v>0</v>
      </c>
      <c r="N141" s="133">
        <v>0</v>
      </c>
      <c r="O141" s="133">
        <v>0</v>
      </c>
      <c r="P141" s="133">
        <v>0</v>
      </c>
      <c r="Q141" s="133">
        <v>0</v>
      </c>
      <c r="R141" s="133">
        <v>0</v>
      </c>
      <c r="S141" s="135">
        <v>0</v>
      </c>
    </row>
    <row r="142" spans="1:19" ht="15">
      <c r="A142" s="63"/>
      <c r="B142" s="58"/>
      <c r="C142" s="105"/>
      <c r="D142" s="195"/>
      <c r="E142" s="105"/>
      <c r="F142" s="195"/>
      <c r="G142" s="105"/>
      <c r="H142" s="105"/>
      <c r="I142" s="105"/>
      <c r="J142" s="105"/>
      <c r="K142" s="105"/>
      <c r="L142" s="105"/>
      <c r="M142" s="105"/>
      <c r="N142" s="105"/>
      <c r="O142" s="105"/>
      <c r="P142" s="105"/>
      <c r="Q142" s="105"/>
      <c r="R142" s="105"/>
      <c r="S142" s="67"/>
    </row>
    <row r="143" spans="1:19" ht="16" thickBot="1">
      <c r="A143" s="78" t="s">
        <v>76</v>
      </c>
      <c r="B143" s="58"/>
      <c r="C143" s="79"/>
      <c r="D143" s="199">
        <v>0</v>
      </c>
      <c r="E143" s="79"/>
      <c r="F143" s="199">
        <v>0</v>
      </c>
      <c r="G143" s="79">
        <f t="shared" ref="G143:S143" si="48">+SUM(0,0,0)</f>
        <v>0</v>
      </c>
      <c r="H143" s="79">
        <f t="shared" si="48"/>
        <v>0</v>
      </c>
      <c r="I143" s="79">
        <f t="shared" si="48"/>
        <v>0</v>
      </c>
      <c r="J143" s="79">
        <f t="shared" si="48"/>
        <v>0</v>
      </c>
      <c r="K143" s="79">
        <f t="shared" si="48"/>
        <v>0</v>
      </c>
      <c r="L143" s="79">
        <f t="shared" si="48"/>
        <v>0</v>
      </c>
      <c r="M143" s="79">
        <f t="shared" si="48"/>
        <v>0</v>
      </c>
      <c r="N143" s="79">
        <f t="shared" si="48"/>
        <v>0</v>
      </c>
      <c r="O143" s="79">
        <f t="shared" si="48"/>
        <v>0</v>
      </c>
      <c r="P143" s="79">
        <f t="shared" si="48"/>
        <v>0</v>
      </c>
      <c r="Q143" s="79">
        <f t="shared" si="48"/>
        <v>0</v>
      </c>
      <c r="R143" s="79">
        <f t="shared" si="48"/>
        <v>0</v>
      </c>
      <c r="S143" s="82">
        <f t="shared" si="48"/>
        <v>0</v>
      </c>
    </row>
    <row r="144" spans="1:19" ht="17" thickTop="1" thickBot="1">
      <c r="A144" s="37"/>
      <c r="B144" s="83"/>
      <c r="C144" s="109"/>
      <c r="D144" s="186"/>
      <c r="E144" s="109"/>
      <c r="F144" s="186"/>
      <c r="G144" s="109"/>
      <c r="H144" s="109"/>
      <c r="I144" s="109"/>
      <c r="J144" s="109"/>
      <c r="K144" s="109"/>
      <c r="L144" s="109"/>
      <c r="M144" s="109"/>
      <c r="N144" s="109"/>
      <c r="O144" s="109"/>
      <c r="P144" s="109"/>
      <c r="Q144" s="109"/>
      <c r="R144" s="109"/>
      <c r="S144" s="110"/>
    </row>
    <row r="145" spans="1:19" ht="17" thickTop="1" thickBot="1">
      <c r="A145" s="111" t="s">
        <v>143</v>
      </c>
      <c r="B145" s="136"/>
      <c r="C145" s="137"/>
      <c r="D145" s="203"/>
      <c r="E145" s="137"/>
      <c r="F145" s="203"/>
      <c r="G145" s="137">
        <v>143.97252</v>
      </c>
      <c r="H145" s="137">
        <v>142.58697000000001</v>
      </c>
      <c r="I145" s="137">
        <v>166.89663999999999</v>
      </c>
      <c r="J145" s="137">
        <v>161.05525</v>
      </c>
      <c r="K145" s="137">
        <v>108.42764</v>
      </c>
      <c r="L145" s="137">
        <v>167.03389000000001</v>
      </c>
      <c r="M145" s="137">
        <v>174.38390000000001</v>
      </c>
      <c r="N145" s="137">
        <v>116.74572000000001</v>
      </c>
      <c r="O145" s="137">
        <v>173.26558</v>
      </c>
      <c r="P145" s="137">
        <v>186.40862000000001</v>
      </c>
      <c r="Q145" s="137">
        <v>180.07023000000001</v>
      </c>
      <c r="R145" s="137">
        <v>171.79316</v>
      </c>
      <c r="S145" s="138">
        <v>1892.64012</v>
      </c>
    </row>
    <row r="146" spans="1:19" ht="17" thickTop="1" thickBot="1">
      <c r="A146" s="37"/>
      <c r="B146" s="83"/>
      <c r="C146" s="109"/>
      <c r="D146" s="186"/>
      <c r="E146" s="109"/>
      <c r="F146" s="186"/>
      <c r="G146" s="109"/>
      <c r="H146" s="109"/>
      <c r="I146" s="109"/>
      <c r="J146" s="109"/>
      <c r="K146" s="109"/>
      <c r="L146" s="109"/>
      <c r="M146" s="109"/>
      <c r="N146" s="109"/>
      <c r="O146" s="109"/>
      <c r="P146" s="109"/>
      <c r="Q146" s="109"/>
      <c r="R146" s="109"/>
      <c r="S146" s="110"/>
    </row>
    <row r="147" spans="1:19" ht="17" thickTop="1" thickBot="1">
      <c r="A147" s="52" t="s">
        <v>144</v>
      </c>
      <c r="B147" s="53"/>
      <c r="C147" s="89"/>
      <c r="D147" s="55"/>
      <c r="E147" s="55"/>
      <c r="F147" s="55"/>
      <c r="G147" s="54"/>
      <c r="H147" s="54"/>
      <c r="I147" s="54"/>
      <c r="J147" s="54"/>
      <c r="K147" s="54"/>
      <c r="L147" s="54"/>
      <c r="M147" s="54"/>
      <c r="N147" s="54"/>
      <c r="O147" s="54"/>
      <c r="P147" s="54"/>
      <c r="Q147" s="54"/>
      <c r="R147" s="54"/>
      <c r="S147" s="118"/>
    </row>
    <row r="148" spans="1:19" ht="16" thickTop="1">
      <c r="A148" s="139" t="s">
        <v>145</v>
      </c>
      <c r="B148" s="58"/>
      <c r="C148" s="140"/>
      <c r="D148" s="141"/>
      <c r="E148" s="140"/>
      <c r="F148" s="142"/>
      <c r="G148" s="140">
        <f t="shared" ref="G148:R148" si="49">146.80233</f>
        <v>146.80233000000001</v>
      </c>
      <c r="H148" s="140">
        <f t="shared" si="49"/>
        <v>146.80233000000001</v>
      </c>
      <c r="I148" s="140">
        <f t="shared" si="49"/>
        <v>146.80233000000001</v>
      </c>
      <c r="J148" s="140">
        <f t="shared" si="49"/>
        <v>146.80233000000001</v>
      </c>
      <c r="K148" s="140">
        <f t="shared" si="49"/>
        <v>146.80233000000001</v>
      </c>
      <c r="L148" s="140">
        <f t="shared" si="49"/>
        <v>146.80233000000001</v>
      </c>
      <c r="M148" s="140">
        <f t="shared" si="49"/>
        <v>146.80233000000001</v>
      </c>
      <c r="N148" s="140">
        <f t="shared" si="49"/>
        <v>146.80233000000001</v>
      </c>
      <c r="O148" s="140">
        <f t="shared" si="49"/>
        <v>146.80233000000001</v>
      </c>
      <c r="P148" s="140">
        <f t="shared" si="49"/>
        <v>146.80233000000001</v>
      </c>
      <c r="Q148" s="140">
        <f t="shared" si="49"/>
        <v>146.80233000000001</v>
      </c>
      <c r="R148" s="140">
        <f t="shared" si="49"/>
        <v>146.80233000000001</v>
      </c>
      <c r="S148" s="143">
        <f>1761.62796</f>
        <v>1761.62796</v>
      </c>
    </row>
    <row r="149" spans="1:19" ht="15">
      <c r="A149" s="144" t="s">
        <v>146</v>
      </c>
      <c r="B149" s="58"/>
      <c r="C149" s="105"/>
      <c r="D149" s="145"/>
      <c r="E149" s="105"/>
      <c r="F149" s="146"/>
      <c r="G149" s="105">
        <v>9.0333299999999994</v>
      </c>
      <c r="H149" s="105">
        <v>9.0333299999999994</v>
      </c>
      <c r="I149" s="105">
        <v>9.0333299999999994</v>
      </c>
      <c r="J149" s="105">
        <v>9.0333299999999994</v>
      </c>
      <c r="K149" s="105">
        <v>9.0333299999999994</v>
      </c>
      <c r="L149" s="105">
        <v>9.0333299999999994</v>
      </c>
      <c r="M149" s="105">
        <v>9.0333299999999994</v>
      </c>
      <c r="N149" s="105">
        <v>9.0333299999999994</v>
      </c>
      <c r="O149" s="105">
        <v>9.0333299999999994</v>
      </c>
      <c r="P149" s="105">
        <v>9.0333299999999994</v>
      </c>
      <c r="Q149" s="105">
        <v>9.0333299999999994</v>
      </c>
      <c r="R149" s="105">
        <v>9.0333299999999994</v>
      </c>
      <c r="S149" s="67">
        <v>108.39995999999999</v>
      </c>
    </row>
    <row r="150" spans="1:19" ht="15">
      <c r="A150" s="144" t="s">
        <v>147</v>
      </c>
      <c r="B150" s="58"/>
      <c r="C150" s="105"/>
      <c r="D150" s="145"/>
      <c r="E150" s="105"/>
      <c r="F150" s="146"/>
      <c r="G150" s="105">
        <f t="shared" ref="G150:R150" si="50">SUM(4.5925)</f>
        <v>4.5925000000000002</v>
      </c>
      <c r="H150" s="105">
        <f t="shared" si="50"/>
        <v>4.5925000000000002</v>
      </c>
      <c r="I150" s="105">
        <f t="shared" si="50"/>
        <v>4.5925000000000002</v>
      </c>
      <c r="J150" s="105">
        <f t="shared" si="50"/>
        <v>4.5925000000000002</v>
      </c>
      <c r="K150" s="105">
        <f t="shared" si="50"/>
        <v>4.5925000000000002</v>
      </c>
      <c r="L150" s="105">
        <f t="shared" si="50"/>
        <v>4.5925000000000002</v>
      </c>
      <c r="M150" s="105">
        <f t="shared" si="50"/>
        <v>4.5925000000000002</v>
      </c>
      <c r="N150" s="105">
        <f t="shared" si="50"/>
        <v>4.5925000000000002</v>
      </c>
      <c r="O150" s="105">
        <f t="shared" si="50"/>
        <v>4.5925000000000002</v>
      </c>
      <c r="P150" s="105">
        <f t="shared" si="50"/>
        <v>4.5925000000000002</v>
      </c>
      <c r="Q150" s="105">
        <f t="shared" si="50"/>
        <v>4.5925000000000002</v>
      </c>
      <c r="R150" s="105">
        <f t="shared" si="50"/>
        <v>4.5925000000000002</v>
      </c>
      <c r="S150" s="67">
        <f>SUM(55.11)</f>
        <v>55.11</v>
      </c>
    </row>
    <row r="151" spans="1:19" ht="15">
      <c r="A151" s="144" t="s">
        <v>148</v>
      </c>
      <c r="B151" s="58"/>
      <c r="C151" s="105"/>
      <c r="D151" s="145"/>
      <c r="E151" s="105"/>
      <c r="F151" s="146"/>
      <c r="G151" s="105">
        <f t="shared" ref="G151:S151" si="51">+G145-G148-G150</f>
        <v>-7.4223100000000093</v>
      </c>
      <c r="H151" s="105">
        <f t="shared" si="51"/>
        <v>-8.8078600000000051</v>
      </c>
      <c r="I151" s="105">
        <f t="shared" si="51"/>
        <v>15.501809999999978</v>
      </c>
      <c r="J151" s="105">
        <f t="shared" si="51"/>
        <v>9.6604199999999878</v>
      </c>
      <c r="K151" s="105">
        <f t="shared" si="51"/>
        <v>-42.967190000000016</v>
      </c>
      <c r="L151" s="105">
        <f t="shared" si="51"/>
        <v>15.639060000000001</v>
      </c>
      <c r="M151" s="105">
        <f t="shared" si="51"/>
        <v>22.989069999999998</v>
      </c>
      <c r="N151" s="105">
        <f t="shared" si="51"/>
        <v>-34.649110000000007</v>
      </c>
      <c r="O151" s="105">
        <f t="shared" si="51"/>
        <v>21.870749999999987</v>
      </c>
      <c r="P151" s="105">
        <f t="shared" si="51"/>
        <v>35.01379</v>
      </c>
      <c r="Q151" s="105">
        <f t="shared" si="51"/>
        <v>28.675399999999996</v>
      </c>
      <c r="R151" s="105">
        <f t="shared" si="51"/>
        <v>20.398329999999987</v>
      </c>
      <c r="S151" s="67">
        <f t="shared" si="51"/>
        <v>75.902159999999995</v>
      </c>
    </row>
    <row r="152" spans="1:19" ht="16" thickBot="1">
      <c r="A152" s="147" t="s">
        <v>149</v>
      </c>
      <c r="B152" s="58"/>
      <c r="C152" s="148"/>
      <c r="D152" s="149"/>
      <c r="E152" s="148"/>
      <c r="F152" s="150"/>
      <c r="G152" s="148">
        <f t="shared" ref="G152:S152" si="52">SUM(0)</f>
        <v>0</v>
      </c>
      <c r="H152" s="148">
        <f t="shared" si="52"/>
        <v>0</v>
      </c>
      <c r="I152" s="148">
        <f t="shared" si="52"/>
        <v>0</v>
      </c>
      <c r="J152" s="148">
        <f t="shared" si="52"/>
        <v>0</v>
      </c>
      <c r="K152" s="148">
        <f t="shared" si="52"/>
        <v>0</v>
      </c>
      <c r="L152" s="148">
        <f t="shared" si="52"/>
        <v>0</v>
      </c>
      <c r="M152" s="148">
        <f t="shared" si="52"/>
        <v>0</v>
      </c>
      <c r="N152" s="148">
        <f t="shared" si="52"/>
        <v>0</v>
      </c>
      <c r="O152" s="148">
        <f t="shared" si="52"/>
        <v>0</v>
      </c>
      <c r="P152" s="148">
        <f t="shared" si="52"/>
        <v>0</v>
      </c>
      <c r="Q152" s="148">
        <f t="shared" si="52"/>
        <v>0</v>
      </c>
      <c r="R152" s="148">
        <f t="shared" si="52"/>
        <v>0</v>
      </c>
      <c r="S152" s="151">
        <f t="shared" si="52"/>
        <v>0</v>
      </c>
    </row>
    <row r="153" spans="1:19" ht="17" thickTop="1" thickBot="1">
      <c r="A153" s="37"/>
      <c r="B153" s="83"/>
      <c r="C153" s="86"/>
      <c r="D153" s="37"/>
      <c r="E153" s="86"/>
      <c r="F153" s="37"/>
      <c r="G153" s="87"/>
      <c r="H153" s="87"/>
      <c r="I153" s="87"/>
      <c r="J153" s="87"/>
      <c r="K153" s="87"/>
      <c r="L153" s="87"/>
      <c r="M153" s="87"/>
      <c r="N153" s="87"/>
      <c r="O153" s="87"/>
      <c r="P153" s="87"/>
      <c r="Q153" s="87"/>
      <c r="R153" s="87"/>
      <c r="S153" s="88"/>
    </row>
    <row r="154" spans="1:19" ht="17" thickTop="1" thickBot="1">
      <c r="A154" s="152" t="s">
        <v>150</v>
      </c>
      <c r="B154" s="153"/>
      <c r="C154" s="154"/>
      <c r="D154" s="155"/>
      <c r="E154" s="154"/>
      <c r="F154" s="155"/>
      <c r="G154" s="154">
        <v>-7.4223125000000003</v>
      </c>
      <c r="H154" s="154">
        <v>-8.8078590000000005</v>
      </c>
      <c r="I154" s="154">
        <v>15.5018125</v>
      </c>
      <c r="J154" s="154">
        <v>9.6604220000000005</v>
      </c>
      <c r="K154" s="154">
        <v>-42.967188</v>
      </c>
      <c r="L154" s="154">
        <v>15.6390625</v>
      </c>
      <c r="M154" s="154">
        <v>22.989077999999999</v>
      </c>
      <c r="N154" s="154">
        <v>-34.64911</v>
      </c>
      <c r="O154" s="154">
        <v>21.870750000000001</v>
      </c>
      <c r="P154" s="154">
        <v>35.013796999999997</v>
      </c>
      <c r="Q154" s="154">
        <v>28.675405999999999</v>
      </c>
      <c r="R154" s="154">
        <v>20.398327999999999</v>
      </c>
      <c r="S154" s="156">
        <v>75.902186499999999</v>
      </c>
    </row>
    <row r="155" spans="1:19" ht="17" thickTop="1" thickBot="1">
      <c r="A155" s="147" t="s">
        <v>151</v>
      </c>
      <c r="B155" s="58"/>
      <c r="C155" s="148"/>
      <c r="D155" s="149"/>
      <c r="E155" s="148"/>
      <c r="F155" s="150"/>
      <c r="G155" s="148">
        <f t="shared" ref="G155:R155" si="53">SUM(0.73333)</f>
        <v>0.73333000000000004</v>
      </c>
      <c r="H155" s="148">
        <f t="shared" si="53"/>
        <v>0.73333000000000004</v>
      </c>
      <c r="I155" s="148">
        <f t="shared" si="53"/>
        <v>0.73333000000000004</v>
      </c>
      <c r="J155" s="148">
        <f t="shared" si="53"/>
        <v>0.73333000000000004</v>
      </c>
      <c r="K155" s="148">
        <f t="shared" si="53"/>
        <v>0.73333000000000004</v>
      </c>
      <c r="L155" s="148">
        <f t="shared" si="53"/>
        <v>0.73333000000000004</v>
      </c>
      <c r="M155" s="148">
        <f t="shared" si="53"/>
        <v>0.73333000000000004</v>
      </c>
      <c r="N155" s="148">
        <f t="shared" si="53"/>
        <v>0.73333000000000004</v>
      </c>
      <c r="O155" s="148">
        <f t="shared" si="53"/>
        <v>0.73333000000000004</v>
      </c>
      <c r="P155" s="148">
        <f t="shared" si="53"/>
        <v>0.73333000000000004</v>
      </c>
      <c r="Q155" s="148">
        <f t="shared" si="53"/>
        <v>0.73333000000000004</v>
      </c>
      <c r="R155" s="148">
        <f t="shared" si="53"/>
        <v>0.73333000000000004</v>
      </c>
      <c r="S155" s="151">
        <f>SUM(8.79996)</f>
        <v>8.7999600000000004</v>
      </c>
    </row>
    <row r="156" spans="1:19" ht="17" thickTop="1" thickBot="1">
      <c r="A156" s="152" t="s">
        <v>152</v>
      </c>
      <c r="B156" s="153"/>
      <c r="C156" s="154"/>
      <c r="D156" s="155"/>
      <c r="E156" s="154"/>
      <c r="F156" s="155"/>
      <c r="G156" s="154">
        <f t="shared" ref="G156:S156" si="54">G154-G155</f>
        <v>-8.1556425000000008</v>
      </c>
      <c r="H156" s="154">
        <f t="shared" si="54"/>
        <v>-9.541189000000001</v>
      </c>
      <c r="I156" s="154">
        <f t="shared" si="54"/>
        <v>14.768482499999999</v>
      </c>
      <c r="J156" s="154">
        <f t="shared" si="54"/>
        <v>8.927092</v>
      </c>
      <c r="K156" s="154">
        <f t="shared" si="54"/>
        <v>-43.700518000000002</v>
      </c>
      <c r="L156" s="154">
        <f t="shared" si="54"/>
        <v>14.905732499999999</v>
      </c>
      <c r="M156" s="154">
        <f t="shared" si="54"/>
        <v>22.255748000000001</v>
      </c>
      <c r="N156" s="154">
        <f t="shared" si="54"/>
        <v>-35.382440000000003</v>
      </c>
      <c r="O156" s="154">
        <f t="shared" si="54"/>
        <v>21.137420000000002</v>
      </c>
      <c r="P156" s="154">
        <f t="shared" si="54"/>
        <v>34.280466999999994</v>
      </c>
      <c r="Q156" s="154">
        <f t="shared" si="54"/>
        <v>27.942076</v>
      </c>
      <c r="R156" s="154">
        <f t="shared" si="54"/>
        <v>19.664998000000001</v>
      </c>
      <c r="S156" s="156">
        <f t="shared" si="54"/>
        <v>67.1022265</v>
      </c>
    </row>
    <row r="157" spans="1:19" ht="16" thickTop="1">
      <c r="A157" s="37" t="s">
        <v>153</v>
      </c>
      <c r="B157" s="37"/>
      <c r="C157" s="86"/>
      <c r="D157" s="86"/>
      <c r="E157" s="86"/>
      <c r="F157" s="86"/>
      <c r="G157" s="86">
        <f>2089.6229</f>
        <v>2089.6228999999998</v>
      </c>
      <c r="H157" s="86">
        <f>2156.6918</f>
        <v>2156.6918000000001</v>
      </c>
      <c r="I157" s="86">
        <f>2370.125</f>
        <v>2370.125</v>
      </c>
      <c r="J157" s="86">
        <f>2330.5218</f>
        <v>2330.5218</v>
      </c>
      <c r="K157" s="86">
        <f>1902.4465</f>
        <v>1902.4465</v>
      </c>
      <c r="L157" s="86">
        <f>2370.38</f>
        <v>2370.38</v>
      </c>
      <c r="M157" s="86">
        <f>2513.0785</f>
        <v>2513.0785000000001</v>
      </c>
      <c r="N157" s="86">
        <f>1714.7656</f>
        <v>1714.7655999999999</v>
      </c>
      <c r="O157" s="86">
        <f>2488.6222</f>
        <v>2488.6221999999998</v>
      </c>
      <c r="P157" s="86">
        <f>2720.149</f>
        <v>2720.1489999999999</v>
      </c>
      <c r="Q157" s="86">
        <f>2807.5835</f>
        <v>2807.5835000000002</v>
      </c>
      <c r="R157" s="86">
        <f>2464.568</f>
        <v>2464.5680000000002</v>
      </c>
      <c r="S157" s="86">
        <f>27928.5548</f>
        <v>27928.554800000002</v>
      </c>
    </row>
    <row r="158" spans="1:19" ht="15">
      <c r="A158" s="37" t="s">
        <v>154</v>
      </c>
      <c r="B158" s="37"/>
      <c r="C158" s="204"/>
      <c r="D158" s="37"/>
      <c r="E158" s="204"/>
      <c r="F158" s="37"/>
      <c r="G158" s="204">
        <f t="shared" ref="G158:S158" si="55">G156/G157</f>
        <v>-3.9029254991414966E-3</v>
      </c>
      <c r="H158" s="204">
        <f t="shared" si="55"/>
        <v>-4.4239928023095372E-3</v>
      </c>
      <c r="I158" s="204">
        <f t="shared" si="55"/>
        <v>6.2310985707504877E-3</v>
      </c>
      <c r="J158" s="204">
        <f t="shared" si="55"/>
        <v>3.8305121196463383E-3</v>
      </c>
      <c r="K158" s="204">
        <f t="shared" si="55"/>
        <v>-2.297069483951323E-2</v>
      </c>
      <c r="L158" s="204">
        <f t="shared" si="55"/>
        <v>6.2883303520954439E-3</v>
      </c>
      <c r="M158" s="204">
        <f t="shared" si="55"/>
        <v>8.8559700781332528E-3</v>
      </c>
      <c r="N158" s="204">
        <f t="shared" si="55"/>
        <v>-2.0633980527717609E-2</v>
      </c>
      <c r="O158" s="204">
        <f t="shared" si="55"/>
        <v>8.4936234997823306E-3</v>
      </c>
      <c r="P158" s="204">
        <f t="shared" si="55"/>
        <v>1.2602422514354911E-2</v>
      </c>
      <c r="Q158" s="204">
        <f t="shared" si="55"/>
        <v>9.9523579619270452E-3</v>
      </c>
      <c r="R158" s="204">
        <f t="shared" si="55"/>
        <v>7.9790851784166637E-3</v>
      </c>
      <c r="S158" s="204">
        <f t="shared" si="55"/>
        <v>2.4026386965071318E-3</v>
      </c>
    </row>
    <row r="159" spans="1:19" ht="7.5" customHeight="1">
      <c r="A159" s="37"/>
      <c r="B159" s="37"/>
      <c r="C159" s="204"/>
      <c r="D159" s="37"/>
      <c r="E159" s="204"/>
      <c r="F159" s="37"/>
      <c r="G159" s="204"/>
      <c r="H159" s="204"/>
      <c r="I159" s="204"/>
      <c r="J159" s="204"/>
      <c r="K159" s="204"/>
      <c r="L159" s="204"/>
      <c r="M159" s="204"/>
      <c r="N159" s="204"/>
      <c r="O159" s="204"/>
      <c r="P159" s="204"/>
      <c r="Q159" s="204"/>
      <c r="R159" s="204"/>
      <c r="S159" s="204"/>
    </row>
    <row r="160" spans="1:19" ht="15">
      <c r="A160" s="37"/>
      <c r="B160" s="37"/>
      <c r="C160" s="204"/>
      <c r="D160" s="37"/>
      <c r="E160" s="204"/>
      <c r="F160" s="37"/>
      <c r="G160" s="204"/>
      <c r="H160" s="204"/>
      <c r="I160" s="205"/>
      <c r="J160" s="205"/>
      <c r="K160" s="205"/>
      <c r="L160" s="205"/>
      <c r="M160" s="205"/>
      <c r="N160" s="205"/>
      <c r="O160" s="205"/>
      <c r="P160" s="205"/>
      <c r="Q160" s="205"/>
      <c r="R160" s="205"/>
      <c r="S160" s="205"/>
    </row>
    <row r="161" spans="1:19" ht="7.5" customHeight="1">
      <c r="A161" s="37"/>
      <c r="B161" s="37"/>
      <c r="C161" s="204"/>
      <c r="D161" s="37"/>
      <c r="E161" s="204"/>
      <c r="F161" s="37"/>
      <c r="G161" s="204"/>
      <c r="H161" s="204"/>
      <c r="I161" s="204"/>
      <c r="J161" s="204"/>
      <c r="K161" s="204"/>
      <c r="L161" s="204"/>
      <c r="M161" s="204"/>
      <c r="N161" s="204"/>
      <c r="O161" s="204"/>
      <c r="P161" s="204"/>
      <c r="Q161" s="204"/>
      <c r="R161" s="204"/>
      <c r="S161" s="204"/>
    </row>
    <row r="162" spans="1:19" ht="15">
      <c r="A162" s="37"/>
      <c r="B162" s="37"/>
      <c r="C162" s="37"/>
      <c r="D162" s="37"/>
      <c r="E162" s="37"/>
      <c r="F162" s="37"/>
      <c r="G162" s="37"/>
      <c r="H162" s="37"/>
      <c r="I162" s="37"/>
      <c r="J162" s="37"/>
      <c r="K162" s="37"/>
      <c r="L162" s="37"/>
      <c r="M162" s="37"/>
      <c r="N162" s="37"/>
      <c r="O162" s="37"/>
      <c r="P162" s="37"/>
      <c r="Q162" s="37"/>
      <c r="R162" s="37"/>
      <c r="S162" s="37"/>
    </row>
  </sheetData>
  <mergeCells count="1">
    <mergeCell ref="G3:S3"/>
  </mergeCells>
  <pageMargins left="0.14000000000000001" right="0.09" top="0.18" bottom="0.18" header="0.4921259845" footer="0.4921259845"/>
  <pageSetup paperSize="8" scale="50" orientation="portrait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C12"/>
  <sheetViews>
    <sheetView zoomScale="90" zoomScaleNormal="90" zoomScalePageLayoutView="90" workbookViewId="0">
      <selection activeCell="J53" sqref="J53"/>
    </sheetView>
  </sheetViews>
  <sheetFormatPr baseColWidth="10" defaultRowHeight="14" x14ac:dyDescent="0"/>
  <cols>
    <col min="1" max="1" width="35.33203125" bestFit="1" customWidth="1"/>
    <col min="2" max="2" width="25.6640625" style="9" bestFit="1" customWidth="1"/>
  </cols>
  <sheetData>
    <row r="1" spans="1:3">
      <c r="A1" s="3" t="s">
        <v>0</v>
      </c>
      <c r="B1" s="8">
        <f>DATE(An_Ref,1,1)</f>
        <v>42005</v>
      </c>
      <c r="C1" s="10">
        <f>WEEKDAY(B1,1)</f>
        <v>5</v>
      </c>
    </row>
    <row r="2" spans="1:3">
      <c r="A2" s="3" t="s">
        <v>1</v>
      </c>
      <c r="B2" s="8">
        <f>DATE(An_Ref,5,1)</f>
        <v>42125</v>
      </c>
      <c r="C2" s="10">
        <f t="shared" ref="C2:C12" si="0">WEEKDAY(B2,1)</f>
        <v>6</v>
      </c>
    </row>
    <row r="3" spans="1:3">
      <c r="A3" s="4">
        <v>41767</v>
      </c>
      <c r="B3" s="8">
        <f>DATE(An_Ref,5,8)</f>
        <v>42132</v>
      </c>
      <c r="C3" s="10">
        <f t="shared" si="0"/>
        <v>6</v>
      </c>
    </row>
    <row r="4" spans="1:3">
      <c r="A4" s="4">
        <v>41834</v>
      </c>
      <c r="B4" s="8">
        <f>DATE(An_Ref,7,14)</f>
        <v>42199</v>
      </c>
      <c r="C4" s="10">
        <f t="shared" si="0"/>
        <v>3</v>
      </c>
    </row>
    <row r="5" spans="1:3">
      <c r="A5" s="4">
        <v>41954</v>
      </c>
      <c r="B5" s="8">
        <f>DATE(An_Ref,11,11)</f>
        <v>42319</v>
      </c>
      <c r="C5" s="10">
        <f t="shared" si="0"/>
        <v>4</v>
      </c>
    </row>
    <row r="6" spans="1:3">
      <c r="A6" s="5" t="s">
        <v>2</v>
      </c>
      <c r="B6" s="8">
        <f>ROUND(DATE(An_Ref,4,1)/7+MOD(19*MOD(An_Ref,19)-7,30)*14%,0)*7-6</f>
        <v>42099</v>
      </c>
      <c r="C6" s="10">
        <f t="shared" si="0"/>
        <v>1</v>
      </c>
    </row>
    <row r="7" spans="1:3">
      <c r="A7" s="5" t="s">
        <v>3</v>
      </c>
      <c r="B7" s="8">
        <f>B6+1</f>
        <v>42100</v>
      </c>
      <c r="C7" s="10">
        <f t="shared" si="0"/>
        <v>2</v>
      </c>
    </row>
    <row r="8" spans="1:3">
      <c r="A8" s="5" t="s">
        <v>4</v>
      </c>
      <c r="B8" s="8">
        <f>B6+39</f>
        <v>42138</v>
      </c>
      <c r="C8" s="10">
        <f t="shared" si="0"/>
        <v>5</v>
      </c>
    </row>
    <row r="9" spans="1:3">
      <c r="A9" s="5" t="s">
        <v>5</v>
      </c>
      <c r="B9" s="8">
        <f>B6+50</f>
        <v>42149</v>
      </c>
      <c r="C9" s="10">
        <f t="shared" si="0"/>
        <v>2</v>
      </c>
    </row>
    <row r="10" spans="1:3">
      <c r="A10" s="5" t="s">
        <v>6</v>
      </c>
      <c r="B10" s="8">
        <f>DATE(An_Ref,8,15)</f>
        <v>42231</v>
      </c>
      <c r="C10" s="10">
        <f t="shared" si="0"/>
        <v>7</v>
      </c>
    </row>
    <row r="11" spans="1:3">
      <c r="A11" s="6" t="s">
        <v>7</v>
      </c>
      <c r="B11" s="8">
        <f>DATE(An_Ref,11,1)</f>
        <v>42309</v>
      </c>
      <c r="C11" s="10">
        <f t="shared" si="0"/>
        <v>1</v>
      </c>
    </row>
    <row r="12" spans="1:3">
      <c r="A12" s="7" t="s">
        <v>8</v>
      </c>
      <c r="B12" s="8">
        <f>DATE(An_Ref,12,25)</f>
        <v>42363</v>
      </c>
      <c r="C12" s="10">
        <f t="shared" si="0"/>
        <v>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CA Jour</vt:lpstr>
      <vt:lpstr>HEC Jour</vt:lpstr>
      <vt:lpstr>N</vt:lpstr>
      <vt:lpstr>N1</vt:lpstr>
      <vt:lpstr>N2</vt:lpstr>
      <vt:lpstr>BUDGET</vt:lpstr>
      <vt:lpstr>Fériés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HUMBERT Ludovic</dc:creator>
  <cp:lastModifiedBy>Ludo</cp:lastModifiedBy>
  <cp:lastPrinted>2015-08-10T17:01:29Z</cp:lastPrinted>
  <dcterms:created xsi:type="dcterms:W3CDTF">2014-05-24T21:25:32Z</dcterms:created>
  <dcterms:modified xsi:type="dcterms:W3CDTF">2015-08-11T19:03:25Z</dcterms:modified>
</cp:coreProperties>
</file>