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828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lipe\Desktop\GESTION POSTE LANCEMENT\"/>
    </mc:Choice>
  </mc:AlternateContent>
  <bookViews>
    <workbookView xWindow="-12" yWindow="6012" windowWidth="19236" windowHeight="6072" activeTab="2"/>
  </bookViews>
  <sheets>
    <sheet name="DONNEES Idcc DETAIL" sheetId="8" r:id="rId1"/>
    <sheet name="FILTRES LIVRAISON" sheetId="10" r:id="rId2"/>
    <sheet name="EXPLOITATION_livraison" sheetId="9" r:id="rId3"/>
  </sheets>
  <definedNames>
    <definedName name="_xlnm._FilterDatabase" localSheetId="0" hidden="1">'DONNEES Idcc DETAIL'!$A$1:$Q$436</definedName>
    <definedName name="_xlnm.Criteria" localSheetId="1">'FILTRES LIVRAISON'!$I$2:$K$3</definedName>
    <definedName name="_xlnm.Extract" localSheetId="1">'FILTRES LIVRAISON'!$A$5:$D$5</definedName>
  </definedNames>
  <calcPr calcId="162913"/>
</workbook>
</file>

<file path=xl/calcChain.xml><?xml version="1.0" encoding="utf-8"?>
<calcChain xmlns="http://schemas.openxmlformats.org/spreadsheetml/2006/main">
  <c r="B73" i="9" l="1"/>
  <c r="Q1144" i="8" l="1"/>
  <c r="N1144" i="8"/>
  <c r="D1144" i="8"/>
  <c r="B1144" i="8"/>
  <c r="A1144" i="8"/>
  <c r="D1143" i="8"/>
  <c r="A1143" i="8"/>
  <c r="D1142" i="8"/>
  <c r="A1142" i="8"/>
  <c r="D1141" i="8"/>
  <c r="A1141" i="8"/>
  <c r="D1140" i="8"/>
  <c r="A1140" i="8"/>
  <c r="D1139" i="8"/>
  <c r="A1139" i="8"/>
  <c r="D1138" i="8"/>
  <c r="A1138" i="8"/>
  <c r="D1137" i="8"/>
  <c r="A1137" i="8"/>
  <c r="D1136" i="8"/>
  <c r="A1136" i="8"/>
  <c r="D1135" i="8"/>
  <c r="A1135" i="8"/>
  <c r="D1134" i="8"/>
  <c r="A1134" i="8"/>
  <c r="D1133" i="8"/>
  <c r="A1133" i="8"/>
  <c r="D1132" i="8"/>
  <c r="A1132" i="8"/>
  <c r="D1131" i="8"/>
  <c r="A1131" i="8"/>
  <c r="D1130" i="8"/>
  <c r="A1130" i="8"/>
  <c r="D1129" i="8"/>
  <c r="A1129" i="8"/>
  <c r="D1128" i="8"/>
  <c r="A1128" i="8"/>
  <c r="D1127" i="8"/>
  <c r="A1127" i="8"/>
  <c r="D1126" i="8"/>
  <c r="A1126" i="8"/>
  <c r="D1125" i="8"/>
  <c r="A1125" i="8"/>
  <c r="D1124" i="8"/>
  <c r="A1124" i="8"/>
  <c r="D1123" i="8"/>
  <c r="A1123" i="8"/>
  <c r="D1122" i="8"/>
  <c r="A1122" i="8"/>
  <c r="D1121" i="8"/>
  <c r="A1121" i="8"/>
  <c r="D1120" i="8"/>
  <c r="A1120" i="8"/>
  <c r="D1119" i="8"/>
  <c r="A1119" i="8"/>
  <c r="D1118" i="8"/>
  <c r="A1118" i="8"/>
  <c r="D1117" i="8"/>
  <c r="A1117" i="8"/>
  <c r="D1116" i="8"/>
  <c r="A1116" i="8"/>
  <c r="D1115" i="8"/>
  <c r="A1115" i="8"/>
  <c r="D1114" i="8"/>
  <c r="A1114" i="8"/>
  <c r="D1113" i="8"/>
  <c r="A1113" i="8"/>
  <c r="D1112" i="8"/>
  <c r="A1112" i="8"/>
  <c r="D1111" i="8"/>
  <c r="A1111" i="8"/>
  <c r="D1110" i="8"/>
  <c r="A1110" i="8"/>
  <c r="D1109" i="8"/>
  <c r="A1109" i="8"/>
  <c r="D1108" i="8"/>
  <c r="A1108" i="8"/>
  <c r="D1107" i="8"/>
  <c r="A1107" i="8"/>
  <c r="D1106" i="8"/>
  <c r="A1106" i="8"/>
  <c r="D1105" i="8"/>
  <c r="A1105" i="8"/>
  <c r="D1104" i="8"/>
  <c r="A1104" i="8"/>
  <c r="D1103" i="8"/>
  <c r="A1103" i="8"/>
  <c r="D1102" i="8"/>
  <c r="A1102" i="8"/>
  <c r="D1101" i="8"/>
  <c r="A1101" i="8"/>
  <c r="D1100" i="8"/>
  <c r="A1100" i="8"/>
  <c r="D1099" i="8"/>
  <c r="A1099" i="8"/>
  <c r="D1098" i="8"/>
  <c r="A1098" i="8"/>
  <c r="D1097" i="8"/>
  <c r="A1097" i="8"/>
  <c r="D1096" i="8"/>
  <c r="A1096" i="8"/>
  <c r="D1095" i="8"/>
  <c r="A1095" i="8"/>
  <c r="D1094" i="8"/>
  <c r="A1094" i="8"/>
  <c r="D1093" i="8"/>
  <c r="A1093" i="8"/>
  <c r="D1092" i="8"/>
  <c r="A1092" i="8"/>
  <c r="D1091" i="8"/>
  <c r="A1091" i="8"/>
  <c r="D1090" i="8"/>
  <c r="A1090" i="8"/>
  <c r="D1089" i="8"/>
  <c r="A1089" i="8"/>
  <c r="D1088" i="8"/>
  <c r="A1088" i="8"/>
  <c r="D1087" i="8"/>
  <c r="A1087" i="8"/>
  <c r="D1086" i="8"/>
  <c r="A1086" i="8"/>
  <c r="D1085" i="8"/>
  <c r="A1085" i="8"/>
  <c r="D1084" i="8"/>
  <c r="A1084" i="8"/>
  <c r="D1083" i="8"/>
  <c r="A1083" i="8"/>
  <c r="D1082" i="8"/>
  <c r="A1082" i="8"/>
  <c r="D1081" i="8"/>
  <c r="A1081" i="8"/>
  <c r="D1080" i="8"/>
  <c r="A1080" i="8"/>
  <c r="D1079" i="8"/>
  <c r="A1079" i="8"/>
  <c r="D1078" i="8"/>
  <c r="A1078" i="8"/>
  <c r="D1077" i="8"/>
  <c r="A1077" i="8"/>
  <c r="D1076" i="8"/>
  <c r="A1076" i="8"/>
  <c r="D1075" i="8"/>
  <c r="A1075" i="8"/>
  <c r="D1074" i="8"/>
  <c r="A1074" i="8"/>
  <c r="D1073" i="8"/>
  <c r="A1073" i="8"/>
  <c r="D1072" i="8"/>
  <c r="A1072" i="8"/>
  <c r="D1071" i="8"/>
  <c r="A1071" i="8"/>
  <c r="D1070" i="8"/>
  <c r="A1070" i="8"/>
  <c r="D1069" i="8"/>
  <c r="A1069" i="8"/>
  <c r="D1068" i="8"/>
  <c r="A1068" i="8"/>
  <c r="D1067" i="8"/>
  <c r="A1067" i="8"/>
  <c r="D1066" i="8"/>
  <c r="A1066" i="8"/>
  <c r="D1065" i="8"/>
  <c r="A1065" i="8"/>
  <c r="D1064" i="8"/>
  <c r="A1064" i="8"/>
  <c r="D1063" i="8"/>
  <c r="A1063" i="8"/>
  <c r="D1062" i="8"/>
  <c r="A1062" i="8"/>
  <c r="D1061" i="8"/>
  <c r="A1061" i="8"/>
  <c r="D1060" i="8"/>
  <c r="A1060" i="8"/>
  <c r="D1059" i="8"/>
  <c r="A1059" i="8"/>
  <c r="D1058" i="8"/>
  <c r="A1058" i="8"/>
  <c r="D1057" i="8"/>
  <c r="A1057" i="8"/>
  <c r="D1056" i="8"/>
  <c r="A1056" i="8"/>
  <c r="D1055" i="8"/>
  <c r="A1055" i="8"/>
  <c r="D1054" i="8"/>
  <c r="A1054" i="8"/>
  <c r="D1053" i="8"/>
  <c r="A1053" i="8"/>
  <c r="D1052" i="8"/>
  <c r="A1052" i="8"/>
  <c r="D1051" i="8"/>
  <c r="A1051" i="8"/>
  <c r="D1050" i="8"/>
  <c r="A1050" i="8"/>
  <c r="D1049" i="8"/>
  <c r="A1049" i="8"/>
  <c r="D1048" i="8"/>
  <c r="A1048" i="8"/>
  <c r="D1047" i="8"/>
  <c r="A1047" i="8"/>
  <c r="D1046" i="8"/>
  <c r="A1046" i="8"/>
  <c r="D1045" i="8"/>
  <c r="A1045" i="8"/>
  <c r="D1044" i="8"/>
  <c r="A1044" i="8"/>
  <c r="D1043" i="8"/>
  <c r="A1043" i="8"/>
  <c r="D1042" i="8"/>
  <c r="A1042" i="8"/>
  <c r="D1041" i="8"/>
  <c r="A1041" i="8"/>
  <c r="D1040" i="8"/>
  <c r="A1040" i="8"/>
  <c r="D1039" i="8"/>
  <c r="A1039" i="8"/>
  <c r="D1038" i="8"/>
  <c r="A1038" i="8"/>
  <c r="D1037" i="8"/>
  <c r="A1037" i="8"/>
  <c r="D1036" i="8"/>
  <c r="A1036" i="8"/>
  <c r="D1035" i="8"/>
  <c r="A1035" i="8"/>
  <c r="D1034" i="8"/>
  <c r="A1034" i="8"/>
  <c r="D1033" i="8"/>
  <c r="A1033" i="8"/>
  <c r="D1032" i="8"/>
  <c r="A1032" i="8"/>
  <c r="D1031" i="8"/>
  <c r="A1031" i="8"/>
  <c r="D1030" i="8"/>
  <c r="A1030" i="8"/>
  <c r="D1029" i="8"/>
  <c r="A1029" i="8"/>
  <c r="D1028" i="8"/>
  <c r="A1028" i="8"/>
  <c r="D1027" i="8"/>
  <c r="A1027" i="8"/>
  <c r="D1026" i="8"/>
  <c r="A1026" i="8"/>
  <c r="D1025" i="8"/>
  <c r="A1025" i="8"/>
  <c r="D1024" i="8"/>
  <c r="A1024" i="8"/>
  <c r="D1023" i="8"/>
  <c r="A1023" i="8"/>
  <c r="D1022" i="8"/>
  <c r="A1022" i="8"/>
  <c r="D1021" i="8"/>
  <c r="A1021" i="8"/>
  <c r="D1020" i="8"/>
  <c r="A1020" i="8"/>
  <c r="D1019" i="8"/>
  <c r="A1019" i="8"/>
  <c r="D1018" i="8"/>
  <c r="A1018" i="8"/>
  <c r="D1017" i="8"/>
  <c r="A1017" i="8"/>
  <c r="D1016" i="8"/>
  <c r="A1016" i="8"/>
  <c r="D1015" i="8"/>
  <c r="A1015" i="8"/>
  <c r="D1014" i="8"/>
  <c r="A1014" i="8"/>
  <c r="D1013" i="8"/>
  <c r="A1013" i="8"/>
  <c r="D1012" i="8"/>
  <c r="A1012" i="8"/>
  <c r="D1011" i="8"/>
  <c r="A1011" i="8"/>
  <c r="D1010" i="8"/>
  <c r="A1010" i="8"/>
  <c r="D1009" i="8"/>
  <c r="A1009" i="8"/>
  <c r="D1008" i="8"/>
  <c r="A1008" i="8"/>
  <c r="D1007" i="8"/>
  <c r="A1007" i="8"/>
  <c r="D1006" i="8"/>
  <c r="A1006" i="8"/>
  <c r="D1005" i="8"/>
  <c r="A1005" i="8"/>
  <c r="D1004" i="8"/>
  <c r="A1004" i="8"/>
  <c r="D1003" i="8"/>
  <c r="A1003" i="8"/>
  <c r="D1002" i="8"/>
  <c r="A1002" i="8"/>
  <c r="D1001" i="8"/>
  <c r="A1001" i="8"/>
  <c r="D1000" i="8"/>
  <c r="A1000" i="8"/>
  <c r="D999" i="8"/>
  <c r="A999" i="8"/>
  <c r="D998" i="8"/>
  <c r="A998" i="8"/>
  <c r="D997" i="8"/>
  <c r="A997" i="8"/>
  <c r="D996" i="8"/>
  <c r="A996" i="8"/>
  <c r="D995" i="8"/>
  <c r="A995" i="8"/>
  <c r="D994" i="8"/>
  <c r="A994" i="8"/>
  <c r="D993" i="8"/>
  <c r="A993" i="8"/>
  <c r="D992" i="8"/>
  <c r="A992" i="8"/>
  <c r="D991" i="8"/>
  <c r="A991" i="8"/>
  <c r="D990" i="8"/>
  <c r="A990" i="8"/>
  <c r="D989" i="8"/>
  <c r="A989" i="8"/>
  <c r="D988" i="8"/>
  <c r="A988" i="8"/>
  <c r="D987" i="8"/>
  <c r="A987" i="8"/>
  <c r="D986" i="8"/>
  <c r="A986" i="8"/>
  <c r="D985" i="8"/>
  <c r="A985" i="8"/>
  <c r="D984" i="8"/>
  <c r="A984" i="8"/>
  <c r="D983" i="8"/>
  <c r="A983" i="8"/>
  <c r="D982" i="8"/>
  <c r="A982" i="8"/>
  <c r="D981" i="8"/>
  <c r="A981" i="8"/>
  <c r="D980" i="8"/>
  <c r="A980" i="8"/>
  <c r="D979" i="8"/>
  <c r="A979" i="8"/>
  <c r="D978" i="8"/>
  <c r="A978" i="8"/>
  <c r="D977" i="8"/>
  <c r="A977" i="8"/>
  <c r="D976" i="8"/>
  <c r="A976" i="8"/>
  <c r="D975" i="8"/>
  <c r="A975" i="8"/>
  <c r="D974" i="8"/>
  <c r="A974" i="8"/>
  <c r="D973" i="8"/>
  <c r="A973" i="8"/>
  <c r="D972" i="8"/>
  <c r="A972" i="8"/>
  <c r="D971" i="8"/>
  <c r="A971" i="8"/>
  <c r="D970" i="8"/>
  <c r="A970" i="8"/>
  <c r="D969" i="8"/>
  <c r="A969" i="8"/>
  <c r="D968" i="8"/>
  <c r="A968" i="8"/>
  <c r="D967" i="8"/>
  <c r="A967" i="8"/>
  <c r="D966" i="8"/>
  <c r="A966" i="8"/>
  <c r="D965" i="8"/>
  <c r="A965" i="8"/>
  <c r="D964" i="8"/>
  <c r="A964" i="8"/>
  <c r="D963" i="8"/>
  <c r="A963" i="8"/>
  <c r="D962" i="8"/>
  <c r="A962" i="8"/>
  <c r="D961" i="8"/>
  <c r="A961" i="8"/>
  <c r="D960" i="8"/>
  <c r="A960" i="8"/>
  <c r="D959" i="8"/>
  <c r="A959" i="8"/>
  <c r="D958" i="8"/>
  <c r="A958" i="8"/>
  <c r="D957" i="8"/>
  <c r="A957" i="8"/>
  <c r="D956" i="8"/>
  <c r="A956" i="8"/>
  <c r="D955" i="8"/>
  <c r="A955" i="8"/>
  <c r="D954" i="8"/>
  <c r="A954" i="8"/>
  <c r="D953" i="8"/>
  <c r="A953" i="8"/>
  <c r="D952" i="8"/>
  <c r="A952" i="8"/>
  <c r="D951" i="8"/>
  <c r="A951" i="8"/>
  <c r="D950" i="8"/>
  <c r="A950" i="8"/>
  <c r="D949" i="8"/>
  <c r="A949" i="8"/>
  <c r="D948" i="8"/>
  <c r="A948" i="8"/>
  <c r="D947" i="8"/>
  <c r="A947" i="8"/>
  <c r="D946" i="8"/>
  <c r="A946" i="8"/>
  <c r="D945" i="8"/>
  <c r="A945" i="8"/>
  <c r="D944" i="8"/>
  <c r="A944" i="8"/>
  <c r="D943" i="8"/>
  <c r="A943" i="8"/>
  <c r="D942" i="8"/>
  <c r="A942" i="8"/>
  <c r="D941" i="8"/>
  <c r="A941" i="8"/>
  <c r="D940" i="8"/>
  <c r="A940" i="8"/>
  <c r="D939" i="8"/>
  <c r="A939" i="8"/>
  <c r="D938" i="8"/>
  <c r="A938" i="8"/>
  <c r="D937" i="8"/>
  <c r="A937" i="8"/>
  <c r="D936" i="8"/>
  <c r="A936" i="8"/>
  <c r="D935" i="8"/>
  <c r="A935" i="8"/>
  <c r="D934" i="8"/>
  <c r="A934" i="8"/>
  <c r="D933" i="8"/>
  <c r="A933" i="8"/>
  <c r="D932" i="8"/>
  <c r="A932" i="8"/>
  <c r="D931" i="8"/>
  <c r="A931" i="8"/>
  <c r="D930" i="8"/>
  <c r="A930" i="8"/>
  <c r="D929" i="8"/>
  <c r="A929" i="8"/>
  <c r="D928" i="8"/>
  <c r="A928" i="8"/>
  <c r="D927" i="8"/>
  <c r="A927" i="8"/>
  <c r="D926" i="8"/>
  <c r="A926" i="8"/>
  <c r="D925" i="8"/>
  <c r="A925" i="8"/>
  <c r="D924" i="8"/>
  <c r="A924" i="8"/>
  <c r="D923" i="8"/>
  <c r="A923" i="8"/>
  <c r="D922" i="8"/>
  <c r="A922" i="8"/>
  <c r="D921" i="8"/>
  <c r="A921" i="8"/>
  <c r="D920" i="8"/>
  <c r="A920" i="8"/>
  <c r="D919" i="8"/>
  <c r="A919" i="8"/>
  <c r="D918" i="8"/>
  <c r="A918" i="8"/>
  <c r="D917" i="8"/>
  <c r="A917" i="8"/>
  <c r="D916" i="8"/>
  <c r="A916" i="8"/>
  <c r="D915" i="8"/>
  <c r="A915" i="8"/>
  <c r="D914" i="8"/>
  <c r="A914" i="8"/>
  <c r="D913" i="8"/>
  <c r="A913" i="8"/>
  <c r="D912" i="8"/>
  <c r="A912" i="8"/>
  <c r="D911" i="8"/>
  <c r="A911" i="8"/>
  <c r="D910" i="8"/>
  <c r="A910" i="8"/>
  <c r="D909" i="8"/>
  <c r="A909" i="8"/>
  <c r="D908" i="8"/>
  <c r="A908" i="8"/>
  <c r="D907" i="8"/>
  <c r="A907" i="8"/>
  <c r="D906" i="8"/>
  <c r="A906" i="8"/>
  <c r="D905" i="8"/>
  <c r="A905" i="8"/>
  <c r="D904" i="8"/>
  <c r="A904" i="8"/>
  <c r="D903" i="8"/>
  <c r="A903" i="8"/>
  <c r="D902" i="8"/>
  <c r="A902" i="8"/>
  <c r="D901" i="8"/>
  <c r="A901" i="8"/>
  <c r="D900" i="8"/>
  <c r="A900" i="8"/>
  <c r="D899" i="8"/>
  <c r="A899" i="8"/>
  <c r="D898" i="8"/>
  <c r="A898" i="8"/>
  <c r="D897" i="8"/>
  <c r="A897" i="8"/>
  <c r="D896" i="8"/>
  <c r="A896" i="8"/>
  <c r="D895" i="8"/>
  <c r="A895" i="8"/>
  <c r="D894" i="8"/>
  <c r="A894" i="8"/>
  <c r="D893" i="8"/>
  <c r="A893" i="8"/>
  <c r="D892" i="8"/>
  <c r="A892" i="8"/>
  <c r="D891" i="8"/>
  <c r="A891" i="8"/>
  <c r="D890" i="8"/>
  <c r="A890" i="8"/>
  <c r="D889" i="8"/>
  <c r="A889" i="8"/>
  <c r="D888" i="8"/>
  <c r="A888" i="8"/>
  <c r="D887" i="8"/>
  <c r="A887" i="8"/>
  <c r="D886" i="8"/>
  <c r="A886" i="8"/>
  <c r="D885" i="8"/>
  <c r="A885" i="8"/>
  <c r="D884" i="8"/>
  <c r="A884" i="8"/>
  <c r="D883" i="8"/>
  <c r="A883" i="8"/>
  <c r="D882" i="8"/>
  <c r="A882" i="8"/>
  <c r="D881" i="8"/>
  <c r="A881" i="8"/>
  <c r="D880" i="8"/>
  <c r="A880" i="8"/>
  <c r="D879" i="8"/>
  <c r="A879" i="8"/>
  <c r="D878" i="8"/>
  <c r="A878" i="8"/>
  <c r="D877" i="8"/>
  <c r="A877" i="8"/>
  <c r="D876" i="8"/>
  <c r="A876" i="8"/>
  <c r="D875" i="8"/>
  <c r="A875" i="8"/>
  <c r="D874" i="8"/>
  <c r="A874" i="8"/>
  <c r="D873" i="8"/>
  <c r="A873" i="8"/>
  <c r="D872" i="8"/>
  <c r="A872" i="8"/>
  <c r="D871" i="8"/>
  <c r="A871" i="8"/>
  <c r="D870" i="8"/>
  <c r="A870" i="8"/>
  <c r="D869" i="8"/>
  <c r="A869" i="8"/>
  <c r="D868" i="8"/>
  <c r="A868" i="8"/>
  <c r="D867" i="8"/>
  <c r="A867" i="8"/>
  <c r="D866" i="8"/>
  <c r="A866" i="8"/>
  <c r="D865" i="8"/>
  <c r="A865" i="8"/>
  <c r="D864" i="8"/>
  <c r="A864" i="8"/>
  <c r="D863" i="8"/>
  <c r="A863" i="8"/>
  <c r="D862" i="8"/>
  <c r="A862" i="8"/>
  <c r="D861" i="8"/>
  <c r="A861" i="8"/>
  <c r="D860" i="8"/>
  <c r="A860" i="8"/>
  <c r="D859" i="8"/>
  <c r="A859" i="8"/>
  <c r="D858" i="8"/>
  <c r="A858" i="8"/>
  <c r="D857" i="8"/>
  <c r="A857" i="8"/>
  <c r="D856" i="8"/>
  <c r="A856" i="8"/>
  <c r="D855" i="8"/>
  <c r="A855" i="8"/>
  <c r="D854" i="8"/>
  <c r="A854" i="8"/>
  <c r="D853" i="8"/>
  <c r="A853" i="8"/>
  <c r="D852" i="8"/>
  <c r="A852" i="8"/>
  <c r="D851" i="8"/>
  <c r="A851" i="8"/>
  <c r="D850" i="8"/>
  <c r="A850" i="8"/>
  <c r="D849" i="8"/>
  <c r="A849" i="8"/>
  <c r="D848" i="8"/>
  <c r="A848" i="8"/>
  <c r="D847" i="8"/>
  <c r="A847" i="8"/>
  <c r="D846" i="8"/>
  <c r="A846" i="8"/>
  <c r="D845" i="8"/>
  <c r="A845" i="8"/>
  <c r="D844" i="8"/>
  <c r="A844" i="8"/>
  <c r="D843" i="8"/>
  <c r="A843" i="8"/>
  <c r="D842" i="8"/>
  <c r="A842" i="8"/>
  <c r="D841" i="8"/>
  <c r="A841" i="8"/>
  <c r="D840" i="8"/>
  <c r="A840" i="8"/>
  <c r="D839" i="8"/>
  <c r="A839" i="8"/>
  <c r="D838" i="8"/>
  <c r="A838" i="8"/>
  <c r="D837" i="8"/>
  <c r="A837" i="8"/>
  <c r="D836" i="8"/>
  <c r="A836" i="8"/>
  <c r="D835" i="8"/>
  <c r="A835" i="8"/>
  <c r="D834" i="8"/>
  <c r="A834" i="8"/>
  <c r="D833" i="8"/>
  <c r="A833" i="8"/>
  <c r="D832" i="8"/>
  <c r="A832" i="8"/>
  <c r="D831" i="8"/>
  <c r="A831" i="8"/>
  <c r="D830" i="8"/>
  <c r="A830" i="8"/>
  <c r="D829" i="8"/>
  <c r="A829" i="8"/>
  <c r="D828" i="8"/>
  <c r="A828" i="8"/>
  <c r="D827" i="8"/>
  <c r="A827" i="8"/>
  <c r="D826" i="8"/>
  <c r="A826" i="8"/>
  <c r="D825" i="8"/>
  <c r="A825" i="8"/>
  <c r="D824" i="8"/>
  <c r="A824" i="8"/>
  <c r="D823" i="8"/>
  <c r="A823" i="8"/>
  <c r="D822" i="8"/>
  <c r="A822" i="8"/>
  <c r="D821" i="8"/>
  <c r="A821" i="8"/>
  <c r="D820" i="8"/>
  <c r="A820" i="8"/>
  <c r="D819" i="8"/>
  <c r="A819" i="8"/>
  <c r="D818" i="8"/>
  <c r="A818" i="8"/>
  <c r="D817" i="8"/>
  <c r="A817" i="8"/>
  <c r="D816" i="8"/>
  <c r="A816" i="8"/>
  <c r="D815" i="8"/>
  <c r="A815" i="8"/>
  <c r="D814" i="8"/>
  <c r="A814" i="8"/>
  <c r="D813" i="8"/>
  <c r="A813" i="8"/>
  <c r="D812" i="8"/>
  <c r="A812" i="8"/>
  <c r="D811" i="8"/>
  <c r="A811" i="8"/>
  <c r="D810" i="8"/>
  <c r="A810" i="8"/>
  <c r="D809" i="8"/>
  <c r="A809" i="8"/>
  <c r="D808" i="8"/>
  <c r="A808" i="8"/>
  <c r="D807" i="8"/>
  <c r="A807" i="8"/>
  <c r="D806" i="8"/>
  <c r="A806" i="8"/>
  <c r="D805" i="8"/>
  <c r="A805" i="8"/>
  <c r="D804" i="8"/>
  <c r="A804" i="8"/>
  <c r="D803" i="8"/>
  <c r="A803" i="8"/>
  <c r="D802" i="8"/>
  <c r="A802" i="8"/>
  <c r="D801" i="8"/>
  <c r="A801" i="8"/>
  <c r="D800" i="8"/>
  <c r="A800" i="8"/>
  <c r="D799" i="8"/>
  <c r="A799" i="8"/>
  <c r="D798" i="8"/>
  <c r="A798" i="8"/>
  <c r="D797" i="8"/>
  <c r="A797" i="8"/>
  <c r="D796" i="8"/>
  <c r="A796" i="8"/>
  <c r="D795" i="8"/>
  <c r="A795" i="8"/>
  <c r="D794" i="8"/>
  <c r="A794" i="8"/>
  <c r="D793" i="8"/>
  <c r="A793" i="8"/>
  <c r="D792" i="8"/>
  <c r="A792" i="8"/>
  <c r="D791" i="8"/>
  <c r="A791" i="8"/>
  <c r="D790" i="8"/>
  <c r="A790" i="8"/>
  <c r="D789" i="8"/>
  <c r="A789" i="8"/>
  <c r="D788" i="8"/>
  <c r="A788" i="8"/>
  <c r="D787" i="8"/>
  <c r="A787" i="8"/>
  <c r="D786" i="8"/>
  <c r="A786" i="8"/>
  <c r="D785" i="8"/>
  <c r="A785" i="8"/>
  <c r="D784" i="8"/>
  <c r="A784" i="8"/>
  <c r="D783" i="8"/>
  <c r="A783" i="8"/>
  <c r="D782" i="8"/>
  <c r="A782" i="8"/>
  <c r="D781" i="8"/>
  <c r="A781" i="8"/>
  <c r="D780" i="8"/>
  <c r="A780" i="8"/>
  <c r="D779" i="8"/>
  <c r="A779" i="8"/>
  <c r="D778" i="8"/>
  <c r="A778" i="8"/>
  <c r="D777" i="8"/>
  <c r="A777" i="8"/>
  <c r="D776" i="8"/>
  <c r="A776" i="8"/>
  <c r="D775" i="8"/>
  <c r="A775" i="8"/>
  <c r="D774" i="8"/>
  <c r="A774" i="8"/>
  <c r="D773" i="8"/>
  <c r="A773" i="8"/>
  <c r="D772" i="8"/>
  <c r="A772" i="8"/>
  <c r="D771" i="8"/>
  <c r="A771" i="8"/>
  <c r="D770" i="8"/>
  <c r="A770" i="8"/>
  <c r="D769" i="8"/>
  <c r="A769" i="8"/>
  <c r="D768" i="8"/>
  <c r="A768" i="8"/>
  <c r="D767" i="8"/>
  <c r="A767" i="8"/>
  <c r="D766" i="8"/>
  <c r="A766" i="8"/>
  <c r="D765" i="8"/>
  <c r="A765" i="8"/>
  <c r="D764" i="8"/>
  <c r="A764" i="8"/>
  <c r="D763" i="8"/>
  <c r="A763" i="8"/>
  <c r="D762" i="8"/>
  <c r="A762" i="8"/>
  <c r="D761" i="8"/>
  <c r="A761" i="8"/>
  <c r="D760" i="8"/>
  <c r="A760" i="8"/>
  <c r="D759" i="8"/>
  <c r="A759" i="8"/>
  <c r="D758" i="8"/>
  <c r="A758" i="8"/>
  <c r="D757" i="8"/>
  <c r="A757" i="8"/>
  <c r="D756" i="8"/>
  <c r="A756" i="8"/>
  <c r="D755" i="8"/>
  <c r="A755" i="8"/>
  <c r="D754" i="8"/>
  <c r="A754" i="8"/>
  <c r="D753" i="8"/>
  <c r="A753" i="8"/>
  <c r="D752" i="8"/>
  <c r="A752" i="8"/>
  <c r="D751" i="8"/>
  <c r="A751" i="8"/>
  <c r="D750" i="8"/>
  <c r="A750" i="8"/>
  <c r="D749" i="8"/>
  <c r="A749" i="8"/>
  <c r="D748" i="8"/>
  <c r="A748" i="8"/>
  <c r="D747" i="8"/>
  <c r="A747" i="8"/>
  <c r="D746" i="8"/>
  <c r="A746" i="8"/>
  <c r="D745" i="8"/>
  <c r="A745" i="8"/>
  <c r="D744" i="8"/>
  <c r="A744" i="8"/>
  <c r="D743" i="8"/>
  <c r="A743" i="8"/>
  <c r="D742" i="8"/>
  <c r="A742" i="8"/>
  <c r="D741" i="8"/>
  <c r="A741" i="8"/>
  <c r="D740" i="8"/>
  <c r="A740" i="8"/>
  <c r="D739" i="8"/>
  <c r="A739" i="8"/>
  <c r="D738" i="8"/>
  <c r="A738" i="8"/>
  <c r="D737" i="8"/>
  <c r="A737" i="8"/>
  <c r="D736" i="8"/>
  <c r="A736" i="8"/>
  <c r="D735" i="8"/>
  <c r="A735" i="8"/>
  <c r="D734" i="8"/>
  <c r="A734" i="8"/>
  <c r="D733" i="8"/>
  <c r="A733" i="8"/>
  <c r="D732" i="8"/>
  <c r="A732" i="8"/>
  <c r="D731" i="8"/>
  <c r="A731" i="8"/>
  <c r="D730" i="8"/>
  <c r="A730" i="8"/>
  <c r="D729" i="8"/>
  <c r="A729" i="8"/>
  <c r="D728" i="8"/>
  <c r="A728" i="8"/>
  <c r="D727" i="8"/>
  <c r="A727" i="8"/>
  <c r="D726" i="8"/>
  <c r="A726" i="8"/>
  <c r="D725" i="8"/>
  <c r="A725" i="8"/>
  <c r="D724" i="8"/>
  <c r="A724" i="8"/>
  <c r="D723" i="8"/>
  <c r="A723" i="8"/>
  <c r="D722" i="8"/>
  <c r="A722" i="8"/>
  <c r="D721" i="8"/>
  <c r="A721" i="8"/>
  <c r="D720" i="8"/>
  <c r="A720" i="8"/>
  <c r="D719" i="8"/>
  <c r="A719" i="8"/>
  <c r="D718" i="8"/>
  <c r="A718" i="8"/>
  <c r="D717" i="8"/>
  <c r="A717" i="8"/>
  <c r="D716" i="8"/>
  <c r="A716" i="8"/>
  <c r="D715" i="8"/>
  <c r="A715" i="8"/>
  <c r="D714" i="8"/>
  <c r="A714" i="8"/>
  <c r="D713" i="8"/>
  <c r="A713" i="8"/>
  <c r="D712" i="8"/>
  <c r="A712" i="8"/>
  <c r="D354" i="8"/>
  <c r="A354" i="8"/>
  <c r="D353" i="8"/>
  <c r="A353" i="8"/>
  <c r="D324" i="8"/>
  <c r="A324" i="8"/>
  <c r="D711" i="8"/>
  <c r="A711" i="8"/>
  <c r="D710" i="8"/>
  <c r="A710" i="8"/>
  <c r="D709" i="8"/>
  <c r="A709" i="8"/>
  <c r="D708" i="8"/>
  <c r="A708" i="8"/>
  <c r="D707" i="8"/>
  <c r="A707" i="8"/>
  <c r="D706" i="8"/>
  <c r="A706" i="8"/>
  <c r="D705" i="8"/>
  <c r="A705" i="8"/>
  <c r="D704" i="8"/>
  <c r="A704" i="8"/>
  <c r="D703" i="8"/>
  <c r="A703" i="8"/>
  <c r="D702" i="8"/>
  <c r="A702" i="8"/>
  <c r="D701" i="8"/>
  <c r="A701" i="8"/>
  <c r="D700" i="8"/>
  <c r="A700" i="8"/>
  <c r="D699" i="8"/>
  <c r="A699" i="8"/>
  <c r="D698" i="8"/>
  <c r="A698" i="8"/>
  <c r="D697" i="8"/>
  <c r="A697" i="8"/>
  <c r="D696" i="8"/>
  <c r="A696" i="8"/>
  <c r="D695" i="8"/>
  <c r="A695" i="8"/>
  <c r="D694" i="8"/>
  <c r="A694" i="8"/>
  <c r="D693" i="8"/>
  <c r="A693" i="8"/>
  <c r="D692" i="8"/>
  <c r="A692" i="8"/>
  <c r="D691" i="8"/>
  <c r="A691" i="8"/>
  <c r="D690" i="8"/>
  <c r="A690" i="8"/>
  <c r="D689" i="8"/>
  <c r="A689" i="8"/>
  <c r="D688" i="8"/>
  <c r="A688" i="8"/>
  <c r="D687" i="8"/>
  <c r="A687" i="8"/>
  <c r="D686" i="8"/>
  <c r="A686" i="8"/>
  <c r="D685" i="8"/>
  <c r="A685" i="8"/>
  <c r="D684" i="8"/>
  <c r="A684" i="8"/>
  <c r="D683" i="8"/>
  <c r="A683" i="8"/>
  <c r="D682" i="8"/>
  <c r="A682" i="8"/>
  <c r="D286" i="8"/>
  <c r="A286" i="8"/>
  <c r="D681" i="8"/>
  <c r="A681" i="8"/>
  <c r="D680" i="8"/>
  <c r="A680" i="8"/>
  <c r="D679" i="8"/>
  <c r="A679" i="8"/>
  <c r="D162" i="8"/>
  <c r="A162" i="8"/>
  <c r="D678" i="8"/>
  <c r="A678" i="8"/>
  <c r="D677" i="8"/>
  <c r="A677" i="8"/>
  <c r="D676" i="8"/>
  <c r="A676" i="8"/>
  <c r="D675" i="8"/>
  <c r="A675" i="8"/>
  <c r="D674" i="8"/>
  <c r="A674" i="8"/>
  <c r="D673" i="8"/>
  <c r="A673" i="8"/>
  <c r="D672" i="8"/>
  <c r="A672" i="8"/>
  <c r="D671" i="8"/>
  <c r="A671" i="8"/>
  <c r="D103" i="8"/>
  <c r="A103" i="8"/>
  <c r="D127" i="8"/>
  <c r="A127" i="8"/>
  <c r="D126" i="8"/>
  <c r="A126" i="8"/>
  <c r="D391" i="8"/>
  <c r="A391" i="8"/>
  <c r="D670" i="8"/>
  <c r="A670" i="8"/>
  <c r="D669" i="8"/>
  <c r="A669" i="8"/>
  <c r="D668" i="8"/>
  <c r="A668" i="8"/>
  <c r="D667" i="8"/>
  <c r="A667" i="8"/>
  <c r="D666" i="8"/>
  <c r="A666" i="8"/>
  <c r="D665" i="8"/>
  <c r="A665" i="8"/>
  <c r="D664" i="8"/>
  <c r="A664" i="8"/>
  <c r="D663" i="8"/>
  <c r="A663" i="8"/>
  <c r="D662" i="8"/>
  <c r="A662" i="8"/>
  <c r="D661" i="8"/>
  <c r="A661" i="8"/>
  <c r="D660" i="8"/>
  <c r="A660" i="8"/>
  <c r="D71" i="8"/>
  <c r="A71" i="8"/>
  <c r="D659" i="8"/>
  <c r="A659" i="8"/>
  <c r="D56" i="8"/>
  <c r="A56" i="8"/>
  <c r="D13" i="8"/>
  <c r="A13" i="8"/>
  <c r="D12" i="8"/>
  <c r="A12" i="8"/>
  <c r="D294" i="8"/>
  <c r="A294" i="8"/>
  <c r="D658" i="8"/>
  <c r="A658" i="8"/>
  <c r="D341" i="8"/>
  <c r="A341" i="8"/>
  <c r="D305" i="8"/>
  <c r="A305" i="8"/>
  <c r="D352" i="8"/>
  <c r="A352" i="8"/>
  <c r="D351" i="8"/>
  <c r="A351" i="8"/>
  <c r="D657" i="8"/>
  <c r="A657" i="8"/>
  <c r="D656" i="8"/>
  <c r="A656" i="8"/>
  <c r="D55" i="8"/>
  <c r="A55" i="8"/>
  <c r="D54" i="8"/>
  <c r="A54" i="8"/>
  <c r="D161" i="8"/>
  <c r="A161" i="8"/>
  <c r="D113" i="8"/>
  <c r="A113" i="8"/>
  <c r="D70" i="8"/>
  <c r="A70" i="8"/>
  <c r="D125" i="8"/>
  <c r="A125" i="8"/>
  <c r="D69" i="8"/>
  <c r="A69" i="8"/>
  <c r="D177" i="8"/>
  <c r="A177" i="8"/>
  <c r="D33" i="8"/>
  <c r="A33" i="8"/>
  <c r="D176" i="8"/>
  <c r="A176" i="8"/>
  <c r="D208" i="8"/>
  <c r="A208" i="8"/>
  <c r="D32" i="8"/>
  <c r="A32" i="8"/>
  <c r="D31" i="8"/>
  <c r="A31" i="8"/>
  <c r="D30" i="8"/>
  <c r="A30" i="8"/>
  <c r="D29" i="8"/>
  <c r="A29" i="8"/>
  <c r="D28" i="8"/>
  <c r="A28" i="8"/>
  <c r="D27" i="8"/>
  <c r="A27" i="8"/>
  <c r="D26" i="8"/>
  <c r="A26" i="8"/>
  <c r="D25" i="8"/>
  <c r="A25" i="8"/>
  <c r="D655" i="8"/>
  <c r="A655" i="8"/>
  <c r="D24" i="8"/>
  <c r="A24" i="8"/>
  <c r="D23" i="8"/>
  <c r="A23" i="8"/>
  <c r="D22" i="8"/>
  <c r="A22" i="8"/>
  <c r="D21" i="8"/>
  <c r="A21" i="8"/>
  <c r="D20" i="8"/>
  <c r="A20" i="8"/>
  <c r="D19" i="8"/>
  <c r="A19" i="8"/>
  <c r="D18" i="8"/>
  <c r="A18" i="8"/>
  <c r="D17" i="8"/>
  <c r="A17" i="8"/>
  <c r="D654" i="8"/>
  <c r="A654" i="8"/>
  <c r="D16" i="8"/>
  <c r="A16" i="8"/>
  <c r="D11" i="8"/>
  <c r="A11" i="8"/>
  <c r="D48" i="8"/>
  <c r="A48" i="8"/>
  <c r="D313" i="8"/>
  <c r="A313" i="8"/>
  <c r="D653" i="8"/>
  <c r="A653" i="8"/>
  <c r="D112" i="8"/>
  <c r="A112" i="8"/>
  <c r="D652" i="8"/>
  <c r="A652" i="8"/>
  <c r="D40" i="8"/>
  <c r="A40" i="8"/>
  <c r="D39" i="8"/>
  <c r="A39" i="8"/>
  <c r="D47" i="8"/>
  <c r="A47" i="8"/>
  <c r="D330" i="8"/>
  <c r="A330" i="8"/>
  <c r="D15" i="8"/>
  <c r="A15" i="8"/>
  <c r="D87" i="8"/>
  <c r="A87" i="8"/>
  <c r="D10" i="8"/>
  <c r="A10" i="8"/>
  <c r="D9" i="8"/>
  <c r="A9" i="8"/>
  <c r="D2" i="8"/>
  <c r="A2" i="8"/>
  <c r="D42" i="8"/>
  <c r="A42" i="8"/>
  <c r="D68" i="8"/>
  <c r="A68" i="8"/>
  <c r="D120" i="8"/>
  <c r="A120" i="8"/>
  <c r="D139" i="8"/>
  <c r="A139" i="8"/>
  <c r="D67" i="8"/>
  <c r="A67" i="8"/>
  <c r="D66" i="8"/>
  <c r="A66" i="8"/>
  <c r="D65" i="8"/>
  <c r="A65" i="8"/>
  <c r="D119" i="8"/>
  <c r="A119" i="8"/>
  <c r="D118" i="8"/>
  <c r="A118" i="8"/>
  <c r="D408" i="8"/>
  <c r="A408" i="8"/>
  <c r="D64" i="8"/>
  <c r="A64" i="8"/>
  <c r="D46" i="8"/>
  <c r="A46" i="8"/>
  <c r="D45" i="8"/>
  <c r="A45" i="8"/>
  <c r="D44" i="8"/>
  <c r="A44" i="8"/>
  <c r="D111" i="8"/>
  <c r="A111" i="8"/>
  <c r="D63" i="8"/>
  <c r="A63" i="8"/>
  <c r="D373" i="8"/>
  <c r="A373" i="8"/>
  <c r="D117" i="8"/>
  <c r="A117" i="8"/>
  <c r="D53" i="8"/>
  <c r="A53" i="8"/>
  <c r="D41" i="8"/>
  <c r="A41" i="8"/>
  <c r="D62" i="8"/>
  <c r="A62" i="8"/>
  <c r="D52" i="8"/>
  <c r="A52" i="8"/>
  <c r="D51" i="8"/>
  <c r="A51" i="8"/>
  <c r="D220" i="8"/>
  <c r="A220" i="8"/>
  <c r="D14" i="8"/>
  <c r="A14" i="8"/>
  <c r="D219" i="8"/>
  <c r="A219" i="8"/>
  <c r="D102" i="8"/>
  <c r="A102" i="8"/>
  <c r="D61" i="8"/>
  <c r="A61" i="8"/>
  <c r="D160" i="8"/>
  <c r="A160" i="8"/>
  <c r="D159" i="8"/>
  <c r="A159" i="8"/>
  <c r="D158" i="8"/>
  <c r="A158" i="8"/>
  <c r="D110" i="8"/>
  <c r="A110" i="8"/>
  <c r="D109" i="8"/>
  <c r="A109" i="8"/>
  <c r="D8" i="8"/>
  <c r="A8" i="8"/>
  <c r="D7" i="8"/>
  <c r="A7" i="8"/>
  <c r="D50" i="8"/>
  <c r="A50" i="8"/>
  <c r="D651" i="8"/>
  <c r="A651" i="8"/>
  <c r="D6" i="8"/>
  <c r="A6" i="8"/>
  <c r="D5" i="8"/>
  <c r="A5" i="8"/>
  <c r="D157" i="8"/>
  <c r="A157" i="8"/>
  <c r="D60" i="8"/>
  <c r="A60" i="8"/>
  <c r="D59" i="8"/>
  <c r="A59" i="8"/>
  <c r="D4" i="8"/>
  <c r="A4" i="8"/>
  <c r="D189" i="8"/>
  <c r="A189" i="8"/>
  <c r="D206" i="8"/>
  <c r="A206" i="8"/>
  <c r="D3" i="8"/>
  <c r="A3" i="8"/>
  <c r="D49" i="8"/>
  <c r="A49" i="8"/>
  <c r="D92" i="8"/>
  <c r="A92" i="8"/>
  <c r="D34" i="8"/>
  <c r="A34" i="8"/>
  <c r="D175" i="8"/>
  <c r="A175" i="8"/>
  <c r="D36" i="8"/>
  <c r="A36" i="8"/>
  <c r="D43" i="8"/>
  <c r="A43" i="8"/>
  <c r="D73" i="8"/>
  <c r="A73" i="8"/>
  <c r="D72" i="8"/>
  <c r="A72" i="8"/>
  <c r="D124" i="8"/>
  <c r="A124" i="8"/>
  <c r="D123" i="8"/>
  <c r="A123" i="8"/>
  <c r="D35" i="8"/>
  <c r="A35" i="8"/>
  <c r="D89" i="8"/>
  <c r="A89" i="8"/>
  <c r="D84" i="8"/>
  <c r="A84" i="8"/>
  <c r="D83" i="8"/>
  <c r="A83" i="8"/>
  <c r="D82" i="8"/>
  <c r="A82" i="8"/>
  <c r="D81" i="8"/>
  <c r="A81" i="8"/>
  <c r="D80" i="8"/>
  <c r="A80" i="8"/>
  <c r="D38" i="8"/>
  <c r="A38" i="8"/>
  <c r="D37" i="8"/>
  <c r="A37" i="8"/>
  <c r="D58" i="8"/>
  <c r="A58" i="8"/>
  <c r="D252" i="8"/>
  <c r="A252" i="8"/>
  <c r="D283" i="8"/>
  <c r="A283" i="8"/>
  <c r="D174" i="8"/>
  <c r="A174" i="8"/>
  <c r="D86" i="8"/>
  <c r="A86" i="8"/>
  <c r="D85" i="8"/>
  <c r="A85" i="8"/>
  <c r="D262" i="8"/>
  <c r="A262" i="8"/>
  <c r="D261" i="8"/>
  <c r="A261" i="8"/>
  <c r="D260" i="8"/>
  <c r="A260" i="8"/>
  <c r="D259" i="8"/>
  <c r="A259" i="8"/>
  <c r="D258" i="8"/>
  <c r="A258" i="8"/>
  <c r="D138" i="8"/>
  <c r="A138" i="8"/>
  <c r="D137" i="8"/>
  <c r="A137" i="8"/>
  <c r="D136" i="8"/>
  <c r="A136" i="8"/>
  <c r="D135" i="8"/>
  <c r="A135" i="8"/>
  <c r="D134" i="8"/>
  <c r="A134" i="8"/>
  <c r="D133" i="8"/>
  <c r="A133" i="8"/>
  <c r="D132" i="8"/>
  <c r="A132" i="8"/>
  <c r="D131" i="8"/>
  <c r="A131" i="8"/>
  <c r="D130" i="8"/>
  <c r="A130" i="8"/>
  <c r="D75" i="8"/>
  <c r="A75" i="8"/>
  <c r="D205" i="8"/>
  <c r="A205" i="8"/>
  <c r="D204" i="8"/>
  <c r="A204" i="8"/>
  <c r="D304" i="8"/>
  <c r="A304" i="8"/>
  <c r="D203" i="8"/>
  <c r="A203" i="8"/>
  <c r="D202" i="8"/>
  <c r="A202" i="8"/>
  <c r="D201" i="8"/>
  <c r="A201" i="8"/>
  <c r="D200" i="8"/>
  <c r="A200" i="8"/>
  <c r="D199" i="8"/>
  <c r="A199" i="8"/>
  <c r="D198" i="8"/>
  <c r="A198" i="8"/>
  <c r="D197" i="8"/>
  <c r="A197" i="8"/>
  <c r="D57" i="8"/>
  <c r="A57" i="8"/>
  <c r="D230" i="8"/>
  <c r="A230" i="8"/>
  <c r="D144" i="8"/>
  <c r="A144" i="8"/>
  <c r="D156" i="8"/>
  <c r="A156" i="8"/>
  <c r="D108" i="8"/>
  <c r="A108" i="8"/>
  <c r="D107" i="8"/>
  <c r="A107" i="8"/>
  <c r="D88" i="8"/>
  <c r="A88" i="8"/>
  <c r="D91" i="8"/>
  <c r="A91" i="8"/>
  <c r="D650" i="8"/>
  <c r="A650" i="8"/>
  <c r="D153" i="8"/>
  <c r="A153" i="8"/>
  <c r="D152" i="8"/>
  <c r="A152" i="8"/>
  <c r="D79" i="8"/>
  <c r="A79" i="8"/>
  <c r="D101" i="8"/>
  <c r="A101" i="8"/>
  <c r="D649" i="8"/>
  <c r="A649" i="8"/>
  <c r="D390" i="8"/>
  <c r="A390" i="8"/>
  <c r="D179" i="8"/>
  <c r="A179" i="8"/>
  <c r="D188" i="8"/>
  <c r="A188" i="8"/>
  <c r="D246" i="8"/>
  <c r="A246" i="8"/>
  <c r="D229" i="8"/>
  <c r="A229" i="8"/>
  <c r="D173" i="8"/>
  <c r="A173" i="8"/>
  <c r="D222" i="8"/>
  <c r="A222" i="8"/>
  <c r="D172" i="8"/>
  <c r="A172" i="8"/>
  <c r="D194" i="8"/>
  <c r="A194" i="8"/>
  <c r="D231" i="8"/>
  <c r="A231" i="8"/>
  <c r="D171" i="8"/>
  <c r="A171" i="8"/>
  <c r="D212" i="8"/>
  <c r="A212" i="8"/>
  <c r="D116" i="8"/>
  <c r="A116" i="8"/>
  <c r="D77" i="8"/>
  <c r="A77" i="8"/>
  <c r="D76" i="8"/>
  <c r="A76" i="8"/>
  <c r="D143" i="8"/>
  <c r="A143" i="8"/>
  <c r="D178" i="8"/>
  <c r="A178" i="8"/>
  <c r="D257" i="8"/>
  <c r="A257" i="8"/>
  <c r="D151" i="8"/>
  <c r="A151" i="8"/>
  <c r="D74" i="8"/>
  <c r="A74" i="8"/>
  <c r="D115" i="8"/>
  <c r="A115" i="8"/>
  <c r="D78" i="8"/>
  <c r="A78" i="8"/>
  <c r="D398" i="8"/>
  <c r="A398" i="8"/>
  <c r="D114" i="8"/>
  <c r="A114" i="8"/>
  <c r="D648" i="8"/>
  <c r="A648" i="8"/>
  <c r="D647" i="8"/>
  <c r="A647" i="8"/>
  <c r="D646" i="8"/>
  <c r="A646" i="8"/>
  <c r="D192" i="8"/>
  <c r="A192" i="8"/>
  <c r="D191" i="8"/>
  <c r="A191" i="8"/>
  <c r="D235" i="8"/>
  <c r="A235" i="8"/>
  <c r="D234" i="8"/>
  <c r="A234" i="8"/>
  <c r="D122" i="8"/>
  <c r="A122" i="8"/>
  <c r="D121" i="8"/>
  <c r="A121" i="8"/>
  <c r="D193" i="8"/>
  <c r="A193" i="8"/>
  <c r="D155" i="8"/>
  <c r="A155" i="8"/>
  <c r="D218" i="8"/>
  <c r="A218" i="8"/>
  <c r="D217" i="8"/>
  <c r="A217" i="8"/>
  <c r="D250" i="8"/>
  <c r="A250" i="8"/>
  <c r="D249" i="8"/>
  <c r="A249" i="8"/>
  <c r="D170" i="8"/>
  <c r="A170" i="8"/>
  <c r="D282" i="8"/>
  <c r="A282" i="8"/>
  <c r="D90" i="8"/>
  <c r="A90" i="8"/>
  <c r="D104" i="8"/>
  <c r="A104" i="8"/>
  <c r="D100" i="8"/>
  <c r="A100" i="8"/>
  <c r="D99" i="8"/>
  <c r="A99" i="8"/>
  <c r="D98" i="8"/>
  <c r="A98" i="8"/>
  <c r="D97" i="8"/>
  <c r="A97" i="8"/>
  <c r="D96" i="8"/>
  <c r="A96" i="8"/>
  <c r="D95" i="8"/>
  <c r="A95" i="8"/>
  <c r="D94" i="8"/>
  <c r="A94" i="8"/>
  <c r="D281" i="8"/>
  <c r="A281" i="8"/>
  <c r="D93" i="8"/>
  <c r="A93" i="8"/>
  <c r="D280" i="8"/>
  <c r="A280" i="8"/>
  <c r="D279" i="8"/>
  <c r="A279" i="8"/>
  <c r="D278" i="8"/>
  <c r="A278" i="8"/>
  <c r="D277" i="8"/>
  <c r="A277" i="8"/>
  <c r="D276" i="8"/>
  <c r="A276" i="8"/>
  <c r="D190" i="8"/>
  <c r="A190" i="8"/>
  <c r="D169" i="8"/>
  <c r="A169" i="8"/>
  <c r="D187" i="8"/>
  <c r="A187" i="8"/>
  <c r="D186" i="8"/>
  <c r="A186" i="8"/>
  <c r="D185" i="8"/>
  <c r="A185" i="8"/>
  <c r="D184" i="8"/>
  <c r="A184" i="8"/>
  <c r="D245" i="8"/>
  <c r="A245" i="8"/>
  <c r="D244" i="8"/>
  <c r="A244" i="8"/>
  <c r="D243" i="8"/>
  <c r="A243" i="8"/>
  <c r="D242" i="8"/>
  <c r="A242" i="8"/>
  <c r="D241" i="8"/>
  <c r="A241" i="8"/>
  <c r="D154" i="8"/>
  <c r="A154" i="8"/>
  <c r="D221" i="8"/>
  <c r="A221" i="8"/>
  <c r="D129" i="8"/>
  <c r="A129" i="8"/>
  <c r="D128" i="8"/>
  <c r="A128" i="8"/>
  <c r="D106" i="8"/>
  <c r="A106" i="8"/>
  <c r="D105" i="8"/>
  <c r="A105" i="8"/>
  <c r="D211" i="8"/>
  <c r="A211" i="8"/>
  <c r="D142" i="8"/>
  <c r="A142" i="8"/>
  <c r="D141" i="8"/>
  <c r="A141" i="8"/>
  <c r="D331" i="8"/>
  <c r="A331" i="8"/>
  <c r="D140" i="8"/>
  <c r="A140" i="8"/>
  <c r="D168" i="8"/>
  <c r="A168" i="8"/>
  <c r="D150" i="8"/>
  <c r="A150" i="8"/>
  <c r="D149" i="8"/>
  <c r="A149" i="8"/>
  <c r="D275" i="8"/>
  <c r="A275" i="8"/>
  <c r="D228" i="8"/>
  <c r="A228" i="8"/>
  <c r="D227" i="8"/>
  <c r="A227" i="8"/>
  <c r="D226" i="8"/>
  <c r="A226" i="8"/>
  <c r="D645" i="8"/>
  <c r="A645" i="8"/>
  <c r="D210" i="8"/>
  <c r="A210" i="8"/>
  <c r="D292" i="8"/>
  <c r="A292" i="8"/>
  <c r="D291" i="8"/>
  <c r="A291" i="8"/>
  <c r="D216" i="8"/>
  <c r="A216" i="8"/>
  <c r="D215" i="8"/>
  <c r="A215" i="8"/>
  <c r="D214" i="8"/>
  <c r="A214" i="8"/>
  <c r="D213" i="8"/>
  <c r="A213" i="8"/>
  <c r="D167" i="8"/>
  <c r="A167" i="8"/>
  <c r="D166" i="8"/>
  <c r="A166" i="8"/>
  <c r="D165" i="8"/>
  <c r="A165" i="8"/>
  <c r="D164" i="8"/>
  <c r="A164" i="8"/>
  <c r="D196" i="8"/>
  <c r="A196" i="8"/>
  <c r="D195" i="8"/>
  <c r="A195" i="8"/>
  <c r="D148" i="8"/>
  <c r="A148" i="8"/>
  <c r="D644" i="8"/>
  <c r="A644" i="8"/>
  <c r="D147" i="8"/>
  <c r="A147" i="8"/>
  <c r="D146" i="8"/>
  <c r="A146" i="8"/>
  <c r="D145" i="8"/>
  <c r="A145" i="8"/>
  <c r="D183" i="8"/>
  <c r="A183" i="8"/>
  <c r="D163" i="8"/>
  <c r="A163" i="8"/>
  <c r="D322" i="8"/>
  <c r="A322" i="8"/>
  <c r="D321" i="8"/>
  <c r="A321" i="8"/>
  <c r="D209" i="8"/>
  <c r="A209" i="8"/>
  <c r="D251" i="8"/>
  <c r="A251" i="8"/>
  <c r="D350" i="8"/>
  <c r="A350" i="8"/>
  <c r="D349" i="8"/>
  <c r="A349" i="8"/>
  <c r="D348" i="8"/>
  <c r="A348" i="8"/>
  <c r="D347" i="8"/>
  <c r="A347" i="8"/>
  <c r="D346" i="8"/>
  <c r="A346" i="8"/>
  <c r="D290" i="8"/>
  <c r="A290" i="8"/>
  <c r="D289" i="8"/>
  <c r="A289" i="8"/>
  <c r="D240" i="8"/>
  <c r="A240" i="8"/>
  <c r="D207" i="8"/>
  <c r="A207" i="8"/>
  <c r="D182" i="8"/>
  <c r="A182" i="8"/>
  <c r="D181" i="8"/>
  <c r="A181" i="8"/>
  <c r="D180" i="8"/>
  <c r="A180" i="8"/>
  <c r="D288" i="8"/>
  <c r="A288" i="8"/>
  <c r="D274" i="8"/>
  <c r="A274" i="8"/>
  <c r="D293" i="8"/>
  <c r="A293" i="8"/>
  <c r="D287" i="8"/>
  <c r="A287" i="8"/>
  <c r="D233" i="8"/>
  <c r="A233" i="8"/>
  <c r="D232" i="8"/>
  <c r="A232" i="8"/>
  <c r="D389" i="8"/>
  <c r="A389" i="8"/>
  <c r="D388" i="8"/>
  <c r="A388" i="8"/>
  <c r="D387" i="8"/>
  <c r="A387" i="8"/>
  <c r="D386" i="8"/>
  <c r="A386" i="8"/>
  <c r="D385" i="8"/>
  <c r="A385" i="8"/>
  <c r="D384" i="8"/>
  <c r="A384" i="8"/>
  <c r="D643" i="8"/>
  <c r="A643" i="8"/>
  <c r="D225" i="8"/>
  <c r="A225" i="8"/>
  <c r="D256" i="8"/>
  <c r="A256" i="8"/>
  <c r="D642" i="8"/>
  <c r="A642" i="8"/>
  <c r="D641" i="8"/>
  <c r="A641" i="8"/>
  <c r="D422" i="8"/>
  <c r="A422" i="8"/>
  <c r="D421" i="8"/>
  <c r="A421" i="8"/>
  <c r="D640" i="8"/>
  <c r="A640" i="8"/>
  <c r="D310" i="8"/>
  <c r="A310" i="8"/>
  <c r="D309" i="8"/>
  <c r="A309" i="8"/>
  <c r="D308" i="8"/>
  <c r="A308" i="8"/>
  <c r="D383" i="8"/>
  <c r="A383" i="8"/>
  <c r="D255" i="8"/>
  <c r="A255" i="8"/>
  <c r="D361" i="8"/>
  <c r="A361" i="8"/>
  <c r="D298" i="8"/>
  <c r="A298" i="8"/>
  <c r="D340" i="8"/>
  <c r="A340" i="8"/>
  <c r="D273" i="8"/>
  <c r="A273" i="8"/>
  <c r="D272" i="8"/>
  <c r="A272" i="8"/>
  <c r="D303" i="8"/>
  <c r="A303" i="8"/>
  <c r="D302" i="8"/>
  <c r="A302" i="8"/>
  <c r="D639" i="8"/>
  <c r="A639" i="8"/>
  <c r="D271" i="8"/>
  <c r="A271" i="8"/>
  <c r="D270" i="8"/>
  <c r="A270" i="8"/>
  <c r="D638" i="8"/>
  <c r="A638" i="8"/>
  <c r="D637" i="8"/>
  <c r="A637" i="8"/>
  <c r="D224" i="8"/>
  <c r="A224" i="8"/>
  <c r="D223" i="8"/>
  <c r="A223" i="8"/>
  <c r="D254" i="8"/>
  <c r="A254" i="8"/>
  <c r="D636" i="8"/>
  <c r="A636" i="8"/>
  <c r="D635" i="8"/>
  <c r="A635" i="8"/>
  <c r="D634" i="8"/>
  <c r="A634" i="8"/>
  <c r="D360" i="8"/>
  <c r="A360" i="8"/>
  <c r="D633" i="8"/>
  <c r="A633" i="8"/>
  <c r="D382" i="8"/>
  <c r="A382" i="8"/>
  <c r="D632" i="8"/>
  <c r="A632" i="8"/>
  <c r="D359" i="8"/>
  <c r="A359" i="8"/>
  <c r="D631" i="8"/>
  <c r="A631" i="8"/>
  <c r="D248" i="8"/>
  <c r="A248" i="8"/>
  <c r="D339" i="8"/>
  <c r="A339" i="8"/>
  <c r="D338" i="8"/>
  <c r="A338" i="8"/>
  <c r="D337" i="8"/>
  <c r="A337" i="8"/>
  <c r="D336" i="8"/>
  <c r="A336" i="8"/>
  <c r="D335" i="8"/>
  <c r="A335" i="8"/>
  <c r="D334" i="8"/>
  <c r="A334" i="8"/>
  <c r="D297" i="8"/>
  <c r="A297" i="8"/>
  <c r="D296" i="8"/>
  <c r="A296" i="8"/>
  <c r="D372" i="8"/>
  <c r="A372" i="8"/>
  <c r="D358" i="8"/>
  <c r="A358" i="8"/>
  <c r="D239" i="8"/>
  <c r="A239" i="8"/>
  <c r="D238" i="8"/>
  <c r="A238" i="8"/>
  <c r="D237" i="8"/>
  <c r="A237" i="8"/>
  <c r="D236" i="8"/>
  <c r="A236" i="8"/>
  <c r="D253" i="8"/>
  <c r="A253" i="8"/>
  <c r="D357" i="8"/>
  <c r="A357" i="8"/>
  <c r="D356" i="8"/>
  <c r="A356" i="8"/>
  <c r="D247" i="8"/>
  <c r="A247" i="8"/>
  <c r="D630" i="8"/>
  <c r="A630" i="8"/>
  <c r="D405" i="8"/>
  <c r="A405" i="8"/>
  <c r="D629" i="8"/>
  <c r="A629" i="8"/>
  <c r="D628" i="8"/>
  <c r="A628" i="8"/>
  <c r="D627" i="8"/>
  <c r="A627" i="8"/>
  <c r="D626" i="8"/>
  <c r="A626" i="8"/>
  <c r="D301" i="8"/>
  <c r="A301" i="8"/>
  <c r="D300" i="8"/>
  <c r="A300" i="8"/>
  <c r="D371" i="8"/>
  <c r="A371" i="8"/>
  <c r="D370" i="8"/>
  <c r="A370" i="8"/>
  <c r="D369" i="8"/>
  <c r="A369" i="8"/>
  <c r="D625" i="8"/>
  <c r="A625" i="8"/>
  <c r="D624" i="8"/>
  <c r="A624" i="8"/>
  <c r="D623" i="8"/>
  <c r="A623" i="8"/>
  <c r="D622" i="8"/>
  <c r="A622" i="8"/>
  <c r="D621" i="8"/>
  <c r="A621" i="8"/>
  <c r="D620" i="8"/>
  <c r="A620" i="8"/>
  <c r="D619" i="8"/>
  <c r="A619" i="8"/>
  <c r="D269" i="8"/>
  <c r="A269" i="8"/>
  <c r="D268" i="8"/>
  <c r="A268" i="8"/>
  <c r="D267" i="8"/>
  <c r="A267" i="8"/>
  <c r="D266" i="8"/>
  <c r="A266" i="8"/>
  <c r="D265" i="8"/>
  <c r="A265" i="8"/>
  <c r="D264" i="8"/>
  <c r="A264" i="8"/>
  <c r="D263" i="8"/>
  <c r="A263" i="8"/>
  <c r="D436" i="8"/>
  <c r="A436" i="8"/>
  <c r="D435" i="8"/>
  <c r="A435" i="8"/>
  <c r="D618" i="8"/>
  <c r="A618" i="8"/>
  <c r="D617" i="8"/>
  <c r="A617" i="8"/>
  <c r="D355" i="8"/>
  <c r="A355" i="8"/>
  <c r="D328" i="8"/>
  <c r="A328" i="8"/>
  <c r="D285" i="8"/>
  <c r="A285" i="8"/>
  <c r="D284" i="8"/>
  <c r="A284" i="8"/>
  <c r="D320" i="8"/>
  <c r="A320" i="8"/>
  <c r="D319" i="8"/>
  <c r="A319" i="8"/>
  <c r="D318" i="8"/>
  <c r="A318" i="8"/>
  <c r="D317" i="8"/>
  <c r="A317" i="8"/>
  <c r="D616" i="8"/>
  <c r="A616" i="8"/>
  <c r="D615" i="8"/>
  <c r="A615" i="8"/>
  <c r="D614" i="8"/>
  <c r="A614" i="8"/>
  <c r="D613" i="8"/>
  <c r="A613" i="8"/>
  <c r="D612" i="8"/>
  <c r="A612" i="8"/>
  <c r="D611" i="8"/>
  <c r="A611" i="8"/>
  <c r="D333" i="8"/>
  <c r="A333" i="8"/>
  <c r="D327" i="8"/>
  <c r="A327" i="8"/>
  <c r="D326" i="8"/>
  <c r="A326" i="8"/>
  <c r="D610" i="8"/>
  <c r="A610" i="8"/>
  <c r="D295" i="8"/>
  <c r="A295" i="8"/>
  <c r="D432" i="8"/>
  <c r="A432" i="8"/>
  <c r="D431" i="8"/>
  <c r="A431" i="8"/>
  <c r="D430" i="8"/>
  <c r="A430" i="8"/>
  <c r="D429" i="8"/>
  <c r="A429" i="8"/>
  <c r="D428" i="8"/>
  <c r="A428" i="8"/>
  <c r="D427" i="8"/>
  <c r="A427" i="8"/>
  <c r="D426" i="8"/>
  <c r="A426" i="8"/>
  <c r="D609" i="8"/>
  <c r="A609" i="8"/>
  <c r="D608" i="8"/>
  <c r="A608" i="8"/>
  <c r="D368" i="8"/>
  <c r="A368" i="8"/>
  <c r="D367" i="8"/>
  <c r="A367" i="8"/>
  <c r="D381" i="8"/>
  <c r="A381" i="8"/>
  <c r="D380" i="8"/>
  <c r="A380" i="8"/>
  <c r="D607" i="8"/>
  <c r="A607" i="8"/>
  <c r="D606" i="8"/>
  <c r="A606" i="8"/>
  <c r="D605" i="8"/>
  <c r="A605" i="8"/>
  <c r="D379" i="8"/>
  <c r="A379" i="8"/>
  <c r="D307" i="8"/>
  <c r="A307" i="8"/>
  <c r="D306" i="8"/>
  <c r="A306" i="8"/>
  <c r="D604" i="8"/>
  <c r="A604" i="8"/>
  <c r="D299" i="8"/>
  <c r="A299" i="8"/>
  <c r="D332" i="8"/>
  <c r="A332" i="8"/>
  <c r="D312" i="8"/>
  <c r="A312" i="8"/>
  <c r="D311" i="8"/>
  <c r="A311" i="8"/>
  <c r="D603" i="8"/>
  <c r="A603" i="8"/>
  <c r="D414" i="8"/>
  <c r="A414" i="8"/>
  <c r="D602" i="8"/>
  <c r="A602" i="8"/>
  <c r="D601" i="8"/>
  <c r="A601" i="8"/>
  <c r="D420" i="8"/>
  <c r="A420" i="8"/>
  <c r="D600" i="8"/>
  <c r="A600" i="8"/>
  <c r="D419" i="8"/>
  <c r="A419" i="8"/>
  <c r="D599" i="8"/>
  <c r="A599" i="8"/>
  <c r="D418" i="8"/>
  <c r="A418" i="8"/>
  <c r="D417" i="8"/>
  <c r="A417" i="8"/>
  <c r="D598" i="8"/>
  <c r="A598" i="8"/>
  <c r="D597" i="8"/>
  <c r="A597" i="8"/>
  <c r="D596" i="8"/>
  <c r="A596" i="8"/>
  <c r="D366" i="8"/>
  <c r="A366" i="8"/>
  <c r="D595" i="8"/>
  <c r="A595" i="8"/>
  <c r="D329" i="8"/>
  <c r="A329" i="8"/>
  <c r="D594" i="8"/>
  <c r="A594" i="8"/>
  <c r="D316" i="8"/>
  <c r="A316" i="8"/>
  <c r="D315" i="8"/>
  <c r="A315" i="8"/>
  <c r="D404" i="8"/>
  <c r="A404" i="8"/>
  <c r="D593" i="8"/>
  <c r="A593" i="8"/>
  <c r="D378" i="8"/>
  <c r="A378" i="8"/>
  <c r="D365" i="8"/>
  <c r="A365" i="8"/>
  <c r="D592" i="8"/>
  <c r="A592" i="8"/>
  <c r="D591" i="8"/>
  <c r="A591" i="8"/>
  <c r="D590" i="8"/>
  <c r="A590" i="8"/>
  <c r="D589" i="8"/>
  <c r="A589" i="8"/>
  <c r="D395" i="8"/>
  <c r="A395" i="8"/>
  <c r="D394" i="8"/>
  <c r="A394" i="8"/>
  <c r="D588" i="8"/>
  <c r="A588" i="8"/>
  <c r="D587" i="8"/>
  <c r="A587" i="8"/>
  <c r="D586" i="8"/>
  <c r="A586" i="8"/>
  <c r="D585" i="8"/>
  <c r="A585" i="8"/>
  <c r="D364" i="8"/>
  <c r="A364" i="8"/>
  <c r="D584" i="8"/>
  <c r="A584" i="8"/>
  <c r="D363" i="8"/>
  <c r="A363" i="8"/>
  <c r="D583" i="8"/>
  <c r="A583" i="8"/>
  <c r="D362" i="8"/>
  <c r="A362" i="8"/>
  <c r="D314" i="8"/>
  <c r="A314" i="8"/>
  <c r="D582" i="8"/>
  <c r="A582" i="8"/>
  <c r="D581" i="8"/>
  <c r="A581" i="8"/>
  <c r="D580" i="8"/>
  <c r="A580" i="8"/>
  <c r="D579" i="8"/>
  <c r="A579" i="8"/>
  <c r="D578" i="8"/>
  <c r="A578" i="8"/>
  <c r="D577" i="8"/>
  <c r="A577" i="8"/>
  <c r="D576" i="8"/>
  <c r="A576" i="8"/>
  <c r="D575" i="8"/>
  <c r="A575" i="8"/>
  <c r="D574" i="8"/>
  <c r="A574" i="8"/>
  <c r="D573" i="8"/>
  <c r="A573" i="8"/>
  <c r="D323" i="8"/>
  <c r="A323" i="8"/>
  <c r="D572" i="8"/>
  <c r="A572" i="8"/>
  <c r="D571" i="8"/>
  <c r="A571" i="8"/>
  <c r="D570" i="8"/>
  <c r="A570" i="8"/>
  <c r="D345" i="8"/>
  <c r="A345" i="8"/>
  <c r="D344" i="8"/>
  <c r="A344" i="8"/>
  <c r="D343" i="8"/>
  <c r="A343" i="8"/>
  <c r="D342" i="8"/>
  <c r="A342" i="8"/>
  <c r="D325" i="8"/>
  <c r="A325" i="8"/>
  <c r="D400" i="8"/>
  <c r="A400" i="8"/>
  <c r="D407" i="8"/>
  <c r="A407" i="8"/>
  <c r="D393" i="8"/>
  <c r="A393" i="8"/>
  <c r="D569" i="8"/>
  <c r="A569" i="8"/>
  <c r="D568" i="8"/>
  <c r="A568" i="8"/>
  <c r="D567" i="8"/>
  <c r="A567" i="8"/>
  <c r="D566" i="8"/>
  <c r="A566" i="8"/>
  <c r="D565" i="8"/>
  <c r="A565" i="8"/>
  <c r="D564" i="8"/>
  <c r="A564" i="8"/>
  <c r="D563" i="8"/>
  <c r="A563" i="8"/>
  <c r="D562" i="8"/>
  <c r="A562" i="8"/>
  <c r="D406" i="8"/>
  <c r="A406" i="8"/>
  <c r="D561" i="8"/>
  <c r="A561" i="8"/>
  <c r="D560" i="8"/>
  <c r="A560" i="8"/>
  <c r="D559" i="8"/>
  <c r="A559" i="8"/>
  <c r="D558" i="8"/>
  <c r="A558" i="8"/>
  <c r="D557" i="8"/>
  <c r="A557" i="8"/>
  <c r="D556" i="8"/>
  <c r="A556" i="8"/>
  <c r="D434" i="8"/>
  <c r="A434" i="8"/>
  <c r="D425" i="8"/>
  <c r="A425" i="8"/>
  <c r="D555" i="8"/>
  <c r="A555" i="8"/>
  <c r="D554" i="8"/>
  <c r="A554" i="8"/>
  <c r="D423" i="8"/>
  <c r="A423" i="8"/>
  <c r="D553" i="8"/>
  <c r="A553" i="8"/>
  <c r="D377" i="8"/>
  <c r="A377" i="8"/>
  <c r="D376" i="8"/>
  <c r="A376" i="8"/>
  <c r="D375" i="8"/>
  <c r="A375" i="8"/>
  <c r="D409" i="8"/>
  <c r="A409" i="8"/>
  <c r="D403" i="8"/>
  <c r="A403" i="8"/>
  <c r="D552" i="8"/>
  <c r="A552" i="8"/>
  <c r="D551" i="8"/>
  <c r="A551" i="8"/>
  <c r="D550" i="8"/>
  <c r="A550" i="8"/>
  <c r="D549" i="8"/>
  <c r="A549" i="8"/>
  <c r="D399" i="8"/>
  <c r="A399" i="8"/>
  <c r="D413" i="8"/>
  <c r="A413" i="8"/>
  <c r="D412" i="8"/>
  <c r="A412" i="8"/>
  <c r="D411" i="8"/>
  <c r="A411" i="8"/>
  <c r="D392" i="8"/>
  <c r="A392" i="8"/>
  <c r="D397" i="8"/>
  <c r="A397" i="8"/>
  <c r="D548" i="8"/>
  <c r="A548" i="8"/>
  <c r="D547" i="8"/>
  <c r="A547" i="8"/>
  <c r="D546" i="8"/>
  <c r="A546" i="8"/>
  <c r="D545" i="8"/>
  <c r="A545" i="8"/>
  <c r="D544" i="8"/>
  <c r="A544" i="8"/>
  <c r="D543" i="8"/>
  <c r="A543" i="8"/>
  <c r="D542" i="8"/>
  <c r="A542" i="8"/>
  <c r="D541" i="8"/>
  <c r="A541" i="8"/>
  <c r="D396" i="8"/>
  <c r="A396" i="8"/>
  <c r="D402" i="8"/>
  <c r="A402" i="8"/>
  <c r="D401" i="8"/>
  <c r="A401" i="8"/>
  <c r="D416" i="8"/>
  <c r="A416" i="8"/>
  <c r="D540" i="8"/>
  <c r="A540" i="8"/>
  <c r="D539" i="8"/>
  <c r="A539" i="8"/>
  <c r="D538" i="8"/>
  <c r="A538" i="8"/>
  <c r="D537" i="8"/>
  <c r="A537" i="8"/>
  <c r="D536" i="8"/>
  <c r="A536" i="8"/>
  <c r="D535" i="8"/>
  <c r="A535" i="8"/>
  <c r="D534" i="8"/>
  <c r="A534" i="8"/>
  <c r="D533" i="8"/>
  <c r="A533" i="8"/>
  <c r="D532" i="8"/>
  <c r="A532" i="8"/>
  <c r="D531" i="8"/>
  <c r="A531" i="8"/>
  <c r="D530" i="8"/>
  <c r="A530" i="8"/>
  <c r="D374" i="8"/>
  <c r="A374" i="8"/>
  <c r="D529" i="8"/>
  <c r="A529" i="8"/>
  <c r="D528" i="8"/>
  <c r="A528" i="8"/>
  <c r="D527" i="8"/>
  <c r="A527" i="8"/>
  <c r="D526" i="8"/>
  <c r="A526" i="8"/>
  <c r="D525" i="8"/>
  <c r="A525" i="8"/>
  <c r="D524" i="8"/>
  <c r="A524" i="8"/>
  <c r="D523" i="8"/>
  <c r="A523" i="8"/>
  <c r="D522" i="8"/>
  <c r="A522" i="8"/>
  <c r="D521" i="8"/>
  <c r="A521" i="8"/>
  <c r="D520" i="8"/>
  <c r="A520" i="8"/>
  <c r="D519" i="8"/>
  <c r="A519" i="8"/>
  <c r="D518" i="8"/>
  <c r="A518" i="8"/>
  <c r="D433" i="8"/>
  <c r="A433" i="8"/>
  <c r="D410" i="8"/>
  <c r="A410" i="8"/>
  <c r="D415" i="8"/>
  <c r="A415" i="8"/>
  <c r="D517" i="8"/>
  <c r="A517" i="8"/>
  <c r="D516" i="8"/>
  <c r="A516" i="8"/>
  <c r="D515" i="8"/>
  <c r="A515" i="8"/>
  <c r="D514" i="8"/>
  <c r="A514" i="8"/>
  <c r="D513" i="8"/>
  <c r="A513" i="8"/>
  <c r="D424" i="8"/>
  <c r="A424" i="8"/>
  <c r="D512" i="8"/>
  <c r="A512" i="8"/>
  <c r="D511" i="8"/>
  <c r="A511" i="8"/>
  <c r="D510" i="8"/>
  <c r="A510" i="8"/>
  <c r="D509" i="8"/>
  <c r="A509" i="8"/>
  <c r="D508" i="8"/>
  <c r="A508" i="8"/>
  <c r="D507" i="8"/>
  <c r="A507" i="8"/>
  <c r="D506" i="8"/>
  <c r="A506" i="8"/>
  <c r="D505" i="8"/>
  <c r="A505" i="8"/>
  <c r="D504" i="8"/>
  <c r="A504" i="8"/>
  <c r="D503" i="8"/>
  <c r="A503" i="8"/>
  <c r="D502" i="8"/>
  <c r="A502" i="8"/>
  <c r="D501" i="8"/>
  <c r="A501" i="8"/>
  <c r="D500" i="8"/>
  <c r="A500" i="8"/>
  <c r="D499" i="8"/>
  <c r="A499" i="8"/>
  <c r="D498" i="8"/>
  <c r="A498" i="8"/>
  <c r="D497" i="8"/>
  <c r="A497" i="8"/>
  <c r="D496" i="8"/>
  <c r="A496" i="8"/>
  <c r="D495" i="8"/>
  <c r="A495" i="8"/>
  <c r="D494" i="8"/>
  <c r="A494" i="8"/>
  <c r="D493" i="8"/>
  <c r="A493" i="8"/>
  <c r="D492" i="8"/>
  <c r="A492" i="8"/>
  <c r="D491" i="8"/>
  <c r="A491" i="8"/>
  <c r="D490" i="8"/>
  <c r="A490" i="8"/>
  <c r="D489" i="8"/>
  <c r="A489" i="8"/>
  <c r="D488" i="8"/>
  <c r="A488" i="8"/>
  <c r="D487" i="8"/>
  <c r="A487" i="8"/>
  <c r="D486" i="8"/>
  <c r="A486" i="8"/>
  <c r="D485" i="8"/>
  <c r="A485" i="8"/>
  <c r="D484" i="8"/>
  <c r="A484" i="8"/>
  <c r="D483" i="8"/>
  <c r="A483" i="8"/>
  <c r="D482" i="8"/>
  <c r="A482" i="8"/>
  <c r="D481" i="8"/>
  <c r="A481" i="8"/>
  <c r="D480" i="8"/>
  <c r="A480" i="8"/>
  <c r="D479" i="8"/>
  <c r="A479" i="8"/>
  <c r="D478" i="8"/>
  <c r="A478" i="8"/>
  <c r="D477" i="8"/>
  <c r="A477" i="8"/>
  <c r="D476" i="8"/>
  <c r="A476" i="8"/>
  <c r="D475" i="8"/>
  <c r="A475" i="8"/>
  <c r="D474" i="8"/>
  <c r="A474" i="8"/>
  <c r="D473" i="8"/>
  <c r="A473" i="8"/>
  <c r="D472" i="8"/>
  <c r="A472" i="8"/>
  <c r="D471" i="8"/>
  <c r="A471" i="8"/>
  <c r="D470" i="8"/>
  <c r="A470" i="8"/>
  <c r="D469" i="8"/>
  <c r="A469" i="8"/>
  <c r="D468" i="8"/>
  <c r="A468" i="8"/>
  <c r="D467" i="8"/>
  <c r="A467" i="8"/>
  <c r="D466" i="8"/>
  <c r="A466" i="8"/>
  <c r="D465" i="8"/>
  <c r="A465" i="8"/>
  <c r="D464" i="8"/>
  <c r="A464" i="8"/>
  <c r="D463" i="8"/>
  <c r="A463" i="8"/>
  <c r="D462" i="8"/>
  <c r="A462" i="8"/>
  <c r="D461" i="8"/>
  <c r="A461" i="8"/>
  <c r="D460" i="8"/>
  <c r="A460" i="8"/>
  <c r="D459" i="8"/>
  <c r="A459" i="8"/>
  <c r="D458" i="8"/>
  <c r="A458" i="8"/>
  <c r="D457" i="8"/>
  <c r="A457" i="8"/>
  <c r="D456" i="8"/>
  <c r="A456" i="8"/>
  <c r="D455" i="8"/>
  <c r="A455" i="8"/>
  <c r="D454" i="8"/>
  <c r="A454" i="8"/>
  <c r="D453" i="8"/>
  <c r="A453" i="8"/>
  <c r="D452" i="8"/>
  <c r="A452" i="8"/>
  <c r="D451" i="8"/>
  <c r="A451" i="8"/>
  <c r="D450" i="8"/>
  <c r="A450" i="8"/>
  <c r="D449" i="8"/>
  <c r="A449" i="8"/>
  <c r="D448" i="8"/>
  <c r="A448" i="8"/>
  <c r="D447" i="8"/>
  <c r="A447" i="8"/>
  <c r="D446" i="8"/>
  <c r="A446" i="8"/>
  <c r="D445" i="8"/>
  <c r="A445" i="8"/>
  <c r="D444" i="8"/>
  <c r="A444" i="8"/>
  <c r="D443" i="8"/>
  <c r="A443" i="8"/>
  <c r="D442" i="8"/>
  <c r="A442" i="8"/>
  <c r="D441" i="8"/>
  <c r="A441" i="8"/>
  <c r="D440" i="8"/>
  <c r="A440" i="8"/>
  <c r="D439" i="8"/>
  <c r="A439" i="8"/>
  <c r="D438" i="8"/>
  <c r="A438" i="8"/>
  <c r="D437" i="8"/>
  <c r="A437" i="8"/>
  <c r="B74" i="9" l="1"/>
  <c r="C74" i="9"/>
  <c r="D74" i="9"/>
  <c r="E74" i="9"/>
  <c r="B75" i="9"/>
  <c r="C75" i="9"/>
  <c r="D75" i="9"/>
  <c r="E75" i="9"/>
  <c r="E73" i="9"/>
  <c r="D73" i="9"/>
  <c r="C73" i="9"/>
  <c r="I3" i="10" l="1"/>
  <c r="A72" i="9" l="1"/>
  <c r="J3" i="10" l="1"/>
</calcChain>
</file>

<file path=xl/sharedStrings.xml><?xml version="1.0" encoding="utf-8"?>
<sst xmlns="http://schemas.openxmlformats.org/spreadsheetml/2006/main" count="1323" uniqueCount="105">
  <si>
    <t>N° Commande</t>
  </si>
  <si>
    <t>Référence Client</t>
  </si>
  <si>
    <t>Ligne cde</t>
  </si>
  <si>
    <t>Sit. Cde</t>
  </si>
  <si>
    <t>Article</t>
  </si>
  <si>
    <t>Création</t>
  </si>
  <si>
    <t>Livraison</t>
  </si>
  <si>
    <t>Commandée</t>
  </si>
  <si>
    <t>Livrée</t>
  </si>
  <si>
    <t>Désignation</t>
  </si>
  <si>
    <t>Prix</t>
  </si>
  <si>
    <t>Net</t>
  </si>
  <si>
    <t>Confirmée</t>
  </si>
  <si>
    <t>Nom client</t>
  </si>
  <si>
    <t>Prix net</t>
  </si>
  <si>
    <t>Durée en jours</t>
  </si>
  <si>
    <t>Devis</t>
  </si>
  <si>
    <t xml:space="preserve">   Période du</t>
  </si>
  <si>
    <t>au</t>
  </si>
  <si>
    <t>Critères</t>
  </si>
  <si>
    <t>&lt;&gt;</t>
  </si>
  <si>
    <t>Ecart</t>
  </si>
  <si>
    <t>J</t>
  </si>
  <si>
    <t>J-</t>
  </si>
  <si>
    <t>J+</t>
  </si>
  <si>
    <t>J ≥ 7</t>
  </si>
  <si>
    <t>1- extraire et filtrer</t>
  </si>
  <si>
    <t>2- supprimer les doubons (doublons N° CDE)</t>
  </si>
  <si>
    <t>3- calcul écart</t>
  </si>
  <si>
    <t>16634</t>
  </si>
  <si>
    <t>16723</t>
  </si>
  <si>
    <t>16710</t>
  </si>
  <si>
    <t>16665</t>
  </si>
  <si>
    <t>16792</t>
  </si>
  <si>
    <t>16791</t>
  </si>
  <si>
    <t>16788</t>
  </si>
  <si>
    <t>16787</t>
  </si>
  <si>
    <t>16779</t>
  </si>
  <si>
    <t>16778</t>
  </si>
  <si>
    <t>16770</t>
  </si>
  <si>
    <t>SOMMEPROD((SUPPRESPACE('FILTRES LIVRAISON'!B6:B200)=$A73)*('FILTRES LIVRAISON'!E6:E200&lt;0)*1)</t>
  </si>
  <si>
    <t>SOMMEPROD((SUPPRESPACE('FILTRES LIVRAISON'!B6:B200)=$A73)*('FILTRES LIVRAISON'!E6:E200=0)*1)</t>
  </si>
  <si>
    <t>SOMMEPROD((SUPPRESPACE('FILTRES LIVRAISON'!B6:B200)=$A73)*('FILTRES LIVRAISON'!E6:E200&lt;=6)*('FILTRES LIVRAISON'!E6:E200&gt;0)*1)</t>
  </si>
  <si>
    <t>SOMMEPROD((SUPPRESPACE('FILTRES LIVRAISON'!B6:B200)=$A73)*('FILTRES LIVRAISON'!E6:E200&gt;6)*1)</t>
  </si>
  <si>
    <t>16847</t>
  </si>
  <si>
    <t>16846</t>
  </si>
  <si>
    <t>16839</t>
  </si>
  <si>
    <t>16838</t>
  </si>
  <si>
    <t>16835</t>
  </si>
  <si>
    <t>16834</t>
  </si>
  <si>
    <t>16833</t>
  </si>
  <si>
    <t>16832</t>
  </si>
  <si>
    <t>16829</t>
  </si>
  <si>
    <t>16827</t>
  </si>
  <si>
    <t>16825</t>
  </si>
  <si>
    <t>16815</t>
  </si>
  <si>
    <t>16813</t>
  </si>
  <si>
    <t>16812</t>
  </si>
  <si>
    <t>16811</t>
  </si>
  <si>
    <t>16809</t>
  </si>
  <si>
    <t>16808</t>
  </si>
  <si>
    <t>16807</t>
  </si>
  <si>
    <t>16806</t>
  </si>
  <si>
    <t>16801</t>
  </si>
  <si>
    <t>16799</t>
  </si>
  <si>
    <t>16798</t>
  </si>
  <si>
    <t>16796</t>
  </si>
  <si>
    <t>16569</t>
  </si>
  <si>
    <t>16939</t>
  </si>
  <si>
    <t>16938</t>
  </si>
  <si>
    <t>16919</t>
  </si>
  <si>
    <t>16918</t>
  </si>
  <si>
    <t>16915</t>
  </si>
  <si>
    <t>16913</t>
  </si>
  <si>
    <t>16908</t>
  </si>
  <si>
    <t>16901</t>
  </si>
  <si>
    <t>16898</t>
  </si>
  <si>
    <t>16896</t>
  </si>
  <si>
    <t>16894</t>
  </si>
  <si>
    <t>16882</t>
  </si>
  <si>
    <t>16881</t>
  </si>
  <si>
    <t>16880</t>
  </si>
  <si>
    <t>16879</t>
  </si>
  <si>
    <t>16877</t>
  </si>
  <si>
    <t>16876</t>
  </si>
  <si>
    <t>16875</t>
  </si>
  <si>
    <t>16874</t>
  </si>
  <si>
    <t>16873</t>
  </si>
  <si>
    <t>16868</t>
  </si>
  <si>
    <t>16867</t>
  </si>
  <si>
    <t>16866</t>
  </si>
  <si>
    <t>16864</t>
  </si>
  <si>
    <t>16863</t>
  </si>
  <si>
    <t>16862</t>
  </si>
  <si>
    <t>16861</t>
  </si>
  <si>
    <t>16860</t>
  </si>
  <si>
    <t>16622</t>
  </si>
  <si>
    <t>16551</t>
  </si>
  <si>
    <t>16368</t>
  </si>
  <si>
    <t>15985</t>
  </si>
  <si>
    <t>14893</t>
  </si>
  <si>
    <t>le grand</t>
  </si>
  <si>
    <t>berger</t>
  </si>
  <si>
    <t>jcd</t>
  </si>
  <si>
    <t>16966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</si>
</sst>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8"/>
      <color rgb="FF000000"/>
      <name val="Tahoma"/>
      <family val="2"/>
    </font>
    <font>
      <b/>
      <sz val="18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u/>
      <sz val="8"/>
      <color rgb="FFFF0000"/>
      <name val="Calibri"/>
      <family val="2"/>
      <scheme val="minor"/>
    </font>
    <font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75DB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B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67">
    <xf numFmtId="0" fontId="0" fillId="0" borderId="0" xfId="0"/>
    <xf numFmtId="14" fontId="0" fillId="0" borderId="0" xfId="0" applyNumberFormat="1"/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3" fillId="0" borderId="5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4" fontId="2" fillId="2" borderId="2" xfId="0" applyNumberFormat="1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0" fillId="0" borderId="0" xfId="0" applyProtection="1"/>
    <xf numFmtId="14" fontId="0" fillId="0" borderId="0" xfId="0" applyNumberFormat="1" applyFill="1" applyProtection="1"/>
    <xf numFmtId="0" fontId="3" fillId="5" borderId="7" xfId="0" applyFont="1" applyFill="1" applyBorder="1" applyAlignment="1" applyProtection="1">
      <alignment horizontal="center" vertical="center"/>
    </xf>
    <xf numFmtId="0" fontId="3" fillId="5" borderId="7" xfId="0" applyFont="1" applyFill="1" applyBorder="1" applyAlignment="1" applyProtection="1">
      <alignment horizontal="center"/>
    </xf>
    <xf numFmtId="14" fontId="3" fillId="5" borderId="7" xfId="0" applyNumberFormat="1" applyFont="1" applyFill="1" applyBorder="1" applyAlignment="1" applyProtection="1">
      <alignment horizontal="center"/>
    </xf>
    <xf numFmtId="2" fontId="0" fillId="0" borderId="0" xfId="0" applyNumberFormat="1" applyProtection="1"/>
    <xf numFmtId="2" fontId="0" fillId="0" borderId="0" xfId="0" applyNumberFormat="1" applyFill="1" applyProtection="1"/>
    <xf numFmtId="3" fontId="3" fillId="5" borderId="7" xfId="0" applyNumberFormat="1" applyFont="1" applyFill="1" applyBorder="1" applyAlignment="1" applyProtection="1">
      <alignment horizontal="center"/>
    </xf>
    <xf numFmtId="14" fontId="1" fillId="0" borderId="0" xfId="0" applyNumberFormat="1" applyFont="1" applyAlignment="1" applyProtection="1">
      <alignment horizontal="center" vertical="center"/>
    </xf>
    <xf numFmtId="0" fontId="13" fillId="0" borderId="0" xfId="0" applyFont="1"/>
    <xf numFmtId="0" fontId="14" fillId="0" borderId="0" xfId="0" applyFont="1" applyFill="1" applyBorder="1"/>
    <xf numFmtId="22" fontId="0" fillId="0" borderId="0" xfId="0" applyNumberFormat="1"/>
    <xf numFmtId="0" fontId="9" fillId="4" borderId="7" xfId="0" applyFont="1" applyFill="1" applyBorder="1" applyProtection="1">
      <protection locked="0"/>
    </xf>
    <xf numFmtId="49" fontId="6" fillId="0" borderId="0" xfId="0" applyNumberFormat="1" applyFont="1" applyProtection="1">
      <protection locked="0"/>
    </xf>
    <xf numFmtId="49" fontId="0" fillId="0" borderId="0" xfId="0" applyNumberFormat="1" applyProtection="1">
      <protection locked="0"/>
    </xf>
    <xf numFmtId="14" fontId="12" fillId="0" borderId="0" xfId="0" applyNumberFormat="1" applyFont="1" applyProtection="1">
      <protection locked="0"/>
    </xf>
    <xf numFmtId="0" fontId="5" fillId="4" borderId="8" xfId="0" applyFont="1" applyFill="1" applyBorder="1" applyProtection="1">
      <protection locked="0"/>
    </xf>
    <xf numFmtId="0" fontId="0" fillId="0" borderId="7" xfId="0" applyBorder="1" applyProtection="1">
      <protection locked="0"/>
    </xf>
    <xf numFmtId="0" fontId="8" fillId="0" borderId="0" xfId="0" applyFont="1" applyAlignment="1" applyProtection="1">
      <alignment horizontal="center" vertical="center" readingOrder="1"/>
      <protection locked="0"/>
    </xf>
    <xf numFmtId="0" fontId="0" fillId="4" borderId="7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Protection="1">
      <protection locked="0"/>
    </xf>
    <xf numFmtId="0" fontId="5" fillId="4" borderId="9" xfId="0" applyFont="1" applyFill="1" applyBorder="1" applyProtection="1">
      <protection locked="0"/>
    </xf>
    <xf numFmtId="0" fontId="5" fillId="5" borderId="7" xfId="0" applyFont="1" applyFill="1" applyBorder="1" applyProtection="1">
      <protection locked="0"/>
    </xf>
    <xf numFmtId="0" fontId="5" fillId="0" borderId="7" xfId="0" applyFon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8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9" fillId="4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7" borderId="2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1" fontId="0" fillId="8" borderId="2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9" fontId="0" fillId="9" borderId="2" xfId="1" applyFont="1" applyFill="1" applyBorder="1" applyAlignment="1" applyProtection="1">
      <alignment horizontal="center" vertical="center"/>
      <protection locked="0"/>
    </xf>
    <xf numFmtId="9" fontId="0" fillId="10" borderId="2" xfId="1" applyFont="1" applyFill="1" applyBorder="1" applyAlignment="1" applyProtection="1">
      <alignment horizontal="center" vertical="center"/>
      <protection locked="0"/>
    </xf>
    <xf numFmtId="9" fontId="0" fillId="11" borderId="2" xfId="1" applyFont="1" applyFill="1" applyBorder="1" applyAlignment="1" applyProtection="1">
      <alignment horizontal="center" vertical="center"/>
      <protection locked="0"/>
    </xf>
    <xf numFmtId="9" fontId="0" fillId="12" borderId="2" xfId="1" applyFont="1" applyFill="1" applyBorder="1" applyAlignment="1" applyProtection="1">
      <alignment horizontal="center" vertical="center"/>
      <protection locked="0"/>
    </xf>
    <xf numFmtId="0" fontId="0" fillId="4" borderId="11" xfId="0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 applyProtection="1">
      <alignment horizontal="center" vertical="center"/>
      <protection locked="0"/>
    </xf>
    <xf numFmtId="0" fontId="3" fillId="7" borderId="7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8" borderId="7" xfId="0" applyFont="1" applyFill="1" applyBorder="1" applyAlignment="1" applyProtection="1">
      <alignment horizontal="center" vertical="center"/>
      <protection locked="0"/>
    </xf>
    <xf numFmtId="0" fontId="9" fillId="4" borderId="7" xfId="0" applyFont="1" applyFill="1" applyBorder="1" applyAlignment="1" applyProtection="1">
      <alignment horizontal="center" vertical="center"/>
      <protection locked="0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3" borderId="7" xfId="0" applyFont="1" applyFill="1" applyBorder="1" applyAlignment="1" applyProtection="1">
      <alignment horizontal="center" vertical="center"/>
      <protection locked="0"/>
    </xf>
    <xf numFmtId="0" fontId="5" fillId="8" borderId="7" xfId="0" applyFont="1" applyFill="1" applyBorder="1" applyAlignment="1" applyProtection="1">
      <alignment horizontal="center" vertical="center"/>
      <protection locked="0"/>
    </xf>
    <xf numFmtId="0" fontId="0" fillId="13" borderId="0" xfId="0" applyFill="1" applyProtection="1">
      <protection locked="0"/>
    </xf>
    <xf numFmtId="9" fontId="0" fillId="0" borderId="7" xfId="1" applyFont="1" applyBorder="1" applyAlignment="1" applyProtection="1">
      <alignment horizontal="center" vertical="center"/>
      <protection locked="0"/>
    </xf>
    <xf numFmtId="9" fontId="0" fillId="0" borderId="7" xfId="0" applyNumberFormat="1" applyBorder="1" applyProtection="1">
      <protection locked="0"/>
    </xf>
    <xf numFmtId="9" fontId="0" fillId="0" borderId="7" xfId="1" applyFont="1" applyBorder="1" applyProtection="1">
      <protection locked="0"/>
    </xf>
    <xf numFmtId="0" fontId="0" fillId="0" borderId="7" xfId="0" applyBorder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</xf>
    <xf numFmtId="0" fontId="3" fillId="3" borderId="3" xfId="0" applyFont="1" applyFill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  <protection locked="0"/>
    </xf>
  </cellXfs>
  <cellStyles count="2">
    <cellStyle name="Normal" xfId="0" builtinId="0"/>
    <cellStyle name="Pourcentage" xfId="1" builtinId="5"/>
  </cellStyles>
  <dxfs count="2"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Nbr d'OF livrés  par client pour: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</c:spPr>
          <c:invertIfNegative val="0"/>
          <c:cat>
            <c:numRef>
              <c:f>EXPLOITATION_livraison!$A$15:$A$24</c:f>
              <c:numCache>
                <c:formatCode>General</c:formatCode>
                <c:ptCount val="10"/>
              </c:numCache>
            </c:numRef>
          </c:cat>
          <c:val>
            <c:numRef>
              <c:f>EXPLOITATION_livraison!$B$28:$B$37</c:f>
              <c:numCache>
                <c:formatCode>General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D280-4EC9-A15E-02F04CFE01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648192"/>
        <c:axId val="158649728"/>
      </c:barChart>
      <c:catAx>
        <c:axId val="1586481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8649728"/>
        <c:crosses val="autoZero"/>
        <c:auto val="1"/>
        <c:lblAlgn val="ctr"/>
        <c:lblOffset val="100"/>
        <c:noMultiLvlLbl val="0"/>
      </c:catAx>
      <c:valAx>
        <c:axId val="158649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86481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Nbr d'OF livrés pour la période 2015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0"/>
          <c:order val="0"/>
          <c:tx>
            <c:strRef>
              <c:f>EXPLOITATION_livraison!$A$25</c:f>
              <c:strCache>
                <c:ptCount val="1"/>
              </c:strCache>
            </c:strRef>
          </c:tx>
          <c:spPr>
            <a:solidFill>
              <a:srgbClr val="92D050"/>
            </a:solidFill>
            <a:ln>
              <a:solidFill>
                <a:schemeClr val="accent1"/>
              </a:solidFill>
            </a:ln>
          </c:spPr>
          <c:invertIfNegative val="0"/>
          <c:cat>
            <c:numRef>
              <c:f>EXPLOITATION_livraison!$B$14:$M$14</c:f>
              <c:numCache>
                <c:formatCode>General</c:formatCode>
                <c:ptCount val="12"/>
              </c:numCache>
            </c:numRef>
          </c:cat>
          <c:val>
            <c:numRef>
              <c:f>EXPLOITATION_livraison!$B$25:$M$25</c:f>
              <c:numCache>
                <c:formatCode>General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5522-4E62-92D5-C7572F47C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754304"/>
        <c:axId val="158755840"/>
      </c:barChart>
      <c:catAx>
        <c:axId val="1587543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8755840"/>
        <c:crosses val="autoZero"/>
        <c:auto val="1"/>
        <c:lblAlgn val="ctr"/>
        <c:lblOffset val="100"/>
        <c:noMultiLvlLbl val="0"/>
      </c:catAx>
      <c:valAx>
        <c:axId val="158755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87543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Indicateur des livraisons pour chaque client pour:</a:t>
            </a:r>
          </a:p>
        </c:rich>
      </c:tx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EXPLOITATION_livraison!$H$83</c:f>
              <c:strCache>
                <c:ptCount val="1"/>
              </c:strCache>
            </c:strRef>
          </c:tx>
          <c:spPr>
            <a:solidFill>
              <a:srgbClr val="00B0F0"/>
            </a:solidFill>
          </c:spPr>
          <c:invertIfNegative val="0"/>
          <c:cat>
            <c:numRef>
              <c:f>EXPLOITATION_livraison!$G$84:$G$93</c:f>
              <c:numCache>
                <c:formatCode>General</c:formatCode>
                <c:ptCount val="10"/>
              </c:numCache>
            </c:numRef>
          </c:cat>
          <c:val>
            <c:numRef>
              <c:f>EXPLOITATION_livraison!$H$84:$H$93</c:f>
              <c:numCache>
                <c:formatCode>0%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2452-4881-99D5-79DC24635987}"/>
            </c:ext>
          </c:extLst>
        </c:ser>
        <c:ser>
          <c:idx val="1"/>
          <c:order val="1"/>
          <c:tx>
            <c:strRef>
              <c:f>EXPLOITATION_livraison!$I$83</c:f>
              <c:strCache>
                <c:ptCount val="1"/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EXPLOITATION_livraison!$G$84:$G$93</c:f>
              <c:numCache>
                <c:formatCode>General</c:formatCode>
                <c:ptCount val="10"/>
              </c:numCache>
            </c:numRef>
          </c:cat>
          <c:val>
            <c:numRef>
              <c:f>EXPLOITATION_livraison!$I$84:$I$93</c:f>
              <c:numCache>
                <c:formatCode>0%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1-2452-4881-99D5-79DC24635987}"/>
            </c:ext>
          </c:extLst>
        </c:ser>
        <c:ser>
          <c:idx val="2"/>
          <c:order val="2"/>
          <c:tx>
            <c:strRef>
              <c:f>EXPLOITATION_livraison!$J$83</c:f>
              <c:strCache>
                <c:ptCount val="1"/>
              </c:strCache>
            </c:strRef>
          </c:tx>
          <c:spPr>
            <a:solidFill>
              <a:srgbClr val="FFFF00"/>
            </a:solidFill>
          </c:spPr>
          <c:invertIfNegative val="0"/>
          <c:cat>
            <c:numRef>
              <c:f>EXPLOITATION_livraison!$G$84:$G$93</c:f>
              <c:numCache>
                <c:formatCode>General</c:formatCode>
                <c:ptCount val="10"/>
              </c:numCache>
            </c:numRef>
          </c:cat>
          <c:val>
            <c:numRef>
              <c:f>EXPLOITATION_livraison!$J$84:$J$93</c:f>
              <c:numCache>
                <c:formatCode>0%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2-2452-4881-99D5-79DC24635987}"/>
            </c:ext>
          </c:extLst>
        </c:ser>
        <c:ser>
          <c:idx val="3"/>
          <c:order val="3"/>
          <c:tx>
            <c:strRef>
              <c:f>EXPLOITATION_livraison!$K$83</c:f>
              <c:strCache>
                <c:ptCount val="1"/>
              </c:strCache>
            </c:strRef>
          </c:tx>
          <c:spPr>
            <a:solidFill>
              <a:srgbClr val="FF0000"/>
            </a:solidFill>
          </c:spPr>
          <c:invertIfNegative val="0"/>
          <c:cat>
            <c:numRef>
              <c:f>EXPLOITATION_livraison!$G$84:$G$93</c:f>
              <c:numCache>
                <c:formatCode>General</c:formatCode>
                <c:ptCount val="10"/>
              </c:numCache>
            </c:numRef>
          </c:cat>
          <c:val>
            <c:numRef>
              <c:f>EXPLOITATION_livraison!$K$84:$K$93</c:f>
              <c:numCache>
                <c:formatCode>0%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3-2452-4881-99D5-79DC246359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8925568"/>
        <c:axId val="158927104"/>
      </c:barChart>
      <c:catAx>
        <c:axId val="158925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58927104"/>
        <c:crosses val="autoZero"/>
        <c:auto val="1"/>
        <c:lblAlgn val="ctr"/>
        <c:lblOffset val="100"/>
        <c:noMultiLvlLbl val="0"/>
      </c:catAx>
      <c:valAx>
        <c:axId val="15892710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58925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Radio" firstButton="1" fmlaLink="$C$27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Radio" lockText="1" noThreeD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</xdr:colOff>
          <xdr:row>0</xdr:row>
          <xdr:rowOff>22860</xdr:rowOff>
        </xdr:from>
        <xdr:to>
          <xdr:col>13</xdr:col>
          <xdr:colOff>7620</xdr:colOff>
          <xdr:row>0</xdr:row>
          <xdr:rowOff>198120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</xdr:colOff>
          <xdr:row>2</xdr:row>
          <xdr:rowOff>0</xdr:rowOff>
        </xdr:from>
        <xdr:to>
          <xdr:col>13</xdr:col>
          <xdr:colOff>7620</xdr:colOff>
          <xdr:row>2</xdr:row>
          <xdr:rowOff>182880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ECART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</xdr:colOff>
          <xdr:row>1</xdr:row>
          <xdr:rowOff>0</xdr:rowOff>
        </xdr:from>
        <xdr:to>
          <xdr:col>13</xdr:col>
          <xdr:colOff>0</xdr:colOff>
          <xdr:row>1</xdr:row>
          <xdr:rowOff>175260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</a:rPr>
                <a:t>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</xdr:row>
          <xdr:rowOff>0</xdr:rowOff>
        </xdr:from>
        <xdr:to>
          <xdr:col>7</xdr:col>
          <xdr:colOff>0</xdr:colOff>
          <xdr:row>1</xdr:row>
          <xdr:rowOff>175260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12381</xdr:rowOff>
    </xdr:from>
    <xdr:to>
      <xdr:col>5</xdr:col>
      <xdr:colOff>742950</xdr:colOff>
      <xdr:row>41</xdr:row>
      <xdr:rowOff>179070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7620</xdr:rowOff>
        </xdr:from>
        <xdr:to>
          <xdr:col>7</xdr:col>
          <xdr:colOff>160020</xdr:colOff>
          <xdr:row>27</xdr:row>
          <xdr:rowOff>30480</xdr:rowOff>
        </xdr:to>
        <xdr:sp macro="" textlink="">
          <xdr:nvSpPr>
            <xdr:cNvPr id="7169" name="Option 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Janvier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30480</xdr:rowOff>
        </xdr:from>
        <xdr:to>
          <xdr:col>7</xdr:col>
          <xdr:colOff>160020</xdr:colOff>
          <xdr:row>28</xdr:row>
          <xdr:rowOff>45720</xdr:rowOff>
        </xdr:to>
        <xdr:sp macro="" textlink="">
          <xdr:nvSpPr>
            <xdr:cNvPr id="7170" name="Option 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Février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60960</xdr:rowOff>
        </xdr:from>
        <xdr:to>
          <xdr:col>7</xdr:col>
          <xdr:colOff>160020</xdr:colOff>
          <xdr:row>29</xdr:row>
          <xdr:rowOff>76200</xdr:rowOff>
        </xdr:to>
        <xdr:sp macro="" textlink="">
          <xdr:nvSpPr>
            <xdr:cNvPr id="7171" name="Option 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29</xdr:row>
          <xdr:rowOff>76200</xdr:rowOff>
        </xdr:from>
        <xdr:to>
          <xdr:col>7</xdr:col>
          <xdr:colOff>160020</xdr:colOff>
          <xdr:row>30</xdr:row>
          <xdr:rowOff>99060</xdr:rowOff>
        </xdr:to>
        <xdr:sp macro="" textlink="">
          <xdr:nvSpPr>
            <xdr:cNvPr id="7172" name="Option 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Avril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99060</xdr:rowOff>
        </xdr:from>
        <xdr:to>
          <xdr:col>7</xdr:col>
          <xdr:colOff>160020</xdr:colOff>
          <xdr:row>31</xdr:row>
          <xdr:rowOff>114300</xdr:rowOff>
        </xdr:to>
        <xdr:sp macro="" textlink="">
          <xdr:nvSpPr>
            <xdr:cNvPr id="7173" name="Option 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31</xdr:row>
          <xdr:rowOff>114300</xdr:rowOff>
        </xdr:from>
        <xdr:to>
          <xdr:col>7</xdr:col>
          <xdr:colOff>160020</xdr:colOff>
          <xdr:row>32</xdr:row>
          <xdr:rowOff>137160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Juin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144780</xdr:rowOff>
        </xdr:from>
        <xdr:to>
          <xdr:col>7</xdr:col>
          <xdr:colOff>160020</xdr:colOff>
          <xdr:row>33</xdr:row>
          <xdr:rowOff>160020</xdr:rowOff>
        </xdr:to>
        <xdr:sp macro="" textlink="">
          <xdr:nvSpPr>
            <xdr:cNvPr id="7175" name="Option 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Juillet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33</xdr:row>
          <xdr:rowOff>160020</xdr:rowOff>
        </xdr:from>
        <xdr:to>
          <xdr:col>7</xdr:col>
          <xdr:colOff>160020</xdr:colOff>
          <xdr:row>35</xdr:row>
          <xdr:rowOff>0</xdr:rowOff>
        </xdr:to>
        <xdr:sp macro="" textlink="">
          <xdr:nvSpPr>
            <xdr:cNvPr id="7176" name="Option 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Août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35</xdr:row>
          <xdr:rowOff>0</xdr:rowOff>
        </xdr:from>
        <xdr:to>
          <xdr:col>7</xdr:col>
          <xdr:colOff>160020</xdr:colOff>
          <xdr:row>36</xdr:row>
          <xdr:rowOff>7620</xdr:rowOff>
        </xdr:to>
        <xdr:sp macro="" textlink="">
          <xdr:nvSpPr>
            <xdr:cNvPr id="7177" name="Option 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Septembre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22860</xdr:rowOff>
        </xdr:from>
        <xdr:to>
          <xdr:col>7</xdr:col>
          <xdr:colOff>160020</xdr:colOff>
          <xdr:row>37</xdr:row>
          <xdr:rowOff>38100</xdr:rowOff>
        </xdr:to>
        <xdr:sp macro="" textlink="">
          <xdr:nvSpPr>
            <xdr:cNvPr id="7178" name="Option 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Octobre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37</xdr:row>
          <xdr:rowOff>38100</xdr:rowOff>
        </xdr:from>
        <xdr:to>
          <xdr:col>7</xdr:col>
          <xdr:colOff>160020</xdr:colOff>
          <xdr:row>38</xdr:row>
          <xdr:rowOff>60960</xdr:rowOff>
        </xdr:to>
        <xdr:sp macro="" textlink="">
          <xdr:nvSpPr>
            <xdr:cNvPr id="7179" name="Option 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Novembre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60960</xdr:rowOff>
        </xdr:from>
        <xdr:to>
          <xdr:col>7</xdr:col>
          <xdr:colOff>160020</xdr:colOff>
          <xdr:row>39</xdr:row>
          <xdr:rowOff>76200</xdr:rowOff>
        </xdr:to>
        <xdr:sp macro="" textlink="">
          <xdr:nvSpPr>
            <xdr:cNvPr id="7180" name="Option 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Décembre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9525</xdr:colOff>
      <xdr:row>26</xdr:row>
      <xdr:rowOff>0</xdr:rowOff>
    </xdr:from>
    <xdr:to>
      <xdr:col>14</xdr:col>
      <xdr:colOff>9525</xdr:colOff>
      <xdr:row>42</xdr:row>
      <xdr:rowOff>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74</xdr:row>
          <xdr:rowOff>0</xdr:rowOff>
        </xdr:from>
        <xdr:to>
          <xdr:col>14</xdr:col>
          <xdr:colOff>236220</xdr:colOff>
          <xdr:row>75</xdr:row>
          <xdr:rowOff>22860</xdr:rowOff>
        </xdr:to>
        <xdr:sp macro="" textlink="">
          <xdr:nvSpPr>
            <xdr:cNvPr id="7186" name="Option 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Janvier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761999</xdr:colOff>
      <xdr:row>71</xdr:row>
      <xdr:rowOff>28575</xdr:rowOff>
    </xdr:from>
    <xdr:to>
      <xdr:col>13</xdr:col>
      <xdr:colOff>9524</xdr:colOff>
      <xdr:row>93</xdr:row>
      <xdr:rowOff>23812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75</xdr:row>
          <xdr:rowOff>38100</xdr:rowOff>
        </xdr:from>
        <xdr:to>
          <xdr:col>14</xdr:col>
          <xdr:colOff>236220</xdr:colOff>
          <xdr:row>76</xdr:row>
          <xdr:rowOff>60960</xdr:rowOff>
        </xdr:to>
        <xdr:sp macro="" textlink="">
          <xdr:nvSpPr>
            <xdr:cNvPr id="7187" name="Option 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Février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76</xdr:row>
          <xdr:rowOff>76200</xdr:rowOff>
        </xdr:from>
        <xdr:to>
          <xdr:col>14</xdr:col>
          <xdr:colOff>236220</xdr:colOff>
          <xdr:row>77</xdr:row>
          <xdr:rowOff>99060</xdr:rowOff>
        </xdr:to>
        <xdr:sp macro="" textlink="">
          <xdr:nvSpPr>
            <xdr:cNvPr id="7188" name="Option 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77</xdr:row>
          <xdr:rowOff>121920</xdr:rowOff>
        </xdr:from>
        <xdr:to>
          <xdr:col>14</xdr:col>
          <xdr:colOff>236220</xdr:colOff>
          <xdr:row>78</xdr:row>
          <xdr:rowOff>144780</xdr:rowOff>
        </xdr:to>
        <xdr:sp macro="" textlink="">
          <xdr:nvSpPr>
            <xdr:cNvPr id="7189" name="Option 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Avril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78</xdr:row>
          <xdr:rowOff>160020</xdr:rowOff>
        </xdr:from>
        <xdr:to>
          <xdr:col>14</xdr:col>
          <xdr:colOff>236220</xdr:colOff>
          <xdr:row>79</xdr:row>
          <xdr:rowOff>182880</xdr:rowOff>
        </xdr:to>
        <xdr:sp macro="" textlink="">
          <xdr:nvSpPr>
            <xdr:cNvPr id="7190" name="Option 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Mai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80</xdr:row>
          <xdr:rowOff>22860</xdr:rowOff>
        </xdr:from>
        <xdr:to>
          <xdr:col>14</xdr:col>
          <xdr:colOff>236220</xdr:colOff>
          <xdr:row>81</xdr:row>
          <xdr:rowOff>38100</xdr:rowOff>
        </xdr:to>
        <xdr:sp macro="" textlink="">
          <xdr:nvSpPr>
            <xdr:cNvPr id="7191" name="Option 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Juin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81</xdr:row>
          <xdr:rowOff>60960</xdr:rowOff>
        </xdr:from>
        <xdr:to>
          <xdr:col>14</xdr:col>
          <xdr:colOff>236220</xdr:colOff>
          <xdr:row>82</xdr:row>
          <xdr:rowOff>76200</xdr:rowOff>
        </xdr:to>
        <xdr:sp macro="" textlink="">
          <xdr:nvSpPr>
            <xdr:cNvPr id="7192" name="Option 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Juillet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82</xdr:row>
          <xdr:rowOff>99060</xdr:rowOff>
        </xdr:from>
        <xdr:to>
          <xdr:col>14</xdr:col>
          <xdr:colOff>236220</xdr:colOff>
          <xdr:row>83</xdr:row>
          <xdr:rowOff>114300</xdr:rowOff>
        </xdr:to>
        <xdr:sp macro="" textlink="">
          <xdr:nvSpPr>
            <xdr:cNvPr id="7193" name="Option 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Août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83</xdr:row>
          <xdr:rowOff>144780</xdr:rowOff>
        </xdr:from>
        <xdr:to>
          <xdr:col>14</xdr:col>
          <xdr:colOff>236220</xdr:colOff>
          <xdr:row>84</xdr:row>
          <xdr:rowOff>160020</xdr:rowOff>
        </xdr:to>
        <xdr:sp macro="" textlink="">
          <xdr:nvSpPr>
            <xdr:cNvPr id="7194" name="Option 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Septembre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84</xdr:row>
          <xdr:rowOff>182880</xdr:rowOff>
        </xdr:from>
        <xdr:to>
          <xdr:col>14</xdr:col>
          <xdr:colOff>236220</xdr:colOff>
          <xdr:row>86</xdr:row>
          <xdr:rowOff>7620</xdr:rowOff>
        </xdr:to>
        <xdr:sp macro="" textlink="">
          <xdr:nvSpPr>
            <xdr:cNvPr id="7195" name="Option 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Octobre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86</xdr:row>
          <xdr:rowOff>38100</xdr:rowOff>
        </xdr:from>
        <xdr:to>
          <xdr:col>14</xdr:col>
          <xdr:colOff>236220</xdr:colOff>
          <xdr:row>87</xdr:row>
          <xdr:rowOff>60960</xdr:rowOff>
        </xdr:to>
        <xdr:sp macro="" textlink="">
          <xdr:nvSpPr>
            <xdr:cNvPr id="7196" name="Option 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Novembre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87</xdr:row>
          <xdr:rowOff>76200</xdr:rowOff>
        </xdr:from>
        <xdr:to>
          <xdr:col>14</xdr:col>
          <xdr:colOff>236220</xdr:colOff>
          <xdr:row>88</xdr:row>
          <xdr:rowOff>99060</xdr:rowOff>
        </xdr:to>
        <xdr:sp macro="" textlink="">
          <xdr:nvSpPr>
            <xdr:cNvPr id="7197" name="Option 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Décembre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18" Type="http://schemas.openxmlformats.org/officeDocument/2006/relationships/ctrlProp" Target="../ctrlProps/ctrlProp19.xml"/><Relationship Id="rId26" Type="http://schemas.openxmlformats.org/officeDocument/2006/relationships/ctrlProp" Target="../ctrlProps/ctrlProp27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22.x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5" Type="http://schemas.openxmlformats.org/officeDocument/2006/relationships/ctrlProp" Target="../ctrlProps/ctrlProp26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7.xml"/><Relationship Id="rId20" Type="http://schemas.openxmlformats.org/officeDocument/2006/relationships/ctrlProp" Target="../ctrlProps/ctrlProp2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24" Type="http://schemas.openxmlformats.org/officeDocument/2006/relationships/ctrlProp" Target="../ctrlProps/ctrlProp25.xml"/><Relationship Id="rId5" Type="http://schemas.openxmlformats.org/officeDocument/2006/relationships/ctrlProp" Target="../ctrlProps/ctrlProp6.xml"/><Relationship Id="rId15" Type="http://schemas.openxmlformats.org/officeDocument/2006/relationships/ctrlProp" Target="../ctrlProps/ctrlProp16.xml"/><Relationship Id="rId23" Type="http://schemas.openxmlformats.org/officeDocument/2006/relationships/ctrlProp" Target="../ctrlProps/ctrlProp24.xml"/><Relationship Id="rId10" Type="http://schemas.openxmlformats.org/officeDocument/2006/relationships/ctrlProp" Target="../ctrlProps/ctrlProp11.xml"/><Relationship Id="rId19" Type="http://schemas.openxmlformats.org/officeDocument/2006/relationships/ctrlProp" Target="../ctrlProps/ctrlProp20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Relationship Id="rId22" Type="http://schemas.openxmlformats.org/officeDocument/2006/relationships/ctrlProp" Target="../ctrlProps/ctrlProp23.xml"/><Relationship Id="rId27" Type="http://schemas.openxmlformats.org/officeDocument/2006/relationships/ctrlProp" Target="../ctrlProps/ctrlProp2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144"/>
  <sheetViews>
    <sheetView topLeftCell="A1125" workbookViewId="0">
      <selection activeCell="B2" sqref="B2:B1143"/>
    </sheetView>
  </sheetViews>
  <sheetFormatPr baseColWidth="10" defaultColWidth="11.44140625" defaultRowHeight="14.4" x14ac:dyDescent="0.3"/>
  <cols>
    <col min="1" max="16384" width="11.44140625" style="18"/>
  </cols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3">
      <c r="A2" t="str">
        <f>"16643"</f>
        <v>16643</v>
      </c>
      <c r="B2">
        <v>12</v>
      </c>
      <c r="C2">
        <v>1</v>
      </c>
      <c r="D2" t="str">
        <f>" "</f>
        <v xml:space="preserve"> </v>
      </c>
      <c r="E2"/>
      <c r="F2" s="19">
        <v>42355.396018518521</v>
      </c>
      <c r="G2" s="1">
        <v>42382</v>
      </c>
      <c r="H2">
        <v>1</v>
      </c>
      <c r="I2">
        <v>1</v>
      </c>
      <c r="J2"/>
      <c r="K2"/>
      <c r="L2"/>
      <c r="M2" s="1">
        <v>42387</v>
      </c>
      <c r="N2" t="s">
        <v>101</v>
      </c>
      <c r="O2"/>
      <c r="P2"/>
      <c r="Q2"/>
    </row>
    <row r="3" spans="1:17" x14ac:dyDescent="0.3">
      <c r="A3" t="str">
        <f>"16689"</f>
        <v>16689</v>
      </c>
      <c r="B3">
        <v>125</v>
      </c>
      <c r="C3">
        <v>1</v>
      </c>
      <c r="D3" t="str">
        <f>" "</f>
        <v xml:space="preserve"> </v>
      </c>
      <c r="E3"/>
      <c r="F3" s="19">
        <v>42383.340289351851</v>
      </c>
      <c r="G3" s="1">
        <v>42383</v>
      </c>
      <c r="H3">
        <v>1</v>
      </c>
      <c r="I3">
        <v>1</v>
      </c>
      <c r="J3"/>
      <c r="K3"/>
      <c r="L3"/>
      <c r="M3" s="1">
        <v>42352</v>
      </c>
      <c r="N3" t="s">
        <v>101</v>
      </c>
      <c r="O3"/>
      <c r="P3"/>
      <c r="Q3"/>
    </row>
    <row r="4" spans="1:17" x14ac:dyDescent="0.3">
      <c r="A4" t="str">
        <f>"16687"</f>
        <v>16687</v>
      </c>
      <c r="B4">
        <v>238</v>
      </c>
      <c r="C4">
        <v>1</v>
      </c>
      <c r="D4" t="str">
        <f>" "</f>
        <v xml:space="preserve"> </v>
      </c>
      <c r="E4"/>
      <c r="F4" s="19">
        <v>42382.549687500003</v>
      </c>
      <c r="G4" s="1">
        <v>42383</v>
      </c>
      <c r="H4">
        <v>1</v>
      </c>
      <c r="I4">
        <v>1</v>
      </c>
      <c r="J4"/>
      <c r="K4"/>
      <c r="L4"/>
      <c r="M4" s="1">
        <v>42383</v>
      </c>
      <c r="N4" t="s">
        <v>101</v>
      </c>
      <c r="O4"/>
      <c r="P4"/>
      <c r="Q4"/>
    </row>
    <row r="5" spans="1:17" x14ac:dyDescent="0.3">
      <c r="A5" t="str">
        <f>"16684"</f>
        <v>16684</v>
      </c>
      <c r="B5">
        <v>351</v>
      </c>
      <c r="C5">
        <v>1</v>
      </c>
      <c r="D5" t="str">
        <f>" "</f>
        <v xml:space="preserve"> </v>
      </c>
      <c r="E5"/>
      <c r="F5" s="19">
        <v>42381.583969907406</v>
      </c>
      <c r="G5" s="1">
        <v>42383</v>
      </c>
      <c r="H5">
        <v>1</v>
      </c>
      <c r="I5">
        <v>1</v>
      </c>
      <c r="J5"/>
      <c r="K5"/>
      <c r="L5"/>
      <c r="M5" s="1">
        <v>42384</v>
      </c>
      <c r="N5" t="s">
        <v>101</v>
      </c>
      <c r="O5"/>
      <c r="P5"/>
      <c r="Q5"/>
    </row>
    <row r="6" spans="1:17" x14ac:dyDescent="0.3">
      <c r="A6" t="str">
        <f>"16684"</f>
        <v>16684</v>
      </c>
      <c r="B6">
        <v>464</v>
      </c>
      <c r="C6">
        <v>2</v>
      </c>
      <c r="D6" t="str">
        <f>" "</f>
        <v xml:space="preserve"> </v>
      </c>
      <c r="E6"/>
      <c r="F6" s="19">
        <v>42381.583969907406</v>
      </c>
      <c r="G6" s="1">
        <v>42383</v>
      </c>
      <c r="H6">
        <v>1</v>
      </c>
      <c r="I6">
        <v>1</v>
      </c>
      <c r="J6"/>
      <c r="K6"/>
      <c r="L6"/>
      <c r="M6" s="1">
        <v>42384</v>
      </c>
      <c r="N6" t="s">
        <v>101</v>
      </c>
      <c r="O6"/>
      <c r="P6"/>
      <c r="Q6"/>
    </row>
    <row r="7" spans="1:17" x14ac:dyDescent="0.3">
      <c r="A7" t="str">
        <f>"16681"</f>
        <v>16681</v>
      </c>
      <c r="B7">
        <v>577</v>
      </c>
      <c r="C7">
        <v>1</v>
      </c>
      <c r="D7" t="str">
        <f>" "</f>
        <v xml:space="preserve"> </v>
      </c>
      <c r="E7"/>
      <c r="F7" s="19">
        <v>42381.431550925925</v>
      </c>
      <c r="G7" s="1">
        <v>42383</v>
      </c>
      <c r="H7">
        <v>1</v>
      </c>
      <c r="I7">
        <v>1</v>
      </c>
      <c r="J7"/>
      <c r="K7"/>
      <c r="L7"/>
      <c r="M7" s="1">
        <v>42384</v>
      </c>
      <c r="N7" t="s">
        <v>101</v>
      </c>
      <c r="O7"/>
      <c r="P7"/>
      <c r="Q7"/>
    </row>
    <row r="8" spans="1:17" x14ac:dyDescent="0.3">
      <c r="A8" t="str">
        <f>"16680"</f>
        <v>16680</v>
      </c>
      <c r="B8">
        <v>690</v>
      </c>
      <c r="C8">
        <v>1</v>
      </c>
      <c r="D8" t="str">
        <f>" "</f>
        <v xml:space="preserve"> </v>
      </c>
      <c r="E8"/>
      <c r="F8" s="19">
        <v>42381.398784722223</v>
      </c>
      <c r="G8" s="1">
        <v>42383</v>
      </c>
      <c r="H8">
        <v>2</v>
      </c>
      <c r="I8">
        <v>2</v>
      </c>
      <c r="J8"/>
      <c r="K8"/>
      <c r="L8"/>
      <c r="M8" s="1">
        <v>42382</v>
      </c>
      <c r="N8" t="s">
        <v>101</v>
      </c>
      <c r="O8"/>
      <c r="P8"/>
      <c r="Q8"/>
    </row>
    <row r="9" spans="1:17" x14ac:dyDescent="0.3">
      <c r="A9" t="str">
        <f>"16636"</f>
        <v>16636</v>
      </c>
      <c r="B9">
        <v>803</v>
      </c>
      <c r="C9">
        <v>1</v>
      </c>
      <c r="D9" t="str">
        <f>" "</f>
        <v xml:space="preserve"> </v>
      </c>
      <c r="E9"/>
      <c r="F9" s="19">
        <v>42354.430775462963</v>
      </c>
      <c r="G9" s="1">
        <v>42383</v>
      </c>
      <c r="H9">
        <v>1</v>
      </c>
      <c r="I9">
        <v>1</v>
      </c>
      <c r="J9"/>
      <c r="K9"/>
      <c r="L9"/>
      <c r="M9" s="1">
        <v>42354</v>
      </c>
      <c r="N9" t="s">
        <v>101</v>
      </c>
      <c r="O9"/>
      <c r="P9"/>
      <c r="Q9"/>
    </row>
    <row r="10" spans="1:17" x14ac:dyDescent="0.3">
      <c r="A10" t="str">
        <f>"16636"</f>
        <v>16636</v>
      </c>
      <c r="B10">
        <v>916</v>
      </c>
      <c r="C10">
        <v>2</v>
      </c>
      <c r="D10" t="str">
        <f>" "</f>
        <v xml:space="preserve"> </v>
      </c>
      <c r="E10"/>
      <c r="F10" s="19">
        <v>42354.632349537038</v>
      </c>
      <c r="G10" s="1">
        <v>42383</v>
      </c>
      <c r="H10">
        <v>1</v>
      </c>
      <c r="I10">
        <v>1</v>
      </c>
      <c r="J10"/>
      <c r="K10"/>
      <c r="L10"/>
      <c r="M10" s="1">
        <v>42377</v>
      </c>
      <c r="N10" t="s">
        <v>101</v>
      </c>
      <c r="O10"/>
      <c r="P10"/>
      <c r="Q10"/>
    </row>
    <row r="11" spans="1:17" x14ac:dyDescent="0.3">
      <c r="A11" t="str">
        <f>"16617"</f>
        <v>16617</v>
      </c>
      <c r="B11">
        <v>1029</v>
      </c>
      <c r="C11">
        <v>1</v>
      </c>
      <c r="D11" t="str">
        <f>" "</f>
        <v xml:space="preserve"> </v>
      </c>
      <c r="E11"/>
      <c r="F11" s="19">
        <v>42347.420497685183</v>
      </c>
      <c r="G11" s="1">
        <v>42383</v>
      </c>
      <c r="H11">
        <v>32</v>
      </c>
      <c r="I11">
        <v>32</v>
      </c>
      <c r="J11"/>
      <c r="K11"/>
      <c r="L11"/>
      <c r="M11" s="1">
        <v>42384</v>
      </c>
      <c r="N11" t="s">
        <v>101</v>
      </c>
      <c r="O11"/>
      <c r="P11"/>
      <c r="Q11"/>
    </row>
    <row r="12" spans="1:17" x14ac:dyDescent="0.3">
      <c r="A12" t="str">
        <f>"16549"</f>
        <v>16549</v>
      </c>
      <c r="B12">
        <v>1142</v>
      </c>
      <c r="C12">
        <v>1</v>
      </c>
      <c r="D12" t="str">
        <f>" "</f>
        <v xml:space="preserve"> </v>
      </c>
      <c r="E12"/>
      <c r="F12" s="19">
        <v>42311.662152777775</v>
      </c>
      <c r="G12" s="1">
        <v>42383</v>
      </c>
      <c r="H12">
        <v>10</v>
      </c>
      <c r="I12">
        <v>10</v>
      </c>
      <c r="J12"/>
      <c r="K12"/>
      <c r="L12"/>
      <c r="M12" s="1">
        <v>42321</v>
      </c>
      <c r="N12" t="s">
        <v>101</v>
      </c>
      <c r="O12"/>
      <c r="P12"/>
      <c r="Q12"/>
    </row>
    <row r="13" spans="1:17" x14ac:dyDescent="0.3">
      <c r="A13" t="str">
        <f>"16549"</f>
        <v>16549</v>
      </c>
      <c r="B13">
        <v>1255</v>
      </c>
      <c r="C13">
        <v>2</v>
      </c>
      <c r="D13" t="str">
        <f>" "</f>
        <v xml:space="preserve"> </v>
      </c>
      <c r="E13"/>
      <c r="F13" s="19">
        <v>42311.662152777775</v>
      </c>
      <c r="G13" s="1">
        <v>42383</v>
      </c>
      <c r="H13">
        <v>120</v>
      </c>
      <c r="I13">
        <v>120</v>
      </c>
      <c r="J13"/>
      <c r="K13"/>
      <c r="L13"/>
      <c r="M13" s="1">
        <v>42321</v>
      </c>
      <c r="N13" t="s">
        <v>101</v>
      </c>
      <c r="O13"/>
      <c r="P13"/>
      <c r="Q13"/>
    </row>
    <row r="14" spans="1:17" x14ac:dyDescent="0.3">
      <c r="A14" t="str">
        <f>"16676"</f>
        <v>16676</v>
      </c>
      <c r="B14">
        <v>1368</v>
      </c>
      <c r="C14">
        <v>1</v>
      </c>
      <c r="D14" t="str">
        <f>" "</f>
        <v xml:space="preserve"> </v>
      </c>
      <c r="E14"/>
      <c r="F14" s="19">
        <v>42376.493530092594</v>
      </c>
      <c r="G14" s="1">
        <v>42384</v>
      </c>
      <c r="H14">
        <v>63</v>
      </c>
      <c r="I14">
        <v>63</v>
      </c>
      <c r="J14"/>
      <c r="K14"/>
      <c r="L14"/>
      <c r="M14" s="1">
        <v>42387</v>
      </c>
      <c r="N14" t="s">
        <v>101</v>
      </c>
      <c r="O14"/>
      <c r="P14"/>
      <c r="Q14"/>
    </row>
    <row r="15" spans="1:17" x14ac:dyDescent="0.3">
      <c r="A15" t="str">
        <f>"16634"</f>
        <v>16634</v>
      </c>
      <c r="B15">
        <v>1481</v>
      </c>
      <c r="C15">
        <v>1</v>
      </c>
      <c r="D15" t="str">
        <f>" "</f>
        <v xml:space="preserve"> </v>
      </c>
      <c r="E15"/>
      <c r="F15" s="19">
        <v>42353.415972222225</v>
      </c>
      <c r="G15" s="1">
        <v>42387</v>
      </c>
      <c r="H15">
        <v>1</v>
      </c>
      <c r="I15">
        <v>1</v>
      </c>
      <c r="J15"/>
      <c r="K15"/>
      <c r="L15"/>
      <c r="M15" s="1">
        <v>42384</v>
      </c>
      <c r="N15" t="s">
        <v>101</v>
      </c>
      <c r="O15"/>
      <c r="P15"/>
      <c r="Q15"/>
    </row>
    <row r="16" spans="1:17" x14ac:dyDescent="0.3">
      <c r="A16" t="str">
        <f>"16616"</f>
        <v>16616</v>
      </c>
      <c r="B16">
        <v>1594</v>
      </c>
      <c r="C16">
        <v>1</v>
      </c>
      <c r="D16" t="str">
        <f>" "</f>
        <v xml:space="preserve"> </v>
      </c>
      <c r="E16"/>
      <c r="F16" s="19">
        <v>42346.664548611108</v>
      </c>
      <c r="G16" s="1">
        <v>42387</v>
      </c>
      <c r="H16">
        <v>1</v>
      </c>
      <c r="I16">
        <v>1</v>
      </c>
      <c r="J16"/>
      <c r="K16"/>
      <c r="L16"/>
      <c r="M16" s="1">
        <v>42384</v>
      </c>
      <c r="N16" t="s">
        <v>101</v>
      </c>
      <c r="O16"/>
      <c r="P16"/>
      <c r="Q16"/>
    </row>
    <row r="17" spans="1:17" x14ac:dyDescent="0.3">
      <c r="A17" t="str">
        <f>"16616"</f>
        <v>16616</v>
      </c>
      <c r="B17">
        <v>1707</v>
      </c>
      <c r="C17">
        <v>4</v>
      </c>
      <c r="D17" t="str">
        <f>" "</f>
        <v xml:space="preserve"> </v>
      </c>
      <c r="E17"/>
      <c r="F17" s="19">
        <v>42346.664548611108</v>
      </c>
      <c r="G17" s="1">
        <v>42387</v>
      </c>
      <c r="H17">
        <v>1</v>
      </c>
      <c r="I17">
        <v>1</v>
      </c>
      <c r="J17"/>
      <c r="K17"/>
      <c r="L17"/>
      <c r="M17" s="1">
        <v>42384</v>
      </c>
      <c r="N17" t="s">
        <v>101</v>
      </c>
      <c r="O17"/>
      <c r="P17"/>
      <c r="Q17"/>
    </row>
    <row r="18" spans="1:17" x14ac:dyDescent="0.3">
      <c r="A18" t="str">
        <f>"16616"</f>
        <v>16616</v>
      </c>
      <c r="B18">
        <v>1820</v>
      </c>
      <c r="C18">
        <v>5</v>
      </c>
      <c r="D18" t="str">
        <f>" "</f>
        <v xml:space="preserve"> </v>
      </c>
      <c r="E18"/>
      <c r="F18" s="19">
        <v>42346.664548611108</v>
      </c>
      <c r="G18" s="1">
        <v>42387</v>
      </c>
      <c r="H18">
        <v>1</v>
      </c>
      <c r="I18">
        <v>1</v>
      </c>
      <c r="J18"/>
      <c r="K18"/>
      <c r="L18"/>
      <c r="M18" s="1">
        <v>42384</v>
      </c>
      <c r="N18" t="s">
        <v>101</v>
      </c>
      <c r="O18"/>
      <c r="P18"/>
      <c r="Q18"/>
    </row>
    <row r="19" spans="1:17" x14ac:dyDescent="0.3">
      <c r="A19" t="str">
        <f>"16616"</f>
        <v>16616</v>
      </c>
      <c r="B19">
        <v>1933</v>
      </c>
      <c r="C19">
        <v>6</v>
      </c>
      <c r="D19" t="str">
        <f>" "</f>
        <v xml:space="preserve"> </v>
      </c>
      <c r="E19"/>
      <c r="F19" s="19">
        <v>42346.664548611108</v>
      </c>
      <c r="G19" s="1">
        <v>42387</v>
      </c>
      <c r="H19">
        <v>1</v>
      </c>
      <c r="I19">
        <v>1</v>
      </c>
      <c r="J19"/>
      <c r="K19"/>
      <c r="L19"/>
      <c r="M19" s="1">
        <v>42384</v>
      </c>
      <c r="N19" t="s">
        <v>101</v>
      </c>
      <c r="O19"/>
      <c r="P19"/>
      <c r="Q19"/>
    </row>
    <row r="20" spans="1:17" x14ac:dyDescent="0.3">
      <c r="A20" t="str">
        <f>"16616"</f>
        <v>16616</v>
      </c>
      <c r="B20">
        <v>2046</v>
      </c>
      <c r="C20">
        <v>7</v>
      </c>
      <c r="D20" t="str">
        <f>" "</f>
        <v xml:space="preserve"> </v>
      </c>
      <c r="E20"/>
      <c r="F20" s="19">
        <v>42346.664548611108</v>
      </c>
      <c r="G20" s="1">
        <v>42387</v>
      </c>
      <c r="H20">
        <v>1</v>
      </c>
      <c r="I20">
        <v>1</v>
      </c>
      <c r="J20"/>
      <c r="K20"/>
      <c r="L20"/>
      <c r="M20" s="1">
        <v>42384</v>
      </c>
      <c r="N20" t="s">
        <v>101</v>
      </c>
      <c r="O20"/>
      <c r="P20"/>
      <c r="Q20"/>
    </row>
    <row r="21" spans="1:17" x14ac:dyDescent="0.3">
      <c r="A21" t="str">
        <f>"16616"</f>
        <v>16616</v>
      </c>
      <c r="B21">
        <v>2159</v>
      </c>
      <c r="C21">
        <v>8</v>
      </c>
      <c r="D21" t="str">
        <f>" "</f>
        <v xml:space="preserve"> </v>
      </c>
      <c r="E21"/>
      <c r="F21" s="19">
        <v>42346.664548611108</v>
      </c>
      <c r="G21" s="1">
        <v>42387</v>
      </c>
      <c r="H21">
        <v>1</v>
      </c>
      <c r="I21">
        <v>1</v>
      </c>
      <c r="J21"/>
      <c r="K21"/>
      <c r="L21"/>
      <c r="M21" s="1">
        <v>42384</v>
      </c>
      <c r="N21" t="s">
        <v>101</v>
      </c>
      <c r="O21"/>
      <c r="P21"/>
      <c r="Q21"/>
    </row>
    <row r="22" spans="1:17" x14ac:dyDescent="0.3">
      <c r="A22" t="str">
        <f>"16616"</f>
        <v>16616</v>
      </c>
      <c r="B22">
        <v>2272</v>
      </c>
      <c r="C22">
        <v>9</v>
      </c>
      <c r="D22" t="str">
        <f>" "</f>
        <v xml:space="preserve"> </v>
      </c>
      <c r="E22"/>
      <c r="F22" s="19">
        <v>42346.664548611108</v>
      </c>
      <c r="G22" s="1">
        <v>42387</v>
      </c>
      <c r="H22">
        <v>1</v>
      </c>
      <c r="I22">
        <v>1</v>
      </c>
      <c r="J22"/>
      <c r="K22"/>
      <c r="L22"/>
      <c r="M22" s="1">
        <v>42384</v>
      </c>
      <c r="N22" t="s">
        <v>101</v>
      </c>
      <c r="O22"/>
      <c r="P22"/>
      <c r="Q22"/>
    </row>
    <row r="23" spans="1:17" x14ac:dyDescent="0.3">
      <c r="A23" t="str">
        <f>"16616"</f>
        <v>16616</v>
      </c>
      <c r="B23">
        <v>2385</v>
      </c>
      <c r="C23">
        <v>10</v>
      </c>
      <c r="D23" t="str">
        <f>" "</f>
        <v xml:space="preserve"> </v>
      </c>
      <c r="E23"/>
      <c r="F23" s="19">
        <v>42346.664548611108</v>
      </c>
      <c r="G23" s="1">
        <v>42387</v>
      </c>
      <c r="H23">
        <v>1</v>
      </c>
      <c r="I23">
        <v>1</v>
      </c>
      <c r="J23"/>
      <c r="K23"/>
      <c r="L23"/>
      <c r="M23" s="1">
        <v>42384</v>
      </c>
      <c r="N23" t="s">
        <v>101</v>
      </c>
      <c r="O23"/>
      <c r="P23"/>
      <c r="Q23"/>
    </row>
    <row r="24" spans="1:17" x14ac:dyDescent="0.3">
      <c r="A24" t="str">
        <f>"16616"</f>
        <v>16616</v>
      </c>
      <c r="B24">
        <v>2498</v>
      </c>
      <c r="C24">
        <v>12</v>
      </c>
      <c r="D24" t="str">
        <f>" "</f>
        <v xml:space="preserve"> </v>
      </c>
      <c r="E24"/>
      <c r="F24" s="19">
        <v>42346.664548611108</v>
      </c>
      <c r="G24" s="1">
        <v>42387</v>
      </c>
      <c r="H24">
        <v>1</v>
      </c>
      <c r="I24">
        <v>1</v>
      </c>
      <c r="J24"/>
      <c r="K24"/>
      <c r="L24"/>
      <c r="M24" s="1">
        <v>42384</v>
      </c>
      <c r="N24" t="s">
        <v>101</v>
      </c>
      <c r="O24"/>
      <c r="P24"/>
      <c r="Q24"/>
    </row>
    <row r="25" spans="1:17" x14ac:dyDescent="0.3">
      <c r="A25" t="str">
        <f>"16616"</f>
        <v>16616</v>
      </c>
      <c r="B25">
        <v>2611</v>
      </c>
      <c r="C25">
        <v>14</v>
      </c>
      <c r="D25" t="str">
        <f>" "</f>
        <v xml:space="preserve"> </v>
      </c>
      <c r="E25"/>
      <c r="F25" s="19">
        <v>42346.664548611108</v>
      </c>
      <c r="G25" s="1">
        <v>42387</v>
      </c>
      <c r="H25">
        <v>1</v>
      </c>
      <c r="I25">
        <v>1</v>
      </c>
      <c r="J25"/>
      <c r="K25"/>
      <c r="L25"/>
      <c r="M25" s="1">
        <v>42384</v>
      </c>
      <c r="N25" t="s">
        <v>101</v>
      </c>
      <c r="O25"/>
      <c r="P25"/>
      <c r="Q25"/>
    </row>
    <row r="26" spans="1:17" x14ac:dyDescent="0.3">
      <c r="A26" t="str">
        <f>"16616"</f>
        <v>16616</v>
      </c>
      <c r="B26">
        <v>2724</v>
      </c>
      <c r="C26">
        <v>15</v>
      </c>
      <c r="D26" t="str">
        <f>" "</f>
        <v xml:space="preserve"> </v>
      </c>
      <c r="E26"/>
      <c r="F26" s="19">
        <v>42346.664548611108</v>
      </c>
      <c r="G26" s="1">
        <v>42387</v>
      </c>
      <c r="H26">
        <v>1</v>
      </c>
      <c r="I26">
        <v>1</v>
      </c>
      <c r="J26"/>
      <c r="K26"/>
      <c r="L26"/>
      <c r="M26" s="1">
        <v>42384</v>
      </c>
      <c r="N26" t="s">
        <v>101</v>
      </c>
      <c r="O26"/>
      <c r="P26"/>
      <c r="Q26"/>
    </row>
    <row r="27" spans="1:17" x14ac:dyDescent="0.3">
      <c r="A27" t="str">
        <f>"16616"</f>
        <v>16616</v>
      </c>
      <c r="B27">
        <v>2837</v>
      </c>
      <c r="C27">
        <v>16</v>
      </c>
      <c r="D27" t="str">
        <f>" "</f>
        <v xml:space="preserve"> </v>
      </c>
      <c r="E27"/>
      <c r="F27" s="19">
        <v>42346.664548611108</v>
      </c>
      <c r="G27" s="1">
        <v>42387</v>
      </c>
      <c r="H27">
        <v>1</v>
      </c>
      <c r="I27">
        <v>1</v>
      </c>
      <c r="J27"/>
      <c r="K27"/>
      <c r="L27"/>
      <c r="M27" s="1">
        <v>42384</v>
      </c>
      <c r="N27" t="s">
        <v>101</v>
      </c>
      <c r="O27"/>
      <c r="P27"/>
      <c r="Q27"/>
    </row>
    <row r="28" spans="1:17" x14ac:dyDescent="0.3">
      <c r="A28" t="str">
        <f>"16616"</f>
        <v>16616</v>
      </c>
      <c r="B28">
        <v>2950</v>
      </c>
      <c r="C28">
        <v>17</v>
      </c>
      <c r="D28" t="str">
        <f>" "</f>
        <v xml:space="preserve"> </v>
      </c>
      <c r="E28"/>
      <c r="F28" s="19">
        <v>42346.664548611108</v>
      </c>
      <c r="G28" s="1">
        <v>42387</v>
      </c>
      <c r="H28">
        <v>1</v>
      </c>
      <c r="I28">
        <v>1</v>
      </c>
      <c r="J28"/>
      <c r="K28"/>
      <c r="L28"/>
      <c r="M28" s="1">
        <v>42384</v>
      </c>
      <c r="N28" t="s">
        <v>101</v>
      </c>
      <c r="O28"/>
      <c r="P28"/>
      <c r="Q28"/>
    </row>
    <row r="29" spans="1:17" x14ac:dyDescent="0.3">
      <c r="A29" t="str">
        <f>"16616"</f>
        <v>16616</v>
      </c>
      <c r="B29">
        <v>3063</v>
      </c>
      <c r="C29">
        <v>18</v>
      </c>
      <c r="D29" t="str">
        <f>" "</f>
        <v xml:space="preserve"> </v>
      </c>
      <c r="E29"/>
      <c r="F29" s="19">
        <v>42346.664548611108</v>
      </c>
      <c r="G29" s="1">
        <v>42387</v>
      </c>
      <c r="H29">
        <v>1</v>
      </c>
      <c r="I29">
        <v>1</v>
      </c>
      <c r="J29"/>
      <c r="K29"/>
      <c r="L29"/>
      <c r="M29" s="1">
        <v>42384</v>
      </c>
      <c r="N29" t="s">
        <v>101</v>
      </c>
      <c r="O29"/>
      <c r="P29"/>
      <c r="Q29"/>
    </row>
    <row r="30" spans="1:17" x14ac:dyDescent="0.3">
      <c r="A30" t="str">
        <f>"16616"</f>
        <v>16616</v>
      </c>
      <c r="B30">
        <v>3176</v>
      </c>
      <c r="C30">
        <v>19</v>
      </c>
      <c r="D30" t="str">
        <f>" "</f>
        <v xml:space="preserve"> </v>
      </c>
      <c r="E30"/>
      <c r="F30" s="19">
        <v>42346.664548611108</v>
      </c>
      <c r="G30" s="1">
        <v>42387</v>
      </c>
      <c r="H30">
        <v>1</v>
      </c>
      <c r="I30">
        <v>1</v>
      </c>
      <c r="J30"/>
      <c r="K30"/>
      <c r="L30"/>
      <c r="M30" s="1">
        <v>42384</v>
      </c>
      <c r="N30" t="s">
        <v>101</v>
      </c>
      <c r="O30"/>
      <c r="P30"/>
      <c r="Q30"/>
    </row>
    <row r="31" spans="1:17" x14ac:dyDescent="0.3">
      <c r="A31" t="str">
        <f>"16616"</f>
        <v>16616</v>
      </c>
      <c r="B31">
        <v>3289</v>
      </c>
      <c r="C31">
        <v>20</v>
      </c>
      <c r="D31" t="str">
        <f>" "</f>
        <v xml:space="preserve"> </v>
      </c>
      <c r="E31"/>
      <c r="F31" s="19">
        <v>42346.664548611108</v>
      </c>
      <c r="G31" s="1">
        <v>42387</v>
      </c>
      <c r="H31">
        <v>1</v>
      </c>
      <c r="I31">
        <v>1</v>
      </c>
      <c r="J31"/>
      <c r="K31"/>
      <c r="L31"/>
      <c r="M31" s="1">
        <v>42384</v>
      </c>
      <c r="N31" t="s">
        <v>101</v>
      </c>
      <c r="O31"/>
      <c r="P31"/>
      <c r="Q31"/>
    </row>
    <row r="32" spans="1:17" x14ac:dyDescent="0.3">
      <c r="A32" t="str">
        <f>"16616"</f>
        <v>16616</v>
      </c>
      <c r="B32">
        <v>3402</v>
      </c>
      <c r="C32">
        <v>21</v>
      </c>
      <c r="D32" t="str">
        <f>" "</f>
        <v xml:space="preserve"> </v>
      </c>
      <c r="E32"/>
      <c r="F32" s="19">
        <v>42352.327673611115</v>
      </c>
      <c r="G32" s="1">
        <v>42387</v>
      </c>
      <c r="H32">
        <v>1</v>
      </c>
      <c r="I32">
        <v>1</v>
      </c>
      <c r="J32"/>
      <c r="K32"/>
      <c r="L32"/>
      <c r="M32" s="1">
        <v>42384</v>
      </c>
      <c r="N32" t="s">
        <v>101</v>
      </c>
      <c r="O32"/>
      <c r="P32"/>
      <c r="Q32"/>
    </row>
    <row r="33" spans="1:17" x14ac:dyDescent="0.3">
      <c r="A33" t="str">
        <f>"16609"</f>
        <v>16609</v>
      </c>
      <c r="B33">
        <v>3515</v>
      </c>
      <c r="C33">
        <v>1</v>
      </c>
      <c r="D33" t="str">
        <f>" "</f>
        <v xml:space="preserve"> </v>
      </c>
      <c r="E33"/>
      <c r="F33" s="19">
        <v>42341.589942129627</v>
      </c>
      <c r="G33" s="1">
        <v>42387</v>
      </c>
      <c r="H33">
        <v>1</v>
      </c>
      <c r="I33">
        <v>1</v>
      </c>
      <c r="J33"/>
      <c r="K33"/>
      <c r="L33"/>
      <c r="M33" s="1">
        <v>42384</v>
      </c>
      <c r="N33" t="s">
        <v>101</v>
      </c>
      <c r="O33"/>
      <c r="P33"/>
      <c r="Q33"/>
    </row>
    <row r="34" spans="1:17" x14ac:dyDescent="0.3">
      <c r="A34" t="str">
        <f>"16692"</f>
        <v>16692</v>
      </c>
      <c r="B34">
        <v>3628</v>
      </c>
      <c r="C34">
        <v>1</v>
      </c>
      <c r="D34" t="str">
        <f>" "</f>
        <v xml:space="preserve"> </v>
      </c>
      <c r="E34"/>
      <c r="F34" s="19">
        <v>42384.493634259263</v>
      </c>
      <c r="G34" s="1">
        <v>42388</v>
      </c>
      <c r="H34">
        <v>1</v>
      </c>
      <c r="I34">
        <v>1</v>
      </c>
      <c r="J34"/>
      <c r="K34"/>
      <c r="L34"/>
      <c r="M34" s="1">
        <v>42388</v>
      </c>
      <c r="N34" t="s">
        <v>101</v>
      </c>
      <c r="O34"/>
      <c r="P34"/>
      <c r="Q34"/>
    </row>
    <row r="35" spans="1:17" x14ac:dyDescent="0.3">
      <c r="A35" t="str">
        <f>"16698"</f>
        <v>16698</v>
      </c>
      <c r="B35">
        <v>3741</v>
      </c>
      <c r="C35">
        <v>1</v>
      </c>
      <c r="D35" t="str">
        <f>" "</f>
        <v xml:space="preserve"> </v>
      </c>
      <c r="E35"/>
      <c r="F35" s="19">
        <v>42388.548125000001</v>
      </c>
      <c r="G35" s="1">
        <v>42389</v>
      </c>
      <c r="H35">
        <v>1</v>
      </c>
      <c r="I35">
        <v>1</v>
      </c>
      <c r="J35"/>
      <c r="K35"/>
      <c r="L35"/>
      <c r="M35" s="1">
        <v>42389</v>
      </c>
      <c r="N35" t="s">
        <v>101</v>
      </c>
      <c r="O35"/>
      <c r="P35"/>
      <c r="Q35"/>
    </row>
    <row r="36" spans="1:17" x14ac:dyDescent="0.3">
      <c r="A36" t="str">
        <f>"16694"</f>
        <v>16694</v>
      </c>
      <c r="B36">
        <v>3854</v>
      </c>
      <c r="C36">
        <v>1</v>
      </c>
      <c r="D36" t="str">
        <f>" "</f>
        <v xml:space="preserve"> </v>
      </c>
      <c r="E36"/>
      <c r="F36" s="19">
        <v>42387.621157407404</v>
      </c>
      <c r="G36" s="1">
        <v>42389</v>
      </c>
      <c r="H36">
        <v>1</v>
      </c>
      <c r="I36">
        <v>1</v>
      </c>
      <c r="J36"/>
      <c r="K36"/>
      <c r="L36"/>
      <c r="M36" s="1">
        <v>42388</v>
      </c>
      <c r="N36" t="s">
        <v>101</v>
      </c>
      <c r="O36"/>
      <c r="P36"/>
      <c r="Q36"/>
    </row>
    <row r="37" spans="1:17" x14ac:dyDescent="0.3">
      <c r="A37" t="str">
        <f>"16702"</f>
        <v>16702</v>
      </c>
      <c r="B37">
        <v>3967</v>
      </c>
      <c r="C37">
        <v>2</v>
      </c>
      <c r="D37" t="str">
        <f>" "</f>
        <v xml:space="preserve"> </v>
      </c>
      <c r="E37"/>
      <c r="F37" s="19">
        <v>42390.592685185184</v>
      </c>
      <c r="G37" s="1">
        <v>42390</v>
      </c>
      <c r="H37">
        <v>1</v>
      </c>
      <c r="I37">
        <v>1</v>
      </c>
      <c r="J37"/>
      <c r="K37"/>
      <c r="L37"/>
      <c r="M37" s="1">
        <v>42390</v>
      </c>
      <c r="N37" t="s">
        <v>101</v>
      </c>
      <c r="O37"/>
      <c r="P37"/>
      <c r="Q37"/>
    </row>
    <row r="38" spans="1:17" x14ac:dyDescent="0.3">
      <c r="A38" t="str">
        <f>"16701"</f>
        <v>16701</v>
      </c>
      <c r="B38">
        <v>4080</v>
      </c>
      <c r="C38">
        <v>1</v>
      </c>
      <c r="D38" t="str">
        <f>" "</f>
        <v xml:space="preserve"> </v>
      </c>
      <c r="E38"/>
      <c r="F38" s="19">
        <v>42388.656122685185</v>
      </c>
      <c r="G38" s="1">
        <v>42390</v>
      </c>
      <c r="H38">
        <v>6</v>
      </c>
      <c r="I38">
        <v>6</v>
      </c>
      <c r="J38"/>
      <c r="K38"/>
      <c r="L38"/>
      <c r="M38" s="1">
        <v>42390</v>
      </c>
      <c r="N38" t="s">
        <v>101</v>
      </c>
      <c r="O38"/>
      <c r="P38"/>
      <c r="Q38"/>
    </row>
    <row r="39" spans="1:17" x14ac:dyDescent="0.3">
      <c r="A39" t="str">
        <f>"16630"</f>
        <v>16630</v>
      </c>
      <c r="B39">
        <v>4193</v>
      </c>
      <c r="C39">
        <v>1</v>
      </c>
      <c r="D39" t="str">
        <f>" "</f>
        <v xml:space="preserve"> </v>
      </c>
      <c r="E39"/>
      <c r="F39" s="19">
        <v>42352.6171875</v>
      </c>
      <c r="G39" s="1">
        <v>42390</v>
      </c>
      <c r="H39">
        <v>1</v>
      </c>
      <c r="I39">
        <v>1</v>
      </c>
      <c r="J39"/>
      <c r="K39"/>
      <c r="L39"/>
      <c r="M39" s="1">
        <v>42384</v>
      </c>
      <c r="N39" t="s">
        <v>101</v>
      </c>
      <c r="O39"/>
      <c r="P39"/>
      <c r="Q39"/>
    </row>
    <row r="40" spans="1:17" x14ac:dyDescent="0.3">
      <c r="A40" t="str">
        <f>"16629"</f>
        <v>16629</v>
      </c>
      <c r="B40">
        <v>4306</v>
      </c>
      <c r="C40">
        <v>1</v>
      </c>
      <c r="D40" t="str">
        <f>" "</f>
        <v xml:space="preserve"> </v>
      </c>
      <c r="E40"/>
      <c r="F40" s="19">
        <v>42352.582337962966</v>
      </c>
      <c r="G40" s="1">
        <v>42391</v>
      </c>
      <c r="H40">
        <v>1</v>
      </c>
      <c r="I40">
        <v>1</v>
      </c>
      <c r="J40"/>
      <c r="K40"/>
      <c r="L40"/>
      <c r="M40" s="1">
        <v>42394</v>
      </c>
      <c r="N40" t="s">
        <v>101</v>
      </c>
      <c r="O40"/>
      <c r="P40"/>
      <c r="Q40"/>
    </row>
    <row r="41" spans="1:17" x14ac:dyDescent="0.3">
      <c r="A41" t="str">
        <f>"16669"</f>
        <v>16669</v>
      </c>
      <c r="B41">
        <v>4419</v>
      </c>
      <c r="C41">
        <v>1</v>
      </c>
      <c r="D41" t="str">
        <f>" "</f>
        <v xml:space="preserve"> </v>
      </c>
      <c r="E41"/>
      <c r="F41" s="19">
        <v>42374.652430555558</v>
      </c>
      <c r="G41" s="1">
        <v>42394</v>
      </c>
      <c r="H41">
        <v>120</v>
      </c>
      <c r="I41">
        <v>120</v>
      </c>
      <c r="J41"/>
      <c r="K41"/>
      <c r="L41"/>
      <c r="M41" s="1">
        <v>42391</v>
      </c>
      <c r="N41" t="s">
        <v>101</v>
      </c>
      <c r="O41"/>
      <c r="P41"/>
      <c r="Q41"/>
    </row>
    <row r="42" spans="1:17" x14ac:dyDescent="0.3">
      <c r="A42" t="str">
        <f>"16647"</f>
        <v>16647</v>
      </c>
      <c r="B42">
        <v>4532</v>
      </c>
      <c r="C42">
        <v>2</v>
      </c>
      <c r="D42" t="str">
        <f>" "</f>
        <v xml:space="preserve"> </v>
      </c>
      <c r="E42"/>
      <c r="F42" s="19">
        <v>42382.662083333336</v>
      </c>
      <c r="G42" s="1">
        <v>42394</v>
      </c>
      <c r="H42">
        <v>1</v>
      </c>
      <c r="I42">
        <v>1</v>
      </c>
      <c r="J42"/>
      <c r="K42"/>
      <c r="L42"/>
      <c r="M42" s="1">
        <v>42388</v>
      </c>
      <c r="N42" t="s">
        <v>101</v>
      </c>
      <c r="O42"/>
      <c r="P42"/>
      <c r="Q42"/>
    </row>
    <row r="43" spans="1:17" x14ac:dyDescent="0.3">
      <c r="A43" t="str">
        <f>"16695"</f>
        <v>16695</v>
      </c>
      <c r="B43">
        <v>4645</v>
      </c>
      <c r="C43">
        <v>1</v>
      </c>
      <c r="D43" t="str">
        <f>" "</f>
        <v xml:space="preserve"> </v>
      </c>
      <c r="E43"/>
      <c r="F43" s="19">
        <v>42388.3044212963</v>
      </c>
      <c r="G43" s="1">
        <v>42395</v>
      </c>
      <c r="H43">
        <v>1</v>
      </c>
      <c r="I43">
        <v>1</v>
      </c>
      <c r="J43"/>
      <c r="K43"/>
      <c r="L43"/>
      <c r="M43" s="1">
        <v>42389</v>
      </c>
      <c r="N43" t="s">
        <v>101</v>
      </c>
      <c r="O43"/>
      <c r="P43"/>
      <c r="Q43"/>
    </row>
    <row r="44" spans="1:17" x14ac:dyDescent="0.3">
      <c r="A44" t="str">
        <f>"16662"</f>
        <v>16662</v>
      </c>
      <c r="B44">
        <v>4758</v>
      </c>
      <c r="C44">
        <v>1</v>
      </c>
      <c r="D44" t="str">
        <f>" "</f>
        <v xml:space="preserve"> </v>
      </c>
      <c r="E44"/>
      <c r="F44" s="19">
        <v>42361.587731481479</v>
      </c>
      <c r="G44" s="1">
        <v>42396</v>
      </c>
      <c r="H44">
        <v>3</v>
      </c>
      <c r="I44">
        <v>3</v>
      </c>
      <c r="J44"/>
      <c r="K44"/>
      <c r="L44"/>
      <c r="M44" s="1">
        <v>42397</v>
      </c>
      <c r="N44" t="s">
        <v>101</v>
      </c>
      <c r="O44"/>
      <c r="P44"/>
      <c r="Q44"/>
    </row>
    <row r="45" spans="1:17" x14ac:dyDescent="0.3">
      <c r="A45" t="str">
        <f>"16662"</f>
        <v>16662</v>
      </c>
      <c r="B45">
        <v>4871</v>
      </c>
      <c r="C45">
        <v>2</v>
      </c>
      <c r="D45" t="str">
        <f>" "</f>
        <v xml:space="preserve"> </v>
      </c>
      <c r="E45"/>
      <c r="F45" s="19">
        <v>42361.587731481479</v>
      </c>
      <c r="G45" s="1">
        <v>42396</v>
      </c>
      <c r="H45">
        <v>1</v>
      </c>
      <c r="I45">
        <v>1</v>
      </c>
      <c r="J45"/>
      <c r="K45"/>
      <c r="L45"/>
      <c r="M45" s="1">
        <v>42397</v>
      </c>
      <c r="N45" t="s">
        <v>101</v>
      </c>
      <c r="O45"/>
      <c r="P45"/>
      <c r="Q45"/>
    </row>
    <row r="46" spans="1:17" x14ac:dyDescent="0.3">
      <c r="A46" t="str">
        <f>"16662"</f>
        <v>16662</v>
      </c>
      <c r="B46">
        <v>4984</v>
      </c>
      <c r="C46">
        <v>3</v>
      </c>
      <c r="D46" t="str">
        <f>" "</f>
        <v xml:space="preserve"> </v>
      </c>
      <c r="E46"/>
      <c r="F46" s="19">
        <v>42361.587731481479</v>
      </c>
      <c r="G46" s="1">
        <v>42396</v>
      </c>
      <c r="H46">
        <v>1</v>
      </c>
      <c r="I46">
        <v>1</v>
      </c>
      <c r="J46"/>
      <c r="K46"/>
      <c r="L46"/>
      <c r="M46" s="1">
        <v>42397</v>
      </c>
      <c r="N46" t="s">
        <v>101</v>
      </c>
      <c r="O46"/>
      <c r="P46"/>
      <c r="Q46"/>
    </row>
    <row r="47" spans="1:17" x14ac:dyDescent="0.3">
      <c r="A47" t="str">
        <f>"16632"</f>
        <v>16632</v>
      </c>
      <c r="B47">
        <v>5097</v>
      </c>
      <c r="C47">
        <v>1</v>
      </c>
      <c r="D47" t="str">
        <f>" "</f>
        <v xml:space="preserve"> </v>
      </c>
      <c r="E47"/>
      <c r="F47" s="19">
        <v>42353.351145833331</v>
      </c>
      <c r="G47" s="1">
        <v>42396</v>
      </c>
      <c r="H47">
        <v>1</v>
      </c>
      <c r="I47">
        <v>1</v>
      </c>
      <c r="J47"/>
      <c r="K47"/>
      <c r="L47"/>
      <c r="M47" s="1">
        <v>42380</v>
      </c>
      <c r="N47" t="s">
        <v>101</v>
      </c>
      <c r="O47"/>
      <c r="P47"/>
      <c r="Q47"/>
    </row>
    <row r="48" spans="1:17" x14ac:dyDescent="0.3">
      <c r="A48" t="str">
        <f>"16621"</f>
        <v>16621</v>
      </c>
      <c r="B48">
        <v>5210</v>
      </c>
      <c r="C48">
        <v>1</v>
      </c>
      <c r="D48" t="str">
        <f>" "</f>
        <v xml:space="preserve"> </v>
      </c>
      <c r="E48"/>
      <c r="F48" s="19">
        <v>42348.336122685185</v>
      </c>
      <c r="G48" s="1">
        <v>42396</v>
      </c>
      <c r="H48">
        <v>1</v>
      </c>
      <c r="I48">
        <v>1</v>
      </c>
      <c r="J48"/>
      <c r="K48"/>
      <c r="L48"/>
      <c r="M48" s="1">
        <v>42396</v>
      </c>
      <c r="N48" t="s">
        <v>101</v>
      </c>
      <c r="O48"/>
      <c r="P48"/>
      <c r="Q48"/>
    </row>
    <row r="49" spans="1:17" x14ac:dyDescent="0.3">
      <c r="A49" t="str">
        <f>"16690"</f>
        <v>16690</v>
      </c>
      <c r="B49">
        <v>5323</v>
      </c>
      <c r="C49">
        <v>1</v>
      </c>
      <c r="D49" t="str">
        <f>" "</f>
        <v xml:space="preserve"> </v>
      </c>
      <c r="E49"/>
      <c r="F49" s="19">
        <v>42383.63480324074</v>
      </c>
      <c r="G49" s="1">
        <v>42397</v>
      </c>
      <c r="H49">
        <v>1</v>
      </c>
      <c r="I49">
        <v>1</v>
      </c>
      <c r="J49"/>
      <c r="K49"/>
      <c r="L49"/>
      <c r="M49" s="1">
        <v>42398</v>
      </c>
      <c r="N49" t="s">
        <v>101</v>
      </c>
      <c r="O49"/>
      <c r="P49"/>
      <c r="Q49"/>
    </row>
    <row r="50" spans="1:17" x14ac:dyDescent="0.3">
      <c r="A50" t="str">
        <f>"16682"</f>
        <v>16682</v>
      </c>
      <c r="B50">
        <v>5436</v>
      </c>
      <c r="C50">
        <v>1</v>
      </c>
      <c r="D50" t="str">
        <f>" "</f>
        <v xml:space="preserve"> </v>
      </c>
      <c r="E50"/>
      <c r="F50" s="19">
        <v>42381.448634259257</v>
      </c>
      <c r="G50" s="1">
        <v>42397</v>
      </c>
      <c r="H50">
        <v>8</v>
      </c>
      <c r="I50">
        <v>8</v>
      </c>
      <c r="J50"/>
      <c r="K50"/>
      <c r="L50"/>
      <c r="M50" s="1">
        <v>42405</v>
      </c>
      <c r="N50" t="s">
        <v>101</v>
      </c>
      <c r="O50"/>
      <c r="P50"/>
      <c r="Q50"/>
    </row>
    <row r="51" spans="1:17" x14ac:dyDescent="0.3">
      <c r="A51" t="str">
        <f>"16672"</f>
        <v>16672</v>
      </c>
      <c r="B51">
        <v>5549</v>
      </c>
      <c r="C51">
        <v>1</v>
      </c>
      <c r="D51" t="str">
        <f>" "</f>
        <v xml:space="preserve"> </v>
      </c>
      <c r="E51"/>
      <c r="F51" s="19">
        <v>42376.357476851852</v>
      </c>
      <c r="G51" s="1">
        <v>42397</v>
      </c>
      <c r="H51">
        <v>1</v>
      </c>
      <c r="I51">
        <v>1</v>
      </c>
      <c r="J51"/>
      <c r="K51"/>
      <c r="L51"/>
      <c r="M51" s="1">
        <v>42398</v>
      </c>
      <c r="N51" t="s">
        <v>101</v>
      </c>
      <c r="O51"/>
      <c r="P51"/>
      <c r="Q51"/>
    </row>
    <row r="52" spans="1:17" x14ac:dyDescent="0.3">
      <c r="A52" t="str">
        <f>"16671"</f>
        <v>16671</v>
      </c>
      <c r="B52">
        <v>5662</v>
      </c>
      <c r="C52">
        <v>1</v>
      </c>
      <c r="D52" t="str">
        <f>" "</f>
        <v xml:space="preserve"> </v>
      </c>
      <c r="E52"/>
      <c r="F52" s="19">
        <v>42376.34238425926</v>
      </c>
      <c r="G52" s="1">
        <v>42397</v>
      </c>
      <c r="H52">
        <v>1</v>
      </c>
      <c r="I52">
        <v>1</v>
      </c>
      <c r="J52"/>
      <c r="K52"/>
      <c r="L52"/>
      <c r="M52" s="1">
        <v>42398</v>
      </c>
      <c r="N52" t="s">
        <v>101</v>
      </c>
      <c r="O52"/>
      <c r="P52"/>
      <c r="Q52"/>
    </row>
    <row r="53" spans="1:17" x14ac:dyDescent="0.3">
      <c r="A53" t="str">
        <f>"16667"</f>
        <v>16667</v>
      </c>
      <c r="B53">
        <v>5775</v>
      </c>
      <c r="C53">
        <v>1</v>
      </c>
      <c r="D53" t="str">
        <f>" "</f>
        <v xml:space="preserve"> </v>
      </c>
      <c r="E53"/>
      <c r="F53" s="19">
        <v>42373.411099537036</v>
      </c>
      <c r="G53" s="1">
        <v>42397</v>
      </c>
      <c r="H53">
        <v>1</v>
      </c>
      <c r="I53">
        <v>1</v>
      </c>
      <c r="J53"/>
      <c r="K53"/>
      <c r="L53"/>
      <c r="M53" s="1">
        <v>42398</v>
      </c>
      <c r="N53" t="s">
        <v>101</v>
      </c>
      <c r="O53"/>
      <c r="P53"/>
      <c r="Q53"/>
    </row>
    <row r="54" spans="1:17" x14ac:dyDescent="0.3">
      <c r="A54" t="str">
        <f>"16581"</f>
        <v>16581</v>
      </c>
      <c r="B54">
        <v>5888</v>
      </c>
      <c r="C54">
        <v>1</v>
      </c>
      <c r="D54" t="str">
        <f>" "</f>
        <v xml:space="preserve"> </v>
      </c>
      <c r="E54"/>
      <c r="F54" s="19">
        <v>42326.450868055559</v>
      </c>
      <c r="G54" s="1">
        <v>42397</v>
      </c>
      <c r="H54">
        <v>1</v>
      </c>
      <c r="I54">
        <v>1</v>
      </c>
      <c r="J54"/>
      <c r="K54"/>
      <c r="L54"/>
      <c r="M54" s="1">
        <v>42398</v>
      </c>
      <c r="N54" t="s">
        <v>101</v>
      </c>
      <c r="O54"/>
      <c r="P54"/>
      <c r="Q54"/>
    </row>
    <row r="55" spans="1:17" x14ac:dyDescent="0.3">
      <c r="A55" t="str">
        <f>"16580"</f>
        <v>16580</v>
      </c>
      <c r="B55">
        <v>6001</v>
      </c>
      <c r="C55">
        <v>1</v>
      </c>
      <c r="D55" t="str">
        <f>" "</f>
        <v xml:space="preserve"> </v>
      </c>
      <c r="E55"/>
      <c r="F55" s="19">
        <v>42326.439097222225</v>
      </c>
      <c r="G55" s="1">
        <v>42397</v>
      </c>
      <c r="H55">
        <v>2</v>
      </c>
      <c r="I55">
        <v>2</v>
      </c>
      <c r="J55"/>
      <c r="K55"/>
      <c r="L55"/>
      <c r="M55" s="1">
        <v>42398</v>
      </c>
      <c r="N55" t="s">
        <v>101</v>
      </c>
      <c r="O55"/>
      <c r="P55"/>
      <c r="Q55"/>
    </row>
    <row r="56" spans="1:17" x14ac:dyDescent="0.3">
      <c r="A56" t="str">
        <f>"16540"</f>
        <v>16540</v>
      </c>
      <c r="B56">
        <v>6114</v>
      </c>
      <c r="C56">
        <v>1</v>
      </c>
      <c r="D56" t="str">
        <f>" "</f>
        <v xml:space="preserve"> </v>
      </c>
      <c r="E56"/>
      <c r="F56" s="19">
        <v>42306.605937499997</v>
      </c>
      <c r="G56" s="1">
        <v>42397</v>
      </c>
      <c r="H56">
        <v>6</v>
      </c>
      <c r="I56">
        <v>6</v>
      </c>
      <c r="J56"/>
      <c r="K56"/>
      <c r="L56"/>
      <c r="M56" s="1">
        <v>42398</v>
      </c>
      <c r="N56" t="s">
        <v>101</v>
      </c>
      <c r="O56"/>
      <c r="P56"/>
      <c r="Q56"/>
    </row>
    <row r="57" spans="1:17" x14ac:dyDescent="0.3">
      <c r="A57" t="str">
        <f>"16711"</f>
        <v>16711</v>
      </c>
      <c r="B57">
        <v>6227</v>
      </c>
      <c r="C57">
        <v>1</v>
      </c>
      <c r="D57" t="str">
        <f>" "</f>
        <v xml:space="preserve"> </v>
      </c>
      <c r="E57"/>
      <c r="F57" s="19">
        <v>42395.62226851852</v>
      </c>
      <c r="G57" s="1">
        <v>42398</v>
      </c>
      <c r="H57">
        <v>13</v>
      </c>
      <c r="I57">
        <v>13</v>
      </c>
      <c r="J57"/>
      <c r="K57"/>
      <c r="L57"/>
      <c r="M57" s="1">
        <v>42398</v>
      </c>
      <c r="N57" t="s">
        <v>101</v>
      </c>
      <c r="O57"/>
      <c r="P57"/>
      <c r="Q57"/>
    </row>
    <row r="58" spans="1:17" x14ac:dyDescent="0.3">
      <c r="A58" t="str">
        <f>"16702"</f>
        <v>16702</v>
      </c>
      <c r="B58">
        <v>6340</v>
      </c>
      <c r="C58">
        <v>1</v>
      </c>
      <c r="D58" t="str">
        <f>" "</f>
        <v xml:space="preserve"> </v>
      </c>
      <c r="E58"/>
      <c r="F58" s="19">
        <v>42389.442511574074</v>
      </c>
      <c r="G58" s="1">
        <v>42398</v>
      </c>
      <c r="H58">
        <v>1</v>
      </c>
      <c r="I58">
        <v>1</v>
      </c>
      <c r="J58"/>
      <c r="K58"/>
      <c r="L58"/>
      <c r="M58" s="1">
        <v>42389</v>
      </c>
      <c r="N58" t="s">
        <v>101</v>
      </c>
      <c r="O58"/>
      <c r="P58"/>
      <c r="Q58"/>
    </row>
    <row r="59" spans="1:17" x14ac:dyDescent="0.3">
      <c r="A59" t="str">
        <f>"16686"</f>
        <v>16686</v>
      </c>
      <c r="B59">
        <v>6453</v>
      </c>
      <c r="C59">
        <v>1</v>
      </c>
      <c r="D59" t="str">
        <f>" "</f>
        <v xml:space="preserve"> </v>
      </c>
      <c r="E59"/>
      <c r="F59" s="19">
        <v>42382.380011574074</v>
      </c>
      <c r="G59" s="1">
        <v>42398</v>
      </c>
      <c r="H59">
        <v>1</v>
      </c>
      <c r="I59">
        <v>1</v>
      </c>
      <c r="J59"/>
      <c r="K59"/>
      <c r="L59"/>
      <c r="M59" s="1">
        <v>42402</v>
      </c>
      <c r="N59" t="s">
        <v>101</v>
      </c>
      <c r="O59"/>
      <c r="P59"/>
      <c r="Q59"/>
    </row>
    <row r="60" spans="1:17" x14ac:dyDescent="0.3">
      <c r="A60" t="str">
        <f>"16686"</f>
        <v>16686</v>
      </c>
      <c r="B60">
        <v>6566</v>
      </c>
      <c r="C60">
        <v>2</v>
      </c>
      <c r="D60" t="str">
        <f>" "</f>
        <v xml:space="preserve"> </v>
      </c>
      <c r="E60"/>
      <c r="F60" s="19">
        <v>42382.380011574074</v>
      </c>
      <c r="G60" s="1">
        <v>42398</v>
      </c>
      <c r="H60">
        <v>4</v>
      </c>
      <c r="I60">
        <v>4</v>
      </c>
      <c r="J60"/>
      <c r="K60"/>
      <c r="L60"/>
      <c r="M60" s="1">
        <v>42402</v>
      </c>
      <c r="N60" t="s">
        <v>101</v>
      </c>
      <c r="O60"/>
      <c r="P60"/>
      <c r="Q60"/>
    </row>
    <row r="61" spans="1:17" x14ac:dyDescent="0.3">
      <c r="A61" t="str">
        <f>"16679"</f>
        <v>16679</v>
      </c>
      <c r="B61">
        <v>6679</v>
      </c>
      <c r="C61">
        <v>6</v>
      </c>
      <c r="D61" t="str">
        <f>" "</f>
        <v xml:space="preserve"> </v>
      </c>
      <c r="E61"/>
      <c r="F61" s="19">
        <v>42380.580451388887</v>
      </c>
      <c r="G61" s="1">
        <v>42398</v>
      </c>
      <c r="H61">
        <v>3</v>
      </c>
      <c r="I61">
        <v>3</v>
      </c>
      <c r="J61"/>
      <c r="K61"/>
      <c r="L61"/>
      <c r="M61" s="1">
        <v>42443</v>
      </c>
      <c r="N61" t="s">
        <v>101</v>
      </c>
      <c r="O61"/>
      <c r="P61"/>
      <c r="Q61"/>
    </row>
    <row r="62" spans="1:17" x14ac:dyDescent="0.3">
      <c r="A62" t="str">
        <f>"16670"</f>
        <v>16670</v>
      </c>
      <c r="B62">
        <v>6792</v>
      </c>
      <c r="C62">
        <v>1</v>
      </c>
      <c r="D62" t="str">
        <f>" "</f>
        <v xml:space="preserve"> </v>
      </c>
      <c r="E62"/>
      <c r="F62" s="19">
        <v>42375.665439814817</v>
      </c>
      <c r="G62" s="1">
        <v>42398</v>
      </c>
      <c r="H62">
        <v>1</v>
      </c>
      <c r="I62">
        <v>1</v>
      </c>
      <c r="J62"/>
      <c r="K62"/>
      <c r="L62"/>
      <c r="M62" s="1">
        <v>42396</v>
      </c>
      <c r="N62" t="s">
        <v>101</v>
      </c>
      <c r="O62"/>
      <c r="P62"/>
      <c r="Q62"/>
    </row>
    <row r="63" spans="1:17" x14ac:dyDescent="0.3">
      <c r="A63" t="str">
        <f>"16664"</f>
        <v>16664</v>
      </c>
      <c r="B63">
        <v>6905</v>
      </c>
      <c r="C63">
        <v>1</v>
      </c>
      <c r="D63" t="str">
        <f>" "</f>
        <v xml:space="preserve"> </v>
      </c>
      <c r="E63"/>
      <c r="F63" s="19">
        <v>42361.649699074071</v>
      </c>
      <c r="G63" s="1">
        <v>42398</v>
      </c>
      <c r="H63">
        <v>3</v>
      </c>
      <c r="I63">
        <v>3</v>
      </c>
      <c r="J63"/>
      <c r="K63"/>
      <c r="L63"/>
      <c r="M63" s="1">
        <v>42398</v>
      </c>
      <c r="N63" t="s">
        <v>101</v>
      </c>
      <c r="O63"/>
      <c r="P63"/>
      <c r="Q63"/>
    </row>
    <row r="64" spans="1:17" x14ac:dyDescent="0.3">
      <c r="A64" t="str">
        <f>"16661"</f>
        <v>16661</v>
      </c>
      <c r="B64">
        <v>7018</v>
      </c>
      <c r="C64">
        <v>1</v>
      </c>
      <c r="D64" t="str">
        <f>" "</f>
        <v xml:space="preserve"> </v>
      </c>
      <c r="E64"/>
      <c r="F64" s="19">
        <v>42361.564062500001</v>
      </c>
      <c r="G64" s="1">
        <v>42398</v>
      </c>
      <c r="H64">
        <v>4</v>
      </c>
      <c r="I64">
        <v>4</v>
      </c>
      <c r="J64"/>
      <c r="K64"/>
      <c r="L64"/>
      <c r="M64" s="1">
        <v>42398</v>
      </c>
      <c r="N64" t="s">
        <v>101</v>
      </c>
      <c r="O64"/>
      <c r="P64"/>
      <c r="Q64"/>
    </row>
    <row r="65" spans="1:17" x14ac:dyDescent="0.3">
      <c r="A65" t="str">
        <f>"16652"</f>
        <v>16652</v>
      </c>
      <c r="B65">
        <v>7131</v>
      </c>
      <c r="C65">
        <v>1</v>
      </c>
      <c r="D65" t="str">
        <f>" "</f>
        <v xml:space="preserve"> </v>
      </c>
      <c r="E65"/>
      <c r="F65" s="19">
        <v>42356.498055555552</v>
      </c>
      <c r="G65" s="1">
        <v>42398</v>
      </c>
      <c r="H65">
        <v>4</v>
      </c>
      <c r="I65">
        <v>4</v>
      </c>
      <c r="J65"/>
      <c r="K65"/>
      <c r="L65"/>
      <c r="M65" s="1">
        <v>42398</v>
      </c>
      <c r="N65" t="s">
        <v>101</v>
      </c>
      <c r="O65"/>
      <c r="P65"/>
      <c r="Q65"/>
    </row>
    <row r="66" spans="1:17" x14ac:dyDescent="0.3">
      <c r="A66" t="str">
        <f>"16651"</f>
        <v>16651</v>
      </c>
      <c r="B66">
        <v>7244</v>
      </c>
      <c r="C66">
        <v>1</v>
      </c>
      <c r="D66" t="str">
        <f>" "</f>
        <v xml:space="preserve"> </v>
      </c>
      <c r="E66"/>
      <c r="F66" s="19">
        <v>42356.483981481484</v>
      </c>
      <c r="G66" s="1">
        <v>42398</v>
      </c>
      <c r="H66">
        <v>15</v>
      </c>
      <c r="I66">
        <v>15</v>
      </c>
      <c r="J66"/>
      <c r="K66"/>
      <c r="L66"/>
      <c r="M66" s="1">
        <v>42412</v>
      </c>
      <c r="N66" t="s">
        <v>101</v>
      </c>
      <c r="O66"/>
      <c r="P66"/>
      <c r="Q66"/>
    </row>
    <row r="67" spans="1:17" x14ac:dyDescent="0.3">
      <c r="A67" t="str">
        <f>"16650"</f>
        <v>16650</v>
      </c>
      <c r="B67">
        <v>7357</v>
      </c>
      <c r="C67">
        <v>1</v>
      </c>
      <c r="D67" t="str">
        <f>" "</f>
        <v xml:space="preserve"> </v>
      </c>
      <c r="E67"/>
      <c r="F67" s="19">
        <v>42356.448333333334</v>
      </c>
      <c r="G67" s="1">
        <v>42398</v>
      </c>
      <c r="H67">
        <v>10</v>
      </c>
      <c r="I67">
        <v>10</v>
      </c>
      <c r="J67"/>
      <c r="K67"/>
      <c r="L67"/>
      <c r="M67" s="1">
        <v>42398</v>
      </c>
      <c r="N67" t="s">
        <v>101</v>
      </c>
      <c r="O67"/>
      <c r="P67"/>
      <c r="Q67"/>
    </row>
    <row r="68" spans="1:17" x14ac:dyDescent="0.3">
      <c r="A68" t="str">
        <f>"16647"</f>
        <v>16647</v>
      </c>
      <c r="B68">
        <v>7470</v>
      </c>
      <c r="C68">
        <v>1</v>
      </c>
      <c r="D68" t="str">
        <f>" "</f>
        <v xml:space="preserve"> </v>
      </c>
      <c r="E68"/>
      <c r="F68" s="19">
        <v>42382.662083333336</v>
      </c>
      <c r="G68" s="1">
        <v>42398</v>
      </c>
      <c r="H68">
        <v>1</v>
      </c>
      <c r="I68">
        <v>1</v>
      </c>
      <c r="J68"/>
      <c r="K68"/>
      <c r="L68"/>
      <c r="M68" s="1">
        <v>42394</v>
      </c>
      <c r="N68" t="s">
        <v>101</v>
      </c>
      <c r="O68"/>
      <c r="P68"/>
      <c r="Q68"/>
    </row>
    <row r="69" spans="1:17" x14ac:dyDescent="0.3">
      <c r="A69" t="str">
        <f>"16604"</f>
        <v>16604</v>
      </c>
      <c r="B69">
        <v>7583</v>
      </c>
      <c r="C69">
        <v>1</v>
      </c>
      <c r="D69" t="str">
        <f>" "</f>
        <v xml:space="preserve"> </v>
      </c>
      <c r="E69"/>
      <c r="F69" s="19">
        <v>42339.646261574075</v>
      </c>
      <c r="G69" s="1">
        <v>42398</v>
      </c>
      <c r="H69">
        <v>1</v>
      </c>
      <c r="I69">
        <v>1</v>
      </c>
      <c r="J69"/>
      <c r="K69"/>
      <c r="L69"/>
      <c r="M69" s="1">
        <v>42384</v>
      </c>
      <c r="N69" t="s">
        <v>101</v>
      </c>
      <c r="O69"/>
      <c r="P69"/>
      <c r="Q69"/>
    </row>
    <row r="70" spans="1:17" x14ac:dyDescent="0.3">
      <c r="A70" t="str">
        <f>"16598"</f>
        <v>16598</v>
      </c>
      <c r="B70">
        <v>7696</v>
      </c>
      <c r="C70">
        <v>1</v>
      </c>
      <c r="D70" t="str">
        <f>" "</f>
        <v xml:space="preserve"> </v>
      </c>
      <c r="E70"/>
      <c r="F70" s="19">
        <v>42338.421041666668</v>
      </c>
      <c r="G70" s="1">
        <v>42398</v>
      </c>
      <c r="H70">
        <v>1</v>
      </c>
      <c r="I70">
        <v>1</v>
      </c>
      <c r="J70"/>
      <c r="K70"/>
      <c r="L70"/>
      <c r="M70" s="1">
        <v>42389</v>
      </c>
      <c r="N70" t="s">
        <v>101</v>
      </c>
      <c r="O70"/>
      <c r="P70"/>
      <c r="Q70"/>
    </row>
    <row r="71" spans="1:17" x14ac:dyDescent="0.3">
      <c r="A71" t="str">
        <f>"16500"</f>
        <v>16500</v>
      </c>
      <c r="B71">
        <v>7809</v>
      </c>
      <c r="C71">
        <v>1</v>
      </c>
      <c r="D71" t="str">
        <f>" "</f>
        <v xml:space="preserve"> </v>
      </c>
      <c r="E71"/>
      <c r="F71" s="19">
        <v>42292.641932870371</v>
      </c>
      <c r="G71" s="1">
        <v>42398</v>
      </c>
      <c r="H71">
        <v>1</v>
      </c>
      <c r="I71">
        <v>1</v>
      </c>
      <c r="J71"/>
      <c r="K71"/>
      <c r="L71"/>
      <c r="M71" s="1">
        <v>42328</v>
      </c>
      <c r="N71" t="s">
        <v>101</v>
      </c>
      <c r="O71"/>
      <c r="P71"/>
      <c r="Q71"/>
    </row>
    <row r="72" spans="1:17" x14ac:dyDescent="0.3">
      <c r="A72" t="str">
        <f>"16696"</f>
        <v>16696</v>
      </c>
      <c r="B72">
        <v>7922</v>
      </c>
      <c r="C72">
        <v>1</v>
      </c>
      <c r="D72" t="str">
        <f>" "</f>
        <v xml:space="preserve"> </v>
      </c>
      <c r="E72"/>
      <c r="F72" s="19">
        <v>42388.390798611108</v>
      </c>
      <c r="G72" s="1">
        <v>42401</v>
      </c>
      <c r="H72">
        <v>2</v>
      </c>
      <c r="I72">
        <v>2</v>
      </c>
      <c r="J72"/>
      <c r="K72"/>
      <c r="L72"/>
      <c r="M72" s="1">
        <v>42388</v>
      </c>
      <c r="N72" t="s">
        <v>101</v>
      </c>
      <c r="O72"/>
      <c r="P72"/>
      <c r="Q72"/>
    </row>
    <row r="73" spans="1:17" x14ac:dyDescent="0.3">
      <c r="A73" t="str">
        <f>"16696"</f>
        <v>16696</v>
      </c>
      <c r="B73">
        <v>8035</v>
      </c>
      <c r="C73">
        <v>2</v>
      </c>
      <c r="D73" t="str">
        <f>" "</f>
        <v xml:space="preserve"> </v>
      </c>
      <c r="E73"/>
      <c r="F73" s="19">
        <v>42397.632638888892</v>
      </c>
      <c r="G73" s="1">
        <v>42401</v>
      </c>
      <c r="H73">
        <v>2</v>
      </c>
      <c r="I73">
        <v>2</v>
      </c>
      <c r="J73"/>
      <c r="K73"/>
      <c r="L73"/>
      <c r="M73" s="1">
        <v>42397</v>
      </c>
      <c r="N73" t="s">
        <v>101</v>
      </c>
      <c r="O73"/>
      <c r="P73"/>
      <c r="Q73"/>
    </row>
    <row r="74" spans="1:17" x14ac:dyDescent="0.3">
      <c r="A74" t="str">
        <f>"16740"</f>
        <v>16740</v>
      </c>
      <c r="B74">
        <v>8148</v>
      </c>
      <c r="C74">
        <v>1</v>
      </c>
      <c r="D74" t="str">
        <f>" "</f>
        <v xml:space="preserve"> </v>
      </c>
      <c r="E74"/>
      <c r="F74" s="19">
        <v>42401.444386574076</v>
      </c>
      <c r="G74" s="1">
        <v>42402</v>
      </c>
      <c r="H74">
        <v>1</v>
      </c>
      <c r="I74">
        <v>1</v>
      </c>
      <c r="J74"/>
      <c r="K74"/>
      <c r="L74"/>
      <c r="M74" s="1">
        <v>42402</v>
      </c>
      <c r="N74" t="s">
        <v>101</v>
      </c>
      <c r="O74"/>
      <c r="P74"/>
      <c r="Q74"/>
    </row>
    <row r="75" spans="1:17" x14ac:dyDescent="0.3">
      <c r="A75" t="str">
        <f>"16709"</f>
        <v>16709</v>
      </c>
      <c r="B75">
        <v>8261</v>
      </c>
      <c r="C75">
        <v>1</v>
      </c>
      <c r="D75" t="str">
        <f>" "</f>
        <v xml:space="preserve"> </v>
      </c>
      <c r="E75"/>
      <c r="F75" s="19">
        <v>42394.636736111112</v>
      </c>
      <c r="G75" s="1">
        <v>42402</v>
      </c>
      <c r="H75">
        <v>1</v>
      </c>
      <c r="I75">
        <v>1</v>
      </c>
      <c r="J75"/>
      <c r="K75"/>
      <c r="L75"/>
      <c r="M75" s="1">
        <v>42408</v>
      </c>
      <c r="N75" t="s">
        <v>101</v>
      </c>
      <c r="O75"/>
      <c r="P75"/>
      <c r="Q75"/>
    </row>
    <row r="76" spans="1:17" x14ac:dyDescent="0.3">
      <c r="A76" t="str">
        <f>"16736"</f>
        <v>16736</v>
      </c>
      <c r="B76">
        <v>8374</v>
      </c>
      <c r="C76">
        <v>1</v>
      </c>
      <c r="D76" t="str">
        <f>" "</f>
        <v xml:space="preserve"> </v>
      </c>
      <c r="E76"/>
      <c r="F76" s="19">
        <v>42401.31827546296</v>
      </c>
      <c r="G76" s="1">
        <v>42403</v>
      </c>
      <c r="H76">
        <v>2</v>
      </c>
      <c r="I76">
        <v>2</v>
      </c>
      <c r="J76"/>
      <c r="K76"/>
      <c r="L76"/>
      <c r="M76" s="1">
        <v>42403</v>
      </c>
      <c r="N76" t="s">
        <v>101</v>
      </c>
      <c r="O76"/>
      <c r="P76"/>
      <c r="Q76"/>
    </row>
    <row r="77" spans="1:17" x14ac:dyDescent="0.3">
      <c r="A77" t="str">
        <f>"16736"</f>
        <v>16736</v>
      </c>
      <c r="B77">
        <v>8487</v>
      </c>
      <c r="C77">
        <v>2</v>
      </c>
      <c r="D77" t="str">
        <f>" "</f>
        <v xml:space="preserve"> </v>
      </c>
      <c r="E77"/>
      <c r="F77" s="19">
        <v>42401.31827546296</v>
      </c>
      <c r="G77" s="1">
        <v>42403</v>
      </c>
      <c r="H77">
        <v>2</v>
      </c>
      <c r="I77">
        <v>2</v>
      </c>
      <c r="J77"/>
      <c r="K77"/>
      <c r="L77"/>
      <c r="M77" s="1">
        <v>42403</v>
      </c>
      <c r="N77" t="s">
        <v>101</v>
      </c>
      <c r="O77"/>
      <c r="P77"/>
      <c r="Q77"/>
    </row>
    <row r="78" spans="1:17" x14ac:dyDescent="0.3">
      <c r="A78" t="str">
        <f>"16742"</f>
        <v>16742</v>
      </c>
      <c r="B78">
        <v>8600</v>
      </c>
      <c r="C78">
        <v>1</v>
      </c>
      <c r="D78" t="str">
        <f>" "</f>
        <v xml:space="preserve"> </v>
      </c>
      <c r="E78"/>
      <c r="F78" s="19">
        <v>42401.620717592596</v>
      </c>
      <c r="G78" s="1">
        <v>42404</v>
      </c>
      <c r="H78">
        <v>1</v>
      </c>
      <c r="I78">
        <v>1</v>
      </c>
      <c r="J78"/>
      <c r="K78"/>
      <c r="L78"/>
      <c r="M78" s="1">
        <v>42408</v>
      </c>
      <c r="N78" t="s">
        <v>101</v>
      </c>
      <c r="O78"/>
      <c r="P78"/>
      <c r="Q78"/>
    </row>
    <row r="79" spans="1:17" x14ac:dyDescent="0.3">
      <c r="A79" t="str">
        <f>"16721"</f>
        <v>16721</v>
      </c>
      <c r="B79">
        <v>8713</v>
      </c>
      <c r="C79">
        <v>1</v>
      </c>
      <c r="D79" t="str">
        <f>" "</f>
        <v xml:space="preserve"> </v>
      </c>
      <c r="E79"/>
      <c r="F79" s="19">
        <v>42396.492511574077</v>
      </c>
      <c r="G79" s="1">
        <v>42404</v>
      </c>
      <c r="H79">
        <v>1</v>
      </c>
      <c r="I79">
        <v>1</v>
      </c>
      <c r="J79"/>
      <c r="K79"/>
      <c r="L79"/>
      <c r="M79"/>
      <c r="N79" t="s">
        <v>101</v>
      </c>
      <c r="O79"/>
      <c r="P79"/>
      <c r="Q79"/>
    </row>
    <row r="80" spans="1:17" x14ac:dyDescent="0.3">
      <c r="A80" t="str">
        <f>"16700"</f>
        <v>16700</v>
      </c>
      <c r="B80">
        <v>8826</v>
      </c>
      <c r="C80">
        <v>1</v>
      </c>
      <c r="D80" t="str">
        <f>" "</f>
        <v xml:space="preserve"> </v>
      </c>
      <c r="E80"/>
      <c r="F80" s="19">
        <v>42388.627847222226</v>
      </c>
      <c r="G80" s="1">
        <v>42404</v>
      </c>
      <c r="H80">
        <v>1</v>
      </c>
      <c r="I80">
        <v>1</v>
      </c>
      <c r="J80"/>
      <c r="K80"/>
      <c r="L80"/>
      <c r="M80" s="1">
        <v>42398</v>
      </c>
      <c r="N80" t="s">
        <v>101</v>
      </c>
      <c r="O80"/>
      <c r="P80"/>
      <c r="Q80"/>
    </row>
    <row r="81" spans="1:17" x14ac:dyDescent="0.3">
      <c r="A81" t="str">
        <f>"16700"</f>
        <v>16700</v>
      </c>
      <c r="B81">
        <v>8939</v>
      </c>
      <c r="C81">
        <v>2</v>
      </c>
      <c r="D81" t="str">
        <f>" "</f>
        <v xml:space="preserve"> </v>
      </c>
      <c r="E81"/>
      <c r="F81" s="19">
        <v>42388.627847222226</v>
      </c>
      <c r="G81" s="1">
        <v>42404</v>
      </c>
      <c r="H81">
        <v>3</v>
      </c>
      <c r="I81">
        <v>3</v>
      </c>
      <c r="J81"/>
      <c r="K81"/>
      <c r="L81"/>
      <c r="M81" s="1">
        <v>42398</v>
      </c>
      <c r="N81" t="s">
        <v>101</v>
      </c>
      <c r="O81"/>
      <c r="P81"/>
      <c r="Q81"/>
    </row>
    <row r="82" spans="1:17" x14ac:dyDescent="0.3">
      <c r="A82" t="str">
        <f>"16700"</f>
        <v>16700</v>
      </c>
      <c r="B82">
        <v>9052</v>
      </c>
      <c r="C82">
        <v>3</v>
      </c>
      <c r="D82" t="str">
        <f>" "</f>
        <v xml:space="preserve"> </v>
      </c>
      <c r="E82"/>
      <c r="F82" s="19">
        <v>42388.627847222226</v>
      </c>
      <c r="G82" s="1">
        <v>42404</v>
      </c>
      <c r="H82">
        <v>3</v>
      </c>
      <c r="I82">
        <v>3</v>
      </c>
      <c r="J82"/>
      <c r="K82"/>
      <c r="L82"/>
      <c r="M82" s="1">
        <v>42398</v>
      </c>
      <c r="N82" t="s">
        <v>101</v>
      </c>
      <c r="O82"/>
      <c r="P82"/>
      <c r="Q82"/>
    </row>
    <row r="83" spans="1:17" x14ac:dyDescent="0.3">
      <c r="A83" t="str">
        <f>"16700"</f>
        <v>16700</v>
      </c>
      <c r="B83">
        <v>9165</v>
      </c>
      <c r="C83">
        <v>4</v>
      </c>
      <c r="D83" t="str">
        <f>" "</f>
        <v xml:space="preserve"> </v>
      </c>
      <c r="E83"/>
      <c r="F83" s="19">
        <v>42388.627847222226</v>
      </c>
      <c r="G83" s="1">
        <v>42404</v>
      </c>
      <c r="H83">
        <v>1</v>
      </c>
      <c r="I83">
        <v>1</v>
      </c>
      <c r="J83"/>
      <c r="K83"/>
      <c r="L83"/>
      <c r="M83" s="1">
        <v>42398</v>
      </c>
      <c r="N83" t="s">
        <v>101</v>
      </c>
      <c r="O83"/>
      <c r="P83"/>
      <c r="Q83"/>
    </row>
    <row r="84" spans="1:17" x14ac:dyDescent="0.3">
      <c r="A84" t="str">
        <f>"16700"</f>
        <v>16700</v>
      </c>
      <c r="B84">
        <v>9278</v>
      </c>
      <c r="C84">
        <v>5</v>
      </c>
      <c r="D84" t="str">
        <f>" "</f>
        <v xml:space="preserve"> </v>
      </c>
      <c r="E84"/>
      <c r="F84" s="19">
        <v>42388.627847222226</v>
      </c>
      <c r="G84" s="1">
        <v>42404</v>
      </c>
      <c r="H84">
        <v>1</v>
      </c>
      <c r="I84">
        <v>1</v>
      </c>
      <c r="J84"/>
      <c r="K84"/>
      <c r="L84"/>
      <c r="M84" s="1">
        <v>42398</v>
      </c>
      <c r="N84" t="s">
        <v>101</v>
      </c>
      <c r="O84"/>
      <c r="P84"/>
      <c r="Q84"/>
    </row>
    <row r="85" spans="1:17" x14ac:dyDescent="0.3">
      <c r="A85" t="str">
        <f>"16705"</f>
        <v>16705</v>
      </c>
      <c r="B85">
        <v>9391</v>
      </c>
      <c r="C85">
        <v>1</v>
      </c>
      <c r="D85" t="str">
        <f>" "</f>
        <v xml:space="preserve"> </v>
      </c>
      <c r="E85"/>
      <c r="F85" s="19">
        <v>42389.619293981479</v>
      </c>
      <c r="G85" s="1">
        <v>42405</v>
      </c>
      <c r="H85">
        <v>2</v>
      </c>
      <c r="I85">
        <v>2</v>
      </c>
      <c r="J85"/>
      <c r="K85"/>
      <c r="L85"/>
      <c r="M85" s="1">
        <v>42417</v>
      </c>
      <c r="N85" t="s">
        <v>101</v>
      </c>
      <c r="O85"/>
      <c r="P85"/>
      <c r="Q85"/>
    </row>
    <row r="86" spans="1:17" x14ac:dyDescent="0.3">
      <c r="A86" t="str">
        <f>"16705"</f>
        <v>16705</v>
      </c>
      <c r="B86">
        <v>9504</v>
      </c>
      <c r="C86">
        <v>2</v>
      </c>
      <c r="D86" t="str">
        <f>" "</f>
        <v xml:space="preserve"> </v>
      </c>
      <c r="E86"/>
      <c r="F86" s="19">
        <v>42389.619293981479</v>
      </c>
      <c r="G86" s="1">
        <v>42405</v>
      </c>
      <c r="H86">
        <v>2</v>
      </c>
      <c r="I86">
        <v>2</v>
      </c>
      <c r="J86"/>
      <c r="K86"/>
      <c r="L86"/>
      <c r="M86" s="1">
        <v>42417</v>
      </c>
      <c r="N86" t="s">
        <v>101</v>
      </c>
      <c r="O86"/>
      <c r="P86"/>
      <c r="Q86"/>
    </row>
    <row r="87" spans="1:17" x14ac:dyDescent="0.3">
      <c r="A87" t="str">
        <f>"16635"</f>
        <v>16635</v>
      </c>
      <c r="B87">
        <v>9617</v>
      </c>
      <c r="C87">
        <v>1</v>
      </c>
      <c r="D87" t="str">
        <f>" "</f>
        <v xml:space="preserve"> </v>
      </c>
      <c r="E87"/>
      <c r="F87" s="19">
        <v>42354.406828703701</v>
      </c>
      <c r="G87" s="1">
        <v>42408</v>
      </c>
      <c r="H87">
        <v>1</v>
      </c>
      <c r="I87">
        <v>1</v>
      </c>
      <c r="J87"/>
      <c r="K87"/>
      <c r="L87"/>
      <c r="M87" s="1">
        <v>42405</v>
      </c>
      <c r="N87" t="s">
        <v>101</v>
      </c>
      <c r="O87"/>
      <c r="P87"/>
      <c r="Q87"/>
    </row>
    <row r="88" spans="1:17" x14ac:dyDescent="0.3">
      <c r="A88" t="str">
        <f>"16717"</f>
        <v>16717</v>
      </c>
      <c r="B88">
        <v>9730</v>
      </c>
      <c r="C88">
        <v>1</v>
      </c>
      <c r="D88" t="str">
        <f>" "</f>
        <v xml:space="preserve"> </v>
      </c>
      <c r="E88"/>
      <c r="F88" s="19">
        <v>42396.376712962963</v>
      </c>
      <c r="G88" s="1">
        <v>42409</v>
      </c>
      <c r="H88">
        <v>2</v>
      </c>
      <c r="I88">
        <v>2</v>
      </c>
      <c r="J88"/>
      <c r="K88"/>
      <c r="L88"/>
      <c r="M88" s="1">
        <v>42419</v>
      </c>
      <c r="N88" t="s">
        <v>101</v>
      </c>
      <c r="O88"/>
      <c r="P88"/>
      <c r="Q88"/>
    </row>
    <row r="89" spans="1:17" x14ac:dyDescent="0.3">
      <c r="A89" t="str">
        <f>"16699"</f>
        <v>16699</v>
      </c>
      <c r="B89">
        <v>9843</v>
      </c>
      <c r="C89">
        <v>1</v>
      </c>
      <c r="D89" t="str">
        <f>" "</f>
        <v xml:space="preserve"> </v>
      </c>
      <c r="E89"/>
      <c r="F89" s="19">
        <v>42388.571840277778</v>
      </c>
      <c r="G89" s="1">
        <v>42409</v>
      </c>
      <c r="H89">
        <v>1</v>
      </c>
      <c r="I89">
        <v>1</v>
      </c>
      <c r="J89"/>
      <c r="K89"/>
      <c r="L89"/>
      <c r="M89" s="1">
        <v>42405</v>
      </c>
      <c r="N89" t="s">
        <v>101</v>
      </c>
      <c r="O89"/>
      <c r="P89"/>
      <c r="Q89"/>
    </row>
    <row r="90" spans="1:17" x14ac:dyDescent="0.3">
      <c r="A90" t="str">
        <f>"16753"</f>
        <v>16753</v>
      </c>
      <c r="B90">
        <v>9956</v>
      </c>
      <c r="C90">
        <v>1</v>
      </c>
      <c r="D90" t="str">
        <f>" "</f>
        <v xml:space="preserve"> </v>
      </c>
      <c r="E90"/>
      <c r="F90" s="19">
        <v>42408.317175925928</v>
      </c>
      <c r="G90" s="1">
        <v>42410</v>
      </c>
      <c r="H90">
        <v>2</v>
      </c>
      <c r="I90">
        <v>2</v>
      </c>
      <c r="J90"/>
      <c r="K90"/>
      <c r="L90"/>
      <c r="M90" s="1">
        <v>42433</v>
      </c>
      <c r="N90" t="s">
        <v>101</v>
      </c>
      <c r="O90"/>
      <c r="P90"/>
      <c r="Q90"/>
    </row>
    <row r="91" spans="1:17" x14ac:dyDescent="0.3">
      <c r="A91" t="str">
        <f>"16718"</f>
        <v>16718</v>
      </c>
      <c r="B91">
        <v>10069</v>
      </c>
      <c r="C91">
        <v>1</v>
      </c>
      <c r="D91" t="str">
        <f>" "</f>
        <v xml:space="preserve"> </v>
      </c>
      <c r="E91"/>
      <c r="F91" s="19">
        <v>42396.387037037035</v>
      </c>
      <c r="G91" s="1">
        <v>42410</v>
      </c>
      <c r="H91">
        <v>1</v>
      </c>
      <c r="I91">
        <v>1</v>
      </c>
      <c r="J91"/>
      <c r="K91"/>
      <c r="L91"/>
      <c r="M91" s="1">
        <v>42433</v>
      </c>
      <c r="N91" t="s">
        <v>101</v>
      </c>
      <c r="O91"/>
      <c r="P91"/>
      <c r="Q91"/>
    </row>
    <row r="92" spans="1:17" x14ac:dyDescent="0.3">
      <c r="A92" t="str">
        <f>"16691"</f>
        <v>16691</v>
      </c>
      <c r="B92">
        <v>10182</v>
      </c>
      <c r="C92">
        <v>1</v>
      </c>
      <c r="D92" t="str">
        <f>" "</f>
        <v xml:space="preserve"> </v>
      </c>
      <c r="E92"/>
      <c r="F92" s="19">
        <v>42384.362476851849</v>
      </c>
      <c r="G92" s="1">
        <v>42410</v>
      </c>
      <c r="H92">
        <v>2</v>
      </c>
      <c r="I92">
        <v>2</v>
      </c>
      <c r="J92"/>
      <c r="K92"/>
      <c r="L92"/>
      <c r="M92" s="1">
        <v>42412</v>
      </c>
      <c r="N92" t="s">
        <v>101</v>
      </c>
      <c r="O92"/>
      <c r="P92"/>
      <c r="Q92"/>
    </row>
    <row r="93" spans="1:17" x14ac:dyDescent="0.3">
      <c r="A93" t="str">
        <f>"16758"</f>
        <v>16758</v>
      </c>
      <c r="B93">
        <v>10295</v>
      </c>
      <c r="C93">
        <v>1</v>
      </c>
      <c r="D93" t="str">
        <f>" "</f>
        <v xml:space="preserve"> </v>
      </c>
      <c r="E93"/>
      <c r="F93" s="19">
        <v>42411.362523148149</v>
      </c>
      <c r="G93" s="1">
        <v>42411</v>
      </c>
      <c r="H93">
        <v>1</v>
      </c>
      <c r="I93">
        <v>1</v>
      </c>
      <c r="J93"/>
      <c r="K93"/>
      <c r="L93"/>
      <c r="M93" s="1">
        <v>42411</v>
      </c>
      <c r="N93" t="s">
        <v>101</v>
      </c>
      <c r="O93"/>
      <c r="P93"/>
      <c r="Q93"/>
    </row>
    <row r="94" spans="1:17" x14ac:dyDescent="0.3">
      <c r="A94" t="str">
        <f>"16756"</f>
        <v>16756</v>
      </c>
      <c r="B94">
        <v>10408</v>
      </c>
      <c r="C94">
        <v>1</v>
      </c>
      <c r="D94" t="str">
        <f>" "</f>
        <v xml:space="preserve"> </v>
      </c>
      <c r="E94"/>
      <c r="F94" s="19">
        <v>42409.656782407408</v>
      </c>
      <c r="G94" s="1">
        <v>42411</v>
      </c>
      <c r="H94">
        <v>1</v>
      </c>
      <c r="I94">
        <v>1</v>
      </c>
      <c r="J94"/>
      <c r="K94"/>
      <c r="L94"/>
      <c r="M94" s="1">
        <v>42412</v>
      </c>
      <c r="N94" t="s">
        <v>101</v>
      </c>
      <c r="O94"/>
      <c r="P94"/>
      <c r="Q94"/>
    </row>
    <row r="95" spans="1:17" x14ac:dyDescent="0.3">
      <c r="A95" t="str">
        <f>"16755"</f>
        <v>16755</v>
      </c>
      <c r="B95">
        <v>10521</v>
      </c>
      <c r="C95">
        <v>1</v>
      </c>
      <c r="D95" t="str">
        <f>" "</f>
        <v xml:space="preserve"> </v>
      </c>
      <c r="E95"/>
      <c r="F95" s="19">
        <v>42408.45380787037</v>
      </c>
      <c r="G95" s="1">
        <v>42411</v>
      </c>
      <c r="H95">
        <v>1</v>
      </c>
      <c r="I95">
        <v>1</v>
      </c>
      <c r="J95"/>
      <c r="K95"/>
      <c r="L95"/>
      <c r="M95" s="1">
        <v>42411</v>
      </c>
      <c r="N95" t="s">
        <v>101</v>
      </c>
      <c r="O95"/>
      <c r="P95"/>
      <c r="Q95"/>
    </row>
    <row r="96" spans="1:17" x14ac:dyDescent="0.3">
      <c r="A96" t="str">
        <f>"16755"</f>
        <v>16755</v>
      </c>
      <c r="B96">
        <v>10634</v>
      </c>
      <c r="C96">
        <v>2</v>
      </c>
      <c r="D96" t="str">
        <f>" "</f>
        <v xml:space="preserve"> </v>
      </c>
      <c r="E96"/>
      <c r="F96" s="19">
        <v>42408.45380787037</v>
      </c>
      <c r="G96" s="1">
        <v>42411</v>
      </c>
      <c r="H96">
        <v>1</v>
      </c>
      <c r="I96">
        <v>1</v>
      </c>
      <c r="J96"/>
      <c r="K96"/>
      <c r="L96"/>
      <c r="M96" s="1">
        <v>42411</v>
      </c>
      <c r="N96" t="s">
        <v>101</v>
      </c>
      <c r="O96"/>
      <c r="P96"/>
      <c r="Q96"/>
    </row>
    <row r="97" spans="1:17" x14ac:dyDescent="0.3">
      <c r="A97" t="str">
        <f>"16755"</f>
        <v>16755</v>
      </c>
      <c r="B97">
        <v>10747</v>
      </c>
      <c r="C97">
        <v>3</v>
      </c>
      <c r="D97" t="str">
        <f>" "</f>
        <v xml:space="preserve"> </v>
      </c>
      <c r="E97"/>
      <c r="F97" s="19">
        <v>42408.45380787037</v>
      </c>
      <c r="G97" s="1">
        <v>42411</v>
      </c>
      <c r="H97">
        <v>1</v>
      </c>
      <c r="I97">
        <v>1</v>
      </c>
      <c r="J97"/>
      <c r="K97"/>
      <c r="L97"/>
      <c r="M97" s="1">
        <v>42411</v>
      </c>
      <c r="N97" t="s">
        <v>101</v>
      </c>
      <c r="O97"/>
      <c r="P97"/>
      <c r="Q97"/>
    </row>
    <row r="98" spans="1:17" x14ac:dyDescent="0.3">
      <c r="A98" t="str">
        <f>"16755"</f>
        <v>16755</v>
      </c>
      <c r="B98">
        <v>10860</v>
      </c>
      <c r="C98">
        <v>4</v>
      </c>
      <c r="D98" t="str">
        <f>" "</f>
        <v xml:space="preserve"> </v>
      </c>
      <c r="E98"/>
      <c r="F98" s="19">
        <v>42408.45380787037</v>
      </c>
      <c r="G98" s="1">
        <v>42411</v>
      </c>
      <c r="H98">
        <v>1</v>
      </c>
      <c r="I98">
        <v>1</v>
      </c>
      <c r="J98"/>
      <c r="K98"/>
      <c r="L98"/>
      <c r="M98" s="1">
        <v>42411</v>
      </c>
      <c r="N98" t="s">
        <v>101</v>
      </c>
      <c r="O98"/>
      <c r="P98"/>
      <c r="Q98"/>
    </row>
    <row r="99" spans="1:17" x14ac:dyDescent="0.3">
      <c r="A99" t="str">
        <f>"16755"</f>
        <v>16755</v>
      </c>
      <c r="B99">
        <v>10973</v>
      </c>
      <c r="C99">
        <v>5</v>
      </c>
      <c r="D99" t="str">
        <f>" "</f>
        <v xml:space="preserve"> </v>
      </c>
      <c r="E99"/>
      <c r="F99" s="19">
        <v>42408.45380787037</v>
      </c>
      <c r="G99" s="1">
        <v>42411</v>
      </c>
      <c r="H99">
        <v>1</v>
      </c>
      <c r="I99">
        <v>1</v>
      </c>
      <c r="J99"/>
      <c r="K99"/>
      <c r="L99"/>
      <c r="M99" s="1">
        <v>42411</v>
      </c>
      <c r="N99" t="s">
        <v>101</v>
      </c>
      <c r="O99"/>
      <c r="P99"/>
      <c r="Q99"/>
    </row>
    <row r="100" spans="1:17" x14ac:dyDescent="0.3">
      <c r="A100" t="str">
        <f>"16755"</f>
        <v>16755</v>
      </c>
      <c r="B100">
        <v>11086</v>
      </c>
      <c r="C100">
        <v>6</v>
      </c>
      <c r="D100" t="str">
        <f>" "</f>
        <v xml:space="preserve"> </v>
      </c>
      <c r="E100"/>
      <c r="F100" s="19">
        <v>42408.45380787037</v>
      </c>
      <c r="G100" s="1">
        <v>42411</v>
      </c>
      <c r="H100">
        <v>1</v>
      </c>
      <c r="I100">
        <v>1</v>
      </c>
      <c r="J100"/>
      <c r="K100"/>
      <c r="L100"/>
      <c r="M100" s="1">
        <v>42411</v>
      </c>
      <c r="N100" t="s">
        <v>101</v>
      </c>
      <c r="O100"/>
      <c r="P100"/>
      <c r="Q100"/>
    </row>
    <row r="101" spans="1:17" x14ac:dyDescent="0.3">
      <c r="A101" t="str">
        <f>"16722"</f>
        <v>16722</v>
      </c>
      <c r="B101">
        <v>11199</v>
      </c>
      <c r="C101">
        <v>1</v>
      </c>
      <c r="D101" t="str">
        <f>" "</f>
        <v xml:space="preserve"> </v>
      </c>
      <c r="E101"/>
      <c r="F101" s="19">
        <v>42396.550011574072</v>
      </c>
      <c r="G101" s="1">
        <v>42411</v>
      </c>
      <c r="H101">
        <v>2</v>
      </c>
      <c r="I101">
        <v>2</v>
      </c>
      <c r="J101"/>
      <c r="K101"/>
      <c r="L101"/>
      <c r="M101" s="1">
        <v>42412</v>
      </c>
      <c r="N101" t="s">
        <v>101</v>
      </c>
      <c r="O101"/>
      <c r="P101"/>
      <c r="Q101"/>
    </row>
    <row r="102" spans="1:17" x14ac:dyDescent="0.3">
      <c r="A102" t="str">
        <f>"16678"</f>
        <v>16678</v>
      </c>
      <c r="B102">
        <v>11312</v>
      </c>
      <c r="C102">
        <v>1</v>
      </c>
      <c r="D102" t="str">
        <f>" "</f>
        <v xml:space="preserve"> </v>
      </c>
      <c r="E102"/>
      <c r="F102" s="19">
        <v>42380.317094907405</v>
      </c>
      <c r="G102" s="1">
        <v>42411</v>
      </c>
      <c r="H102">
        <v>2</v>
      </c>
      <c r="I102">
        <v>2</v>
      </c>
      <c r="J102"/>
      <c r="K102"/>
      <c r="L102"/>
      <c r="M102"/>
      <c r="N102" t="s">
        <v>101</v>
      </c>
      <c r="O102"/>
      <c r="P102"/>
      <c r="Q102"/>
    </row>
    <row r="103" spans="1:17" x14ac:dyDescent="0.3">
      <c r="A103" t="str">
        <f>"16310"</f>
        <v>16310</v>
      </c>
      <c r="B103">
        <v>11425</v>
      </c>
      <c r="C103">
        <v>1</v>
      </c>
      <c r="D103" t="str">
        <f>" "</f>
        <v xml:space="preserve"> </v>
      </c>
      <c r="E103"/>
      <c r="F103" s="19">
        <v>42173.466469907406</v>
      </c>
      <c r="G103" s="1">
        <v>42411</v>
      </c>
      <c r="H103">
        <v>3</v>
      </c>
      <c r="I103">
        <v>3</v>
      </c>
      <c r="J103"/>
      <c r="K103"/>
      <c r="L103"/>
      <c r="M103" s="1">
        <v>42188</v>
      </c>
      <c r="N103" t="s">
        <v>101</v>
      </c>
      <c r="O103"/>
      <c r="P103"/>
      <c r="Q103"/>
    </row>
    <row r="104" spans="1:17" x14ac:dyDescent="0.3">
      <c r="A104" t="str">
        <f>"16754"</f>
        <v>16754</v>
      </c>
      <c r="B104">
        <v>11538</v>
      </c>
      <c r="C104">
        <v>1</v>
      </c>
      <c r="D104" t="str">
        <f>" "</f>
        <v xml:space="preserve"> </v>
      </c>
      <c r="E104"/>
      <c r="F104" s="19">
        <v>42408.371238425927</v>
      </c>
      <c r="G104" s="1">
        <v>42412</v>
      </c>
      <c r="H104">
        <v>1</v>
      </c>
      <c r="I104">
        <v>1</v>
      </c>
      <c r="J104"/>
      <c r="K104"/>
      <c r="L104"/>
      <c r="M104" s="1">
        <v>42419</v>
      </c>
      <c r="N104" t="s">
        <v>101</v>
      </c>
      <c r="O104"/>
      <c r="P104"/>
      <c r="Q104"/>
    </row>
    <row r="105" spans="1:17" x14ac:dyDescent="0.3">
      <c r="A105" t="str">
        <f>"16766"</f>
        <v>16766</v>
      </c>
      <c r="B105">
        <v>11651</v>
      </c>
      <c r="C105">
        <v>1</v>
      </c>
      <c r="D105" t="str">
        <f>" "</f>
        <v xml:space="preserve"> </v>
      </c>
      <c r="E105"/>
      <c r="F105" s="19">
        <v>42415.463541666664</v>
      </c>
      <c r="G105" s="1">
        <v>42415</v>
      </c>
      <c r="H105">
        <v>8</v>
      </c>
      <c r="I105">
        <v>8</v>
      </c>
      <c r="J105"/>
      <c r="K105"/>
      <c r="L105"/>
      <c r="M105" s="1">
        <v>42415</v>
      </c>
      <c r="N105" t="s">
        <v>101</v>
      </c>
      <c r="O105"/>
      <c r="P105"/>
      <c r="Q105"/>
    </row>
    <row r="106" spans="1:17" x14ac:dyDescent="0.3">
      <c r="A106" t="str">
        <f>"16765"</f>
        <v>16765</v>
      </c>
      <c r="B106">
        <v>11764</v>
      </c>
      <c r="C106">
        <v>1</v>
      </c>
      <c r="D106" t="str">
        <f>" "</f>
        <v xml:space="preserve"> </v>
      </c>
      <c r="E106"/>
      <c r="F106" s="19">
        <v>42415.404918981483</v>
      </c>
      <c r="G106" s="1">
        <v>42416</v>
      </c>
      <c r="H106">
        <v>1</v>
      </c>
      <c r="I106">
        <v>1</v>
      </c>
      <c r="J106"/>
      <c r="K106"/>
      <c r="L106"/>
      <c r="M106" s="1">
        <v>42415</v>
      </c>
      <c r="N106" t="s">
        <v>101</v>
      </c>
      <c r="O106"/>
      <c r="P106"/>
      <c r="Q106"/>
    </row>
    <row r="107" spans="1:17" x14ac:dyDescent="0.3">
      <c r="A107" t="str">
        <f>"16716"</f>
        <v>16716</v>
      </c>
      <c r="B107">
        <v>11877</v>
      </c>
      <c r="C107">
        <v>1</v>
      </c>
      <c r="D107" t="str">
        <f>" "</f>
        <v xml:space="preserve"> </v>
      </c>
      <c r="E107"/>
      <c r="F107" s="19">
        <v>42396.36928240741</v>
      </c>
      <c r="G107" s="1">
        <v>42416</v>
      </c>
      <c r="H107">
        <v>200</v>
      </c>
      <c r="I107">
        <v>200</v>
      </c>
      <c r="J107"/>
      <c r="K107"/>
      <c r="L107"/>
      <c r="M107" s="1">
        <v>42454</v>
      </c>
      <c r="N107" t="s">
        <v>101</v>
      </c>
      <c r="O107"/>
      <c r="P107"/>
      <c r="Q107"/>
    </row>
    <row r="108" spans="1:17" x14ac:dyDescent="0.3">
      <c r="A108" t="str">
        <f>"16715"</f>
        <v>16715</v>
      </c>
      <c r="B108">
        <v>11990</v>
      </c>
      <c r="C108">
        <v>1</v>
      </c>
      <c r="D108" t="str">
        <f>" "</f>
        <v xml:space="preserve"> </v>
      </c>
      <c r="E108"/>
      <c r="F108" s="19">
        <v>42396.361041666663</v>
      </c>
      <c r="G108" s="1">
        <v>42416</v>
      </c>
      <c r="H108">
        <v>1300</v>
      </c>
      <c r="I108">
        <v>1300</v>
      </c>
      <c r="J108"/>
      <c r="K108"/>
      <c r="L108"/>
      <c r="M108" s="1">
        <v>42454</v>
      </c>
      <c r="N108" t="s">
        <v>101</v>
      </c>
      <c r="O108"/>
      <c r="P108"/>
      <c r="Q108"/>
    </row>
    <row r="109" spans="1:17" x14ac:dyDescent="0.3">
      <c r="A109" t="str">
        <f>"16679"</f>
        <v>16679</v>
      </c>
      <c r="B109">
        <v>12103</v>
      </c>
      <c r="C109">
        <v>1</v>
      </c>
      <c r="D109" t="str">
        <f>" "</f>
        <v xml:space="preserve"> </v>
      </c>
      <c r="E109"/>
      <c r="F109" s="19">
        <v>42380.580451388887</v>
      </c>
      <c r="G109" s="1">
        <v>42416</v>
      </c>
      <c r="H109">
        <v>1</v>
      </c>
      <c r="I109">
        <v>1</v>
      </c>
      <c r="J109"/>
      <c r="K109"/>
      <c r="L109"/>
      <c r="M109" s="1">
        <v>42443</v>
      </c>
      <c r="N109" t="s">
        <v>101</v>
      </c>
      <c r="O109"/>
      <c r="P109"/>
      <c r="Q109"/>
    </row>
    <row r="110" spans="1:17" x14ac:dyDescent="0.3">
      <c r="A110" t="str">
        <f>"16679"</f>
        <v>16679</v>
      </c>
      <c r="B110">
        <v>12216</v>
      </c>
      <c r="C110">
        <v>2</v>
      </c>
      <c r="D110" t="str">
        <f>" "</f>
        <v xml:space="preserve"> </v>
      </c>
      <c r="E110"/>
      <c r="F110" s="19">
        <v>42380.580451388887</v>
      </c>
      <c r="G110" s="1">
        <v>42416</v>
      </c>
      <c r="H110">
        <v>3</v>
      </c>
      <c r="I110">
        <v>3</v>
      </c>
      <c r="J110"/>
      <c r="K110"/>
      <c r="L110"/>
      <c r="M110" s="1">
        <v>42443</v>
      </c>
      <c r="N110" t="s">
        <v>101</v>
      </c>
      <c r="O110"/>
      <c r="P110"/>
      <c r="Q110"/>
    </row>
    <row r="111" spans="1:17" x14ac:dyDescent="0.3">
      <c r="A111" t="str">
        <f>"16663"</f>
        <v>16663</v>
      </c>
      <c r="B111">
        <v>12329</v>
      </c>
      <c r="C111">
        <v>1</v>
      </c>
      <c r="D111" t="str">
        <f>" "</f>
        <v xml:space="preserve"> </v>
      </c>
      <c r="E111"/>
      <c r="F111" s="19">
        <v>42361.640648148146</v>
      </c>
      <c r="G111" s="1">
        <v>42416</v>
      </c>
      <c r="H111">
        <v>3</v>
      </c>
      <c r="I111">
        <v>3</v>
      </c>
      <c r="J111"/>
      <c r="K111"/>
      <c r="L111"/>
      <c r="M111" s="1">
        <v>42398</v>
      </c>
      <c r="N111" t="s">
        <v>101</v>
      </c>
      <c r="O111"/>
      <c r="P111"/>
      <c r="Q111"/>
    </row>
    <row r="112" spans="1:17" x14ac:dyDescent="0.3">
      <c r="A112" t="str">
        <f>"16626"</f>
        <v>16626</v>
      </c>
      <c r="B112">
        <v>12442</v>
      </c>
      <c r="C112">
        <v>1</v>
      </c>
      <c r="D112" t="str">
        <f>" "</f>
        <v xml:space="preserve"> </v>
      </c>
      <c r="E112"/>
      <c r="F112" s="19">
        <v>42349.484432870369</v>
      </c>
      <c r="G112" s="1">
        <v>42417</v>
      </c>
      <c r="H112">
        <v>1</v>
      </c>
      <c r="I112">
        <v>1</v>
      </c>
      <c r="J112"/>
      <c r="K112"/>
      <c r="L112"/>
      <c r="M112" s="1">
        <v>42410</v>
      </c>
      <c r="N112" t="s">
        <v>101</v>
      </c>
      <c r="O112"/>
      <c r="P112"/>
      <c r="Q112"/>
    </row>
    <row r="113" spans="1:17" x14ac:dyDescent="0.3">
      <c r="A113" t="str">
        <f>"16594"</f>
        <v>16594</v>
      </c>
      <c r="B113">
        <v>12555</v>
      </c>
      <c r="C113">
        <v>1</v>
      </c>
      <c r="D113" t="str">
        <f>" "</f>
        <v xml:space="preserve"> </v>
      </c>
      <c r="E113"/>
      <c r="F113" s="19">
        <v>42333.684849537036</v>
      </c>
      <c r="G113" s="1">
        <v>42417</v>
      </c>
      <c r="H113">
        <v>2</v>
      </c>
      <c r="I113">
        <v>2</v>
      </c>
      <c r="J113"/>
      <c r="K113"/>
      <c r="L113"/>
      <c r="M113" s="1">
        <v>42380</v>
      </c>
      <c r="N113" t="s">
        <v>101</v>
      </c>
      <c r="O113"/>
      <c r="P113"/>
      <c r="Q113"/>
    </row>
    <row r="114" spans="1:17" x14ac:dyDescent="0.3">
      <c r="A114" t="str">
        <f>"16743"</f>
        <v>16743</v>
      </c>
      <c r="B114">
        <v>12668</v>
      </c>
      <c r="C114">
        <v>1</v>
      </c>
      <c r="D114" t="str">
        <f>" "</f>
        <v xml:space="preserve"> </v>
      </c>
      <c r="E114"/>
      <c r="F114" s="19">
        <v>42402.371840277781</v>
      </c>
      <c r="G114" s="1">
        <v>42418</v>
      </c>
      <c r="H114">
        <v>1</v>
      </c>
      <c r="I114">
        <v>1</v>
      </c>
      <c r="J114"/>
      <c r="K114"/>
      <c r="L114"/>
      <c r="M114" s="1">
        <v>42433</v>
      </c>
      <c r="N114" t="s">
        <v>101</v>
      </c>
      <c r="O114"/>
      <c r="P114"/>
      <c r="Q114"/>
    </row>
    <row r="115" spans="1:17" x14ac:dyDescent="0.3">
      <c r="A115" t="str">
        <f>"16741"</f>
        <v>16741</v>
      </c>
      <c r="B115">
        <v>12781</v>
      </c>
      <c r="C115">
        <v>1</v>
      </c>
      <c r="D115" t="str">
        <f>" "</f>
        <v xml:space="preserve"> </v>
      </c>
      <c r="E115"/>
      <c r="F115" s="19">
        <v>42401.536446759259</v>
      </c>
      <c r="G115" s="1">
        <v>42418</v>
      </c>
      <c r="H115">
        <v>1</v>
      </c>
      <c r="I115">
        <v>1</v>
      </c>
      <c r="J115"/>
      <c r="K115"/>
      <c r="L115"/>
      <c r="M115" s="1">
        <v>42415</v>
      </c>
      <c r="N115" t="s">
        <v>101</v>
      </c>
      <c r="O115"/>
      <c r="P115"/>
      <c r="Q115"/>
    </row>
    <row r="116" spans="1:17" x14ac:dyDescent="0.3">
      <c r="A116" t="str">
        <f>"16735"</f>
        <v>16735</v>
      </c>
      <c r="B116">
        <v>12894</v>
      </c>
      <c r="C116">
        <v>1</v>
      </c>
      <c r="D116" t="str">
        <f>" "</f>
        <v xml:space="preserve"> </v>
      </c>
      <c r="E116"/>
      <c r="F116" s="19">
        <v>42398.516516203701</v>
      </c>
      <c r="G116" s="1">
        <v>42418</v>
      </c>
      <c r="H116">
        <v>3</v>
      </c>
      <c r="I116">
        <v>3</v>
      </c>
      <c r="J116"/>
      <c r="K116"/>
      <c r="L116"/>
      <c r="M116" s="1">
        <v>42447</v>
      </c>
      <c r="N116" t="s">
        <v>101</v>
      </c>
      <c r="O116"/>
      <c r="P116"/>
      <c r="Q116"/>
    </row>
    <row r="117" spans="1:17" x14ac:dyDescent="0.3">
      <c r="A117" t="str">
        <f>"16666"</f>
        <v>16666</v>
      </c>
      <c r="B117">
        <v>13007</v>
      </c>
      <c r="C117">
        <v>1</v>
      </c>
      <c r="D117" t="str">
        <f>" "</f>
        <v xml:space="preserve"> </v>
      </c>
      <c r="E117"/>
      <c r="F117" s="19">
        <v>42373.388645833336</v>
      </c>
      <c r="G117" s="1">
        <v>42418</v>
      </c>
      <c r="H117">
        <v>2</v>
      </c>
      <c r="I117">
        <v>2</v>
      </c>
      <c r="J117"/>
      <c r="K117"/>
      <c r="L117"/>
      <c r="M117" s="1">
        <v>42419</v>
      </c>
      <c r="N117" t="s">
        <v>101</v>
      </c>
      <c r="O117"/>
      <c r="P117"/>
      <c r="Q117"/>
    </row>
    <row r="118" spans="1:17" x14ac:dyDescent="0.3">
      <c r="A118" t="str">
        <f>"16659"</f>
        <v>16659</v>
      </c>
      <c r="B118">
        <v>13120</v>
      </c>
      <c r="C118">
        <v>1</v>
      </c>
      <c r="D118" t="str">
        <f>" "</f>
        <v xml:space="preserve"> </v>
      </c>
      <c r="E118"/>
      <c r="F118" s="19">
        <v>42361.353055555555</v>
      </c>
      <c r="G118" s="1">
        <v>42418</v>
      </c>
      <c r="H118">
        <v>3</v>
      </c>
      <c r="I118">
        <v>3</v>
      </c>
      <c r="J118"/>
      <c r="K118"/>
      <c r="L118"/>
      <c r="M118" s="1">
        <v>42395</v>
      </c>
      <c r="N118" t="s">
        <v>101</v>
      </c>
      <c r="O118"/>
      <c r="P118"/>
      <c r="Q118"/>
    </row>
    <row r="119" spans="1:17" x14ac:dyDescent="0.3">
      <c r="A119" t="str">
        <f>"16653"</f>
        <v>16653</v>
      </c>
      <c r="B119">
        <v>13233</v>
      </c>
      <c r="C119">
        <v>1</v>
      </c>
      <c r="D119" t="str">
        <f>" "</f>
        <v xml:space="preserve"> </v>
      </c>
      <c r="E119"/>
      <c r="F119" s="19">
        <v>42356.512650462966</v>
      </c>
      <c r="G119" s="1">
        <v>42418</v>
      </c>
      <c r="H119">
        <v>10</v>
      </c>
      <c r="I119">
        <v>10</v>
      </c>
      <c r="J119"/>
      <c r="K119"/>
      <c r="L119"/>
      <c r="M119" s="1">
        <v>42419</v>
      </c>
      <c r="N119" t="s">
        <v>101</v>
      </c>
      <c r="O119"/>
      <c r="P119"/>
      <c r="Q119"/>
    </row>
    <row r="120" spans="1:17" x14ac:dyDescent="0.3">
      <c r="A120" t="str">
        <f>"16648"</f>
        <v>16648</v>
      </c>
      <c r="B120">
        <v>13346</v>
      </c>
      <c r="C120">
        <v>1</v>
      </c>
      <c r="D120" t="str">
        <f>" "</f>
        <v xml:space="preserve"> </v>
      </c>
      <c r="E120"/>
      <c r="F120" s="19">
        <v>42356.412430555552</v>
      </c>
      <c r="G120" s="1">
        <v>42418</v>
      </c>
      <c r="H120">
        <v>2</v>
      </c>
      <c r="I120">
        <v>2</v>
      </c>
      <c r="J120"/>
      <c r="K120"/>
      <c r="L120"/>
      <c r="M120" s="1">
        <v>42419</v>
      </c>
      <c r="N120" t="s">
        <v>101</v>
      </c>
      <c r="O120"/>
      <c r="P120"/>
      <c r="Q120"/>
    </row>
    <row r="121" spans="1:17" x14ac:dyDescent="0.3">
      <c r="A121" t="str">
        <f>"16746"</f>
        <v>16746</v>
      </c>
      <c r="B121">
        <v>13459</v>
      </c>
      <c r="C121">
        <v>1</v>
      </c>
      <c r="D121" t="str">
        <f>" "</f>
        <v xml:space="preserve"> </v>
      </c>
      <c r="E121"/>
      <c r="F121" s="19">
        <v>42403.589502314811</v>
      </c>
      <c r="G121" s="1">
        <v>42419</v>
      </c>
      <c r="H121">
        <v>1</v>
      </c>
      <c r="I121">
        <v>1</v>
      </c>
      <c r="J121"/>
      <c r="K121"/>
      <c r="L121"/>
      <c r="M121" s="1">
        <v>42424</v>
      </c>
      <c r="N121" t="s">
        <v>101</v>
      </c>
      <c r="O121"/>
      <c r="P121"/>
      <c r="Q121"/>
    </row>
    <row r="122" spans="1:17" x14ac:dyDescent="0.3">
      <c r="A122" t="str">
        <f>"16746"</f>
        <v>16746</v>
      </c>
      <c r="B122">
        <v>13572</v>
      </c>
      <c r="C122">
        <v>2</v>
      </c>
      <c r="D122" t="str">
        <f>" "</f>
        <v xml:space="preserve"> </v>
      </c>
      <c r="E122"/>
      <c r="F122" s="19">
        <v>42403.589502314811</v>
      </c>
      <c r="G122" s="1">
        <v>42419</v>
      </c>
      <c r="H122">
        <v>1</v>
      </c>
      <c r="I122">
        <v>1</v>
      </c>
      <c r="J122"/>
      <c r="K122"/>
      <c r="L122"/>
      <c r="M122" s="1">
        <v>42424</v>
      </c>
      <c r="N122" t="s">
        <v>101</v>
      </c>
      <c r="O122"/>
      <c r="P122"/>
      <c r="Q122"/>
    </row>
    <row r="123" spans="1:17" x14ac:dyDescent="0.3">
      <c r="A123" t="str">
        <f>"16697"</f>
        <v>16697</v>
      </c>
      <c r="B123">
        <v>13685</v>
      </c>
      <c r="C123">
        <v>1</v>
      </c>
      <c r="D123" t="str">
        <f>" "</f>
        <v xml:space="preserve"> </v>
      </c>
      <c r="E123"/>
      <c r="F123" s="19">
        <v>42388.467511574076</v>
      </c>
      <c r="G123" s="1">
        <v>42419</v>
      </c>
      <c r="H123">
        <v>1</v>
      </c>
      <c r="I123">
        <v>1</v>
      </c>
      <c r="J123"/>
      <c r="K123"/>
      <c r="L123"/>
      <c r="M123" s="1">
        <v>42423</v>
      </c>
      <c r="N123" t="s">
        <v>101</v>
      </c>
      <c r="O123"/>
      <c r="P123"/>
      <c r="Q123"/>
    </row>
    <row r="124" spans="1:17" x14ac:dyDescent="0.3">
      <c r="A124" t="str">
        <f>"16697"</f>
        <v>16697</v>
      </c>
      <c r="B124">
        <v>13798</v>
      </c>
      <c r="C124">
        <v>2</v>
      </c>
      <c r="D124" t="str">
        <f>" "</f>
        <v xml:space="preserve"> </v>
      </c>
      <c r="E124"/>
      <c r="F124" s="19">
        <v>42388.467511574076</v>
      </c>
      <c r="G124" s="1">
        <v>42419</v>
      </c>
      <c r="H124">
        <v>1</v>
      </c>
      <c r="I124">
        <v>1</v>
      </c>
      <c r="J124"/>
      <c r="K124"/>
      <c r="L124"/>
      <c r="M124" s="1">
        <v>42402</v>
      </c>
      <c r="N124" t="s">
        <v>101</v>
      </c>
      <c r="O124"/>
      <c r="P124"/>
      <c r="Q124"/>
    </row>
    <row r="125" spans="1:17" x14ac:dyDescent="0.3">
      <c r="A125" t="str">
        <f>"16603"</f>
        <v>16603</v>
      </c>
      <c r="B125">
        <v>13911</v>
      </c>
      <c r="C125">
        <v>1</v>
      </c>
      <c r="D125" t="str">
        <f>" "</f>
        <v xml:space="preserve"> </v>
      </c>
      <c r="E125"/>
      <c r="F125" s="19">
        <v>42339.575925925928</v>
      </c>
      <c r="G125" s="1">
        <v>42419</v>
      </c>
      <c r="H125">
        <v>1</v>
      </c>
      <c r="I125">
        <v>1</v>
      </c>
      <c r="J125"/>
      <c r="K125"/>
      <c r="L125"/>
      <c r="M125" s="1">
        <v>42391</v>
      </c>
      <c r="N125" t="s">
        <v>101</v>
      </c>
      <c r="O125"/>
      <c r="P125"/>
      <c r="Q125"/>
    </row>
    <row r="126" spans="1:17" x14ac:dyDescent="0.3">
      <c r="A126" t="str">
        <f>"16316"</f>
        <v>16316</v>
      </c>
      <c r="B126">
        <v>14024</v>
      </c>
      <c r="C126">
        <v>1</v>
      </c>
      <c r="D126" t="str">
        <f>" "</f>
        <v xml:space="preserve"> </v>
      </c>
      <c r="E126"/>
      <c r="F126" s="19">
        <v>42177.410462962966</v>
      </c>
      <c r="G126" s="1">
        <v>42419</v>
      </c>
      <c r="H126">
        <v>2</v>
      </c>
      <c r="I126">
        <v>2</v>
      </c>
      <c r="J126"/>
      <c r="K126"/>
      <c r="L126"/>
      <c r="M126"/>
      <c r="N126" t="s">
        <v>101</v>
      </c>
      <c r="O126"/>
      <c r="P126"/>
      <c r="Q126"/>
    </row>
    <row r="127" spans="1:17" x14ac:dyDescent="0.3">
      <c r="A127" t="str">
        <f>"16316"</f>
        <v>16316</v>
      </c>
      <c r="B127">
        <v>14137</v>
      </c>
      <c r="C127">
        <v>2</v>
      </c>
      <c r="D127" t="str">
        <f>" "</f>
        <v xml:space="preserve"> </v>
      </c>
      <c r="E127"/>
      <c r="F127" s="19">
        <v>42177.410462962966</v>
      </c>
      <c r="G127" s="1">
        <v>42419</v>
      </c>
      <c r="H127">
        <v>1</v>
      </c>
      <c r="I127">
        <v>1</v>
      </c>
      <c r="J127"/>
      <c r="K127"/>
      <c r="L127"/>
      <c r="M127"/>
      <c r="N127" t="s">
        <v>101</v>
      </c>
      <c r="O127"/>
      <c r="P127"/>
      <c r="Q127"/>
    </row>
    <row r="128" spans="1:17" x14ac:dyDescent="0.3">
      <c r="A128" t="str">
        <f>"16764"</f>
        <v>16764</v>
      </c>
      <c r="B128">
        <v>14250</v>
      </c>
      <c r="C128">
        <v>1</v>
      </c>
      <c r="D128" t="str">
        <f>" "</f>
        <v xml:space="preserve"> </v>
      </c>
      <c r="E128"/>
      <c r="F128" s="19">
        <v>42415.344212962962</v>
      </c>
      <c r="G128" s="1">
        <v>42423</v>
      </c>
      <c r="H128">
        <v>1</v>
      </c>
      <c r="I128">
        <v>1</v>
      </c>
      <c r="J128"/>
      <c r="K128"/>
      <c r="L128"/>
      <c r="M128" s="1">
        <v>42429</v>
      </c>
      <c r="N128" t="s">
        <v>101</v>
      </c>
      <c r="O128"/>
      <c r="P128"/>
      <c r="Q128"/>
    </row>
    <row r="129" spans="1:17" x14ac:dyDescent="0.3">
      <c r="A129" t="str">
        <f>"16764"</f>
        <v>16764</v>
      </c>
      <c r="B129">
        <v>14363</v>
      </c>
      <c r="C129">
        <v>2</v>
      </c>
      <c r="D129" t="str">
        <f>" "</f>
        <v xml:space="preserve"> </v>
      </c>
      <c r="E129"/>
      <c r="F129" s="19">
        <v>42415.344212962962</v>
      </c>
      <c r="G129" s="1">
        <v>42423</v>
      </c>
      <c r="H129">
        <v>1</v>
      </c>
      <c r="I129">
        <v>1</v>
      </c>
      <c r="J129"/>
      <c r="K129"/>
      <c r="L129"/>
      <c r="M129" s="1">
        <v>42429</v>
      </c>
      <c r="N129" t="s">
        <v>101</v>
      </c>
      <c r="O129"/>
      <c r="P129"/>
      <c r="Q129"/>
    </row>
    <row r="130" spans="1:17" x14ac:dyDescent="0.3">
      <c r="A130" t="str">
        <f>"16708"</f>
        <v>16708</v>
      </c>
      <c r="B130">
        <v>14476</v>
      </c>
      <c r="C130">
        <v>1</v>
      </c>
      <c r="D130" t="str">
        <f>" "</f>
        <v xml:space="preserve"> </v>
      </c>
      <c r="E130"/>
      <c r="F130" s="19">
        <v>42394.404293981483</v>
      </c>
      <c r="G130" s="1">
        <v>42423</v>
      </c>
      <c r="H130">
        <v>12</v>
      </c>
      <c r="I130">
        <v>12</v>
      </c>
      <c r="J130"/>
      <c r="K130"/>
      <c r="L130"/>
      <c r="M130" s="1">
        <v>42391</v>
      </c>
      <c r="N130" t="s">
        <v>101</v>
      </c>
      <c r="O130"/>
      <c r="P130"/>
      <c r="Q130"/>
    </row>
    <row r="131" spans="1:17" x14ac:dyDescent="0.3">
      <c r="A131" t="str">
        <f>"16708"</f>
        <v>16708</v>
      </c>
      <c r="B131">
        <v>14589</v>
      </c>
      <c r="C131">
        <v>2</v>
      </c>
      <c r="D131" t="str">
        <f>" "</f>
        <v xml:space="preserve"> </v>
      </c>
      <c r="E131"/>
      <c r="F131" s="19">
        <v>42394.404293981483</v>
      </c>
      <c r="G131" s="1">
        <v>42423</v>
      </c>
      <c r="H131">
        <v>1</v>
      </c>
      <c r="I131">
        <v>1</v>
      </c>
      <c r="J131"/>
      <c r="K131"/>
      <c r="L131"/>
      <c r="M131" s="1">
        <v>42391</v>
      </c>
      <c r="N131" t="s">
        <v>101</v>
      </c>
      <c r="O131"/>
      <c r="P131"/>
      <c r="Q131"/>
    </row>
    <row r="132" spans="1:17" x14ac:dyDescent="0.3">
      <c r="A132" t="str">
        <f>"16708"</f>
        <v>16708</v>
      </c>
      <c r="B132">
        <v>14702</v>
      </c>
      <c r="C132">
        <v>3</v>
      </c>
      <c r="D132" t="str">
        <f>" "</f>
        <v xml:space="preserve"> </v>
      </c>
      <c r="E132"/>
      <c r="F132" s="19">
        <v>42394.404293981483</v>
      </c>
      <c r="G132" s="1">
        <v>42423</v>
      </c>
      <c r="H132">
        <v>1</v>
      </c>
      <c r="I132">
        <v>1</v>
      </c>
      <c r="J132"/>
      <c r="K132"/>
      <c r="L132"/>
      <c r="M132" s="1">
        <v>42391</v>
      </c>
      <c r="N132" t="s">
        <v>101</v>
      </c>
      <c r="O132"/>
      <c r="P132"/>
      <c r="Q132"/>
    </row>
    <row r="133" spans="1:17" x14ac:dyDescent="0.3">
      <c r="A133" t="str">
        <f>"16708"</f>
        <v>16708</v>
      </c>
      <c r="B133">
        <v>14815</v>
      </c>
      <c r="C133">
        <v>4</v>
      </c>
      <c r="D133" t="str">
        <f>" "</f>
        <v xml:space="preserve"> </v>
      </c>
      <c r="E133"/>
      <c r="F133" s="19">
        <v>42394.404293981483</v>
      </c>
      <c r="G133" s="1">
        <v>42423</v>
      </c>
      <c r="H133">
        <v>1</v>
      </c>
      <c r="I133">
        <v>1</v>
      </c>
      <c r="J133"/>
      <c r="K133"/>
      <c r="L133"/>
      <c r="M133" s="1">
        <v>42391</v>
      </c>
      <c r="N133" t="s">
        <v>101</v>
      </c>
      <c r="O133"/>
      <c r="P133"/>
      <c r="Q133"/>
    </row>
    <row r="134" spans="1:17" x14ac:dyDescent="0.3">
      <c r="A134" t="str">
        <f>"16708"</f>
        <v>16708</v>
      </c>
      <c r="B134">
        <v>14928</v>
      </c>
      <c r="C134">
        <v>5</v>
      </c>
      <c r="D134" t="str">
        <f>" "</f>
        <v xml:space="preserve"> </v>
      </c>
      <c r="E134"/>
      <c r="F134" s="19">
        <v>42394.404293981483</v>
      </c>
      <c r="G134" s="1">
        <v>42423</v>
      </c>
      <c r="H134">
        <v>1</v>
      </c>
      <c r="I134">
        <v>1</v>
      </c>
      <c r="J134"/>
      <c r="K134"/>
      <c r="L134"/>
      <c r="M134" s="1">
        <v>42391</v>
      </c>
      <c r="N134" t="s">
        <v>101</v>
      </c>
      <c r="O134"/>
      <c r="P134"/>
      <c r="Q134"/>
    </row>
    <row r="135" spans="1:17" x14ac:dyDescent="0.3">
      <c r="A135" t="str">
        <f>"16708"</f>
        <v>16708</v>
      </c>
      <c r="B135">
        <v>15041</v>
      </c>
      <c r="C135">
        <v>6</v>
      </c>
      <c r="D135" t="str">
        <f>" "</f>
        <v xml:space="preserve"> </v>
      </c>
      <c r="E135"/>
      <c r="F135" s="19">
        <v>42394.404293981483</v>
      </c>
      <c r="G135" s="1">
        <v>42423</v>
      </c>
      <c r="H135">
        <v>2</v>
      </c>
      <c r="I135">
        <v>2</v>
      </c>
      <c r="J135"/>
      <c r="K135"/>
      <c r="L135"/>
      <c r="M135" s="1">
        <v>42391</v>
      </c>
      <c r="N135" t="s">
        <v>101</v>
      </c>
      <c r="O135"/>
      <c r="P135"/>
      <c r="Q135"/>
    </row>
    <row r="136" spans="1:17" x14ac:dyDescent="0.3">
      <c r="A136" t="str">
        <f>"16708"</f>
        <v>16708</v>
      </c>
      <c r="B136">
        <v>15154</v>
      </c>
      <c r="C136">
        <v>7</v>
      </c>
      <c r="D136" t="str">
        <f>" "</f>
        <v xml:space="preserve"> </v>
      </c>
      <c r="E136"/>
      <c r="F136" s="19">
        <v>42394.404293981483</v>
      </c>
      <c r="G136" s="1">
        <v>42423</v>
      </c>
      <c r="H136">
        <v>2</v>
      </c>
      <c r="I136">
        <v>2</v>
      </c>
      <c r="J136"/>
      <c r="K136"/>
      <c r="L136"/>
      <c r="M136" s="1">
        <v>42391</v>
      </c>
      <c r="N136" t="s">
        <v>101</v>
      </c>
      <c r="O136"/>
      <c r="P136"/>
      <c r="Q136"/>
    </row>
    <row r="137" spans="1:17" x14ac:dyDescent="0.3">
      <c r="A137" t="str">
        <f>"16708"</f>
        <v>16708</v>
      </c>
      <c r="B137">
        <v>15267</v>
      </c>
      <c r="C137">
        <v>8</v>
      </c>
      <c r="D137" t="str">
        <f>" "</f>
        <v xml:space="preserve"> </v>
      </c>
      <c r="E137"/>
      <c r="F137" s="19">
        <v>42394.404293981483</v>
      </c>
      <c r="G137" s="1">
        <v>42423</v>
      </c>
      <c r="H137">
        <v>1</v>
      </c>
      <c r="I137">
        <v>1</v>
      </c>
      <c r="J137"/>
      <c r="K137"/>
      <c r="L137"/>
      <c r="M137" s="1">
        <v>42391</v>
      </c>
      <c r="N137" t="s">
        <v>101</v>
      </c>
      <c r="O137"/>
      <c r="P137"/>
      <c r="Q137"/>
    </row>
    <row r="138" spans="1:17" x14ac:dyDescent="0.3">
      <c r="A138" t="str">
        <f>"16708"</f>
        <v>16708</v>
      </c>
      <c r="B138">
        <v>15380</v>
      </c>
      <c r="C138">
        <v>9</v>
      </c>
      <c r="D138" t="str">
        <f>" "</f>
        <v xml:space="preserve"> </v>
      </c>
      <c r="E138"/>
      <c r="F138" s="19">
        <v>42394.404293981483</v>
      </c>
      <c r="G138" s="1">
        <v>42423</v>
      </c>
      <c r="H138">
        <v>1</v>
      </c>
      <c r="I138">
        <v>1</v>
      </c>
      <c r="J138"/>
      <c r="K138"/>
      <c r="L138"/>
      <c r="M138" s="1">
        <v>42391</v>
      </c>
      <c r="N138" t="s">
        <v>101</v>
      </c>
      <c r="O138"/>
      <c r="P138"/>
      <c r="Q138"/>
    </row>
    <row r="139" spans="1:17" x14ac:dyDescent="0.3">
      <c r="A139" t="str">
        <f>"16649"</f>
        <v>16649</v>
      </c>
      <c r="B139">
        <v>15493</v>
      </c>
      <c r="C139">
        <v>1</v>
      </c>
      <c r="D139" t="str">
        <f>" "</f>
        <v xml:space="preserve"> </v>
      </c>
      <c r="E139"/>
      <c r="F139" s="19">
        <v>42356.427442129629</v>
      </c>
      <c r="G139" s="1">
        <v>42423</v>
      </c>
      <c r="H139">
        <v>10</v>
      </c>
      <c r="I139">
        <v>10</v>
      </c>
      <c r="J139"/>
      <c r="K139"/>
      <c r="L139"/>
      <c r="M139" s="1">
        <v>42426</v>
      </c>
      <c r="N139" t="s">
        <v>101</v>
      </c>
      <c r="O139"/>
      <c r="P139"/>
      <c r="Q139"/>
    </row>
    <row r="140" spans="1:17" x14ac:dyDescent="0.3">
      <c r="A140" t="str">
        <f>"16771"</f>
        <v>16771</v>
      </c>
      <c r="B140">
        <v>15606</v>
      </c>
      <c r="C140">
        <v>1</v>
      </c>
      <c r="D140" t="str">
        <f>" "</f>
        <v xml:space="preserve"> </v>
      </c>
      <c r="E140"/>
      <c r="F140" s="19">
        <v>42415.646493055552</v>
      </c>
      <c r="G140" s="1">
        <v>42424</v>
      </c>
      <c r="H140">
        <v>10</v>
      </c>
      <c r="I140">
        <v>10</v>
      </c>
      <c r="J140"/>
      <c r="K140"/>
      <c r="L140"/>
      <c r="M140" s="1">
        <v>42436</v>
      </c>
      <c r="N140" t="s">
        <v>101</v>
      </c>
      <c r="O140"/>
      <c r="P140"/>
      <c r="Q140"/>
    </row>
    <row r="141" spans="1:17" x14ac:dyDescent="0.3">
      <c r="A141" t="str">
        <f>"16769"</f>
        <v>16769</v>
      </c>
      <c r="B141">
        <v>15719</v>
      </c>
      <c r="C141">
        <v>1</v>
      </c>
      <c r="D141" t="str">
        <f>" "</f>
        <v xml:space="preserve"> </v>
      </c>
      <c r="E141"/>
      <c r="F141" s="19">
        <v>42415.581805555557</v>
      </c>
      <c r="G141" s="1">
        <v>42424</v>
      </c>
      <c r="H141">
        <v>1</v>
      </c>
      <c r="I141">
        <v>1</v>
      </c>
      <c r="J141"/>
      <c r="K141"/>
      <c r="L141"/>
      <c r="M141" s="1">
        <v>42419</v>
      </c>
      <c r="N141" t="s">
        <v>101</v>
      </c>
      <c r="O141"/>
      <c r="P141"/>
      <c r="Q141"/>
    </row>
    <row r="142" spans="1:17" x14ac:dyDescent="0.3">
      <c r="A142" t="str">
        <f>"16768"</f>
        <v>16768</v>
      </c>
      <c r="B142">
        <v>15832</v>
      </c>
      <c r="C142">
        <v>1</v>
      </c>
      <c r="D142" t="str">
        <f>" "</f>
        <v xml:space="preserve"> </v>
      </c>
      <c r="E142"/>
      <c r="F142" s="19">
        <v>42415.543275462966</v>
      </c>
      <c r="G142" s="1">
        <v>42424</v>
      </c>
      <c r="H142">
        <v>1</v>
      </c>
      <c r="I142">
        <v>1</v>
      </c>
      <c r="J142"/>
      <c r="K142"/>
      <c r="L142"/>
      <c r="M142" s="1">
        <v>42426</v>
      </c>
      <c r="N142" t="s">
        <v>101</v>
      </c>
      <c r="O142"/>
      <c r="P142"/>
      <c r="Q142"/>
    </row>
    <row r="143" spans="1:17" x14ac:dyDescent="0.3">
      <c r="A143" t="str">
        <f>"16737"</f>
        <v>16737</v>
      </c>
      <c r="B143">
        <v>15945</v>
      </c>
      <c r="C143">
        <v>1</v>
      </c>
      <c r="D143" t="str">
        <f>" "</f>
        <v xml:space="preserve"> </v>
      </c>
      <c r="E143"/>
      <c r="F143" s="19">
        <v>42401.337951388887</v>
      </c>
      <c r="G143" s="1">
        <v>42424</v>
      </c>
      <c r="H143">
        <v>1</v>
      </c>
      <c r="I143">
        <v>1</v>
      </c>
      <c r="J143"/>
      <c r="K143"/>
      <c r="L143"/>
      <c r="M143" s="1">
        <v>42426</v>
      </c>
      <c r="N143" t="s">
        <v>101</v>
      </c>
      <c r="O143"/>
      <c r="P143"/>
      <c r="Q143"/>
    </row>
    <row r="144" spans="1:17" x14ac:dyDescent="0.3">
      <c r="A144" t="str">
        <f>"16713"</f>
        <v>16713</v>
      </c>
      <c r="B144">
        <v>16058</v>
      </c>
      <c r="C144">
        <v>1</v>
      </c>
      <c r="D144" t="str">
        <f>" "</f>
        <v xml:space="preserve"> </v>
      </c>
      <c r="E144"/>
      <c r="F144" s="19">
        <v>42396.311967592592</v>
      </c>
      <c r="G144" s="1">
        <v>42424</v>
      </c>
      <c r="H144">
        <v>700</v>
      </c>
      <c r="I144">
        <v>700</v>
      </c>
      <c r="J144"/>
      <c r="K144"/>
      <c r="L144"/>
      <c r="M144" s="1">
        <v>42454</v>
      </c>
      <c r="N144" t="s">
        <v>101</v>
      </c>
      <c r="O144"/>
      <c r="P144"/>
      <c r="Q144"/>
    </row>
    <row r="145" spans="1:17" x14ac:dyDescent="0.3">
      <c r="A145" t="str">
        <f>"16784"</f>
        <v>16784</v>
      </c>
      <c r="B145">
        <v>16171</v>
      </c>
      <c r="C145">
        <v>1</v>
      </c>
      <c r="D145" t="str">
        <f>" "</f>
        <v xml:space="preserve"> </v>
      </c>
      <c r="E145"/>
      <c r="F145" s="19">
        <v>42424.323391203703</v>
      </c>
      <c r="G145" s="1">
        <v>42425</v>
      </c>
      <c r="H145">
        <v>1</v>
      </c>
      <c r="I145">
        <v>1</v>
      </c>
      <c r="J145"/>
      <c r="K145"/>
      <c r="L145"/>
      <c r="M145" s="1">
        <v>42425</v>
      </c>
      <c r="N145" t="s">
        <v>101</v>
      </c>
      <c r="O145"/>
      <c r="P145"/>
      <c r="Q145"/>
    </row>
    <row r="146" spans="1:17" x14ac:dyDescent="0.3">
      <c r="A146" t="str">
        <f>"16784"</f>
        <v>16784</v>
      </c>
      <c r="B146">
        <v>16284</v>
      </c>
      <c r="C146">
        <v>2</v>
      </c>
      <c r="D146" t="str">
        <f>" "</f>
        <v xml:space="preserve"> </v>
      </c>
      <c r="E146"/>
      <c r="F146" s="19">
        <v>42424.323391203703</v>
      </c>
      <c r="G146" s="1">
        <v>42425</v>
      </c>
      <c r="H146">
        <v>1</v>
      </c>
      <c r="I146">
        <v>1</v>
      </c>
      <c r="J146"/>
      <c r="K146"/>
      <c r="L146"/>
      <c r="M146" s="1">
        <v>42425</v>
      </c>
      <c r="N146" t="s">
        <v>101</v>
      </c>
      <c r="O146"/>
      <c r="P146"/>
      <c r="Q146"/>
    </row>
    <row r="147" spans="1:17" x14ac:dyDescent="0.3">
      <c r="A147" t="str">
        <f>"16784"</f>
        <v>16784</v>
      </c>
      <c r="B147">
        <v>16397</v>
      </c>
      <c r="C147">
        <v>3</v>
      </c>
      <c r="D147" t="str">
        <f>" "</f>
        <v xml:space="preserve"> </v>
      </c>
      <c r="E147"/>
      <c r="F147" s="19">
        <v>42424.323391203703</v>
      </c>
      <c r="G147" s="1">
        <v>42425</v>
      </c>
      <c r="H147">
        <v>1</v>
      </c>
      <c r="I147">
        <v>1</v>
      </c>
      <c r="J147"/>
      <c r="K147"/>
      <c r="L147"/>
      <c r="M147" s="1">
        <v>42425</v>
      </c>
      <c r="N147" t="s">
        <v>101</v>
      </c>
      <c r="O147"/>
      <c r="P147"/>
      <c r="Q147"/>
    </row>
    <row r="148" spans="1:17" x14ac:dyDescent="0.3">
      <c r="A148" t="str">
        <f>"16784"</f>
        <v>16784</v>
      </c>
      <c r="B148">
        <v>16510</v>
      </c>
      <c r="C148">
        <v>5</v>
      </c>
      <c r="D148" t="str">
        <f>" "</f>
        <v xml:space="preserve"> </v>
      </c>
      <c r="E148"/>
      <c r="F148" s="19">
        <v>42424.323391203703</v>
      </c>
      <c r="G148" s="1">
        <v>42425</v>
      </c>
      <c r="H148">
        <v>1</v>
      </c>
      <c r="I148">
        <v>1</v>
      </c>
      <c r="J148"/>
      <c r="K148"/>
      <c r="L148"/>
      <c r="M148" s="1">
        <v>42425</v>
      </c>
      <c r="N148" t="s">
        <v>101</v>
      </c>
      <c r="O148"/>
      <c r="P148"/>
      <c r="Q148"/>
    </row>
    <row r="149" spans="1:17" x14ac:dyDescent="0.3">
      <c r="A149" t="str">
        <f>"16773"</f>
        <v>16773</v>
      </c>
      <c r="B149">
        <v>16623</v>
      </c>
      <c r="C149">
        <v>1</v>
      </c>
      <c r="D149" t="str">
        <f>" "</f>
        <v xml:space="preserve"> </v>
      </c>
      <c r="E149"/>
      <c r="F149" s="19">
        <v>42416.558553240742</v>
      </c>
      <c r="G149" s="1">
        <v>42425</v>
      </c>
      <c r="H149">
        <v>24</v>
      </c>
      <c r="I149">
        <v>24</v>
      </c>
      <c r="J149"/>
      <c r="K149"/>
      <c r="L149"/>
      <c r="M149" s="1">
        <v>42423</v>
      </c>
      <c r="N149" t="s">
        <v>101</v>
      </c>
      <c r="O149"/>
      <c r="P149"/>
      <c r="Q149"/>
    </row>
    <row r="150" spans="1:17" x14ac:dyDescent="0.3">
      <c r="A150" t="str">
        <f>"16773"</f>
        <v>16773</v>
      </c>
      <c r="B150">
        <v>16736</v>
      </c>
      <c r="C150">
        <v>2</v>
      </c>
      <c r="D150" t="str">
        <f>" "</f>
        <v xml:space="preserve"> </v>
      </c>
      <c r="E150"/>
      <c r="F150" s="19">
        <v>42416.558553240742</v>
      </c>
      <c r="G150" s="1">
        <v>42425</v>
      </c>
      <c r="H150">
        <v>1</v>
      </c>
      <c r="I150">
        <v>1</v>
      </c>
      <c r="J150"/>
      <c r="K150"/>
      <c r="L150"/>
      <c r="M150" s="1">
        <v>42423</v>
      </c>
      <c r="N150" t="s">
        <v>101</v>
      </c>
      <c r="O150"/>
      <c r="P150"/>
      <c r="Q150"/>
    </row>
    <row r="151" spans="1:17" x14ac:dyDescent="0.3">
      <c r="A151" t="str">
        <f>"16739"</f>
        <v>16739</v>
      </c>
      <c r="B151">
        <v>16849</v>
      </c>
      <c r="C151">
        <v>1</v>
      </c>
      <c r="D151" t="str">
        <f>" "</f>
        <v xml:space="preserve"> </v>
      </c>
      <c r="E151"/>
      <c r="F151" s="19">
        <v>42401.397245370368</v>
      </c>
      <c r="G151" s="1">
        <v>42425</v>
      </c>
      <c r="H151">
        <v>1</v>
      </c>
      <c r="I151">
        <v>1</v>
      </c>
      <c r="J151"/>
      <c r="K151"/>
      <c r="L151"/>
      <c r="M151" s="1">
        <v>42412</v>
      </c>
      <c r="N151" t="s">
        <v>101</v>
      </c>
      <c r="O151"/>
      <c r="P151"/>
      <c r="Q151"/>
    </row>
    <row r="152" spans="1:17" x14ac:dyDescent="0.3">
      <c r="A152" t="str">
        <f>"16720"</f>
        <v>16720</v>
      </c>
      <c r="B152">
        <v>16962</v>
      </c>
      <c r="C152">
        <v>1</v>
      </c>
      <c r="D152" t="str">
        <f>" "</f>
        <v xml:space="preserve"> </v>
      </c>
      <c r="E152"/>
      <c r="F152" s="19">
        <v>42396.404247685183</v>
      </c>
      <c r="G152" s="1">
        <v>42425</v>
      </c>
      <c r="H152">
        <v>4</v>
      </c>
      <c r="I152">
        <v>4</v>
      </c>
      <c r="J152"/>
      <c r="K152"/>
      <c r="L152"/>
      <c r="M152" s="1">
        <v>42433</v>
      </c>
      <c r="N152" t="s">
        <v>101</v>
      </c>
      <c r="O152"/>
      <c r="P152"/>
      <c r="Q152"/>
    </row>
    <row r="153" spans="1:17" x14ac:dyDescent="0.3">
      <c r="A153" t="str">
        <f>"16720"</f>
        <v>16720</v>
      </c>
      <c r="B153">
        <v>17075</v>
      </c>
      <c r="C153">
        <v>2</v>
      </c>
      <c r="D153" t="str">
        <f>" "</f>
        <v xml:space="preserve"> </v>
      </c>
      <c r="E153"/>
      <c r="F153" s="19">
        <v>42396.404247685183</v>
      </c>
      <c r="G153" s="1">
        <v>42425</v>
      </c>
      <c r="H153">
        <v>4</v>
      </c>
      <c r="I153">
        <v>4</v>
      </c>
      <c r="J153"/>
      <c r="K153"/>
      <c r="L153"/>
      <c r="M153" s="1">
        <v>42433</v>
      </c>
      <c r="N153" t="s">
        <v>101</v>
      </c>
      <c r="O153"/>
      <c r="P153"/>
      <c r="Q153"/>
    </row>
    <row r="154" spans="1:17" x14ac:dyDescent="0.3">
      <c r="A154" t="str">
        <f>"16762"</f>
        <v>16762</v>
      </c>
      <c r="B154">
        <v>17188</v>
      </c>
      <c r="C154">
        <v>1</v>
      </c>
      <c r="D154" t="str">
        <f>" "</f>
        <v xml:space="preserve"> </v>
      </c>
      <c r="E154"/>
      <c r="F154" s="19">
        <v>42412.559398148151</v>
      </c>
      <c r="G154" s="1">
        <v>42426</v>
      </c>
      <c r="H154">
        <v>20</v>
      </c>
      <c r="I154">
        <v>20</v>
      </c>
      <c r="J154"/>
      <c r="K154"/>
      <c r="L154"/>
      <c r="M154" s="1">
        <v>42454</v>
      </c>
      <c r="N154" t="s">
        <v>101</v>
      </c>
      <c r="O154"/>
      <c r="P154"/>
      <c r="Q154"/>
    </row>
    <row r="155" spans="1:17" x14ac:dyDescent="0.3">
      <c r="A155" t="str">
        <f>"16748"</f>
        <v>16748</v>
      </c>
      <c r="B155">
        <v>17301</v>
      </c>
      <c r="C155">
        <v>3</v>
      </c>
      <c r="D155" t="str">
        <f>" "</f>
        <v xml:space="preserve"> </v>
      </c>
      <c r="E155"/>
      <c r="F155" s="19">
        <v>42426.381030092591</v>
      </c>
      <c r="G155" s="1">
        <v>42426</v>
      </c>
      <c r="H155">
        <v>1</v>
      </c>
      <c r="I155">
        <v>1</v>
      </c>
      <c r="J155"/>
      <c r="K155"/>
      <c r="L155"/>
      <c r="M155" s="1">
        <v>42482</v>
      </c>
      <c r="N155" t="s">
        <v>101</v>
      </c>
      <c r="O155"/>
      <c r="P155"/>
      <c r="Q155"/>
    </row>
    <row r="156" spans="1:17" x14ac:dyDescent="0.3">
      <c r="A156" t="str">
        <f>"16714"</f>
        <v>16714</v>
      </c>
      <c r="B156">
        <v>17414</v>
      </c>
      <c r="C156">
        <v>1</v>
      </c>
      <c r="D156" t="str">
        <f>" "</f>
        <v xml:space="preserve"> </v>
      </c>
      <c r="E156"/>
      <c r="F156" s="19">
        <v>42396.323703703703</v>
      </c>
      <c r="G156" s="1">
        <v>42426</v>
      </c>
      <c r="H156">
        <v>350</v>
      </c>
      <c r="I156">
        <v>350</v>
      </c>
      <c r="J156"/>
      <c r="K156"/>
      <c r="L156"/>
      <c r="M156" s="1">
        <v>42454</v>
      </c>
      <c r="N156" t="s">
        <v>101</v>
      </c>
      <c r="O156"/>
      <c r="P156"/>
      <c r="Q156"/>
    </row>
    <row r="157" spans="1:17" x14ac:dyDescent="0.3">
      <c r="A157" t="str">
        <f>"16685"</f>
        <v>16685</v>
      </c>
      <c r="B157">
        <v>17527</v>
      </c>
      <c r="C157">
        <v>1</v>
      </c>
      <c r="D157" t="str">
        <f>" "</f>
        <v xml:space="preserve"> </v>
      </c>
      <c r="E157"/>
      <c r="F157" s="19">
        <v>42381.631030092591</v>
      </c>
      <c r="G157" s="1">
        <v>42426</v>
      </c>
      <c r="H157">
        <v>1</v>
      </c>
      <c r="I157">
        <v>1</v>
      </c>
      <c r="J157"/>
      <c r="K157"/>
      <c r="L157"/>
      <c r="M157" s="1">
        <v>42423</v>
      </c>
      <c r="N157" t="s">
        <v>101</v>
      </c>
      <c r="O157"/>
      <c r="P157"/>
      <c r="Q157"/>
    </row>
    <row r="158" spans="1:17" x14ac:dyDescent="0.3">
      <c r="A158" t="str">
        <f>"16679"</f>
        <v>16679</v>
      </c>
      <c r="B158">
        <v>17640</v>
      </c>
      <c r="C158">
        <v>3</v>
      </c>
      <c r="D158" t="str">
        <f>" "</f>
        <v xml:space="preserve"> </v>
      </c>
      <c r="E158"/>
      <c r="F158" s="19">
        <v>42380.580451388887</v>
      </c>
      <c r="G158" s="1">
        <v>42426</v>
      </c>
      <c r="H158">
        <v>1</v>
      </c>
      <c r="I158">
        <v>1</v>
      </c>
      <c r="J158"/>
      <c r="K158"/>
      <c r="L158"/>
      <c r="M158" s="1">
        <v>42443</v>
      </c>
      <c r="N158" t="s">
        <v>101</v>
      </c>
      <c r="O158"/>
      <c r="P158"/>
      <c r="Q158"/>
    </row>
    <row r="159" spans="1:17" x14ac:dyDescent="0.3">
      <c r="A159" t="str">
        <f>"16679"</f>
        <v>16679</v>
      </c>
      <c r="B159">
        <v>17753</v>
      </c>
      <c r="C159">
        <v>4</v>
      </c>
      <c r="D159" t="str">
        <f>" "</f>
        <v xml:space="preserve"> </v>
      </c>
      <c r="E159"/>
      <c r="F159" s="19">
        <v>42380.580451388887</v>
      </c>
      <c r="G159" s="1">
        <v>42426</v>
      </c>
      <c r="H159">
        <v>3</v>
      </c>
      <c r="I159">
        <v>3</v>
      </c>
      <c r="J159"/>
      <c r="K159"/>
      <c r="L159"/>
      <c r="M159" s="1">
        <v>42443</v>
      </c>
      <c r="N159" t="s">
        <v>101</v>
      </c>
      <c r="O159"/>
      <c r="P159"/>
      <c r="Q159"/>
    </row>
    <row r="160" spans="1:17" x14ac:dyDescent="0.3">
      <c r="A160" t="str">
        <f>"16679"</f>
        <v>16679</v>
      </c>
      <c r="B160">
        <v>17866</v>
      </c>
      <c r="C160">
        <v>5</v>
      </c>
      <c r="D160" t="str">
        <f>" "</f>
        <v xml:space="preserve"> </v>
      </c>
      <c r="E160"/>
      <c r="F160" s="19">
        <v>42380.580451388887</v>
      </c>
      <c r="G160" s="1">
        <v>42426</v>
      </c>
      <c r="H160">
        <v>1</v>
      </c>
      <c r="I160">
        <v>1</v>
      </c>
      <c r="J160"/>
      <c r="K160"/>
      <c r="L160"/>
      <c r="M160" s="1">
        <v>42443</v>
      </c>
      <c r="N160" t="s">
        <v>101</v>
      </c>
      <c r="O160"/>
      <c r="P160"/>
      <c r="Q160"/>
    </row>
    <row r="161" spans="1:17" x14ac:dyDescent="0.3">
      <c r="A161" t="str">
        <f>"16588"</f>
        <v>16588</v>
      </c>
      <c r="B161">
        <v>17979</v>
      </c>
      <c r="C161">
        <v>1</v>
      </c>
      <c r="D161" t="str">
        <f>" "</f>
        <v xml:space="preserve"> </v>
      </c>
      <c r="E161"/>
      <c r="F161" s="19">
        <v>42328.475937499999</v>
      </c>
      <c r="G161" s="1">
        <v>42426</v>
      </c>
      <c r="H161">
        <v>1</v>
      </c>
      <c r="I161">
        <v>1</v>
      </c>
      <c r="J161"/>
      <c r="K161"/>
      <c r="L161"/>
      <c r="M161" s="1">
        <v>42410</v>
      </c>
      <c r="N161" t="s">
        <v>101</v>
      </c>
      <c r="O161"/>
      <c r="P161"/>
      <c r="Q161"/>
    </row>
    <row r="162" spans="1:17" x14ac:dyDescent="0.3">
      <c r="A162" t="str">
        <f>"16159"</f>
        <v>16159</v>
      </c>
      <c r="B162">
        <v>18092</v>
      </c>
      <c r="C162">
        <v>1</v>
      </c>
      <c r="D162" t="str">
        <f>" "</f>
        <v xml:space="preserve"> </v>
      </c>
      <c r="E162"/>
      <c r="F162" s="19">
        <v>42103.390625</v>
      </c>
      <c r="G162" s="1">
        <v>42426</v>
      </c>
      <c r="H162">
        <v>1</v>
      </c>
      <c r="I162">
        <v>1</v>
      </c>
      <c r="J162"/>
      <c r="K162"/>
      <c r="L162"/>
      <c r="M162" s="1">
        <v>42408</v>
      </c>
      <c r="N162" t="s">
        <v>101</v>
      </c>
      <c r="O162"/>
      <c r="P162"/>
      <c r="Q162"/>
    </row>
    <row r="163" spans="1:17" x14ac:dyDescent="0.3">
      <c r="A163" t="str">
        <f>"16786"</f>
        <v>16786</v>
      </c>
      <c r="B163">
        <v>18205</v>
      </c>
      <c r="C163">
        <v>1</v>
      </c>
      <c r="D163" t="str">
        <f>" "</f>
        <v xml:space="preserve"> </v>
      </c>
      <c r="E163"/>
      <c r="F163" s="19">
        <v>42424.393587962964</v>
      </c>
      <c r="G163" s="1">
        <v>42429</v>
      </c>
      <c r="H163">
        <v>5</v>
      </c>
      <c r="I163">
        <v>5</v>
      </c>
      <c r="J163"/>
      <c r="K163"/>
      <c r="L163"/>
      <c r="M163" s="1">
        <v>42440</v>
      </c>
      <c r="N163" t="s">
        <v>101</v>
      </c>
      <c r="O163"/>
      <c r="P163"/>
      <c r="Q163"/>
    </row>
    <row r="164" spans="1:17" x14ac:dyDescent="0.3">
      <c r="A164" t="str">
        <f>"16782"</f>
        <v>16782</v>
      </c>
      <c r="B164">
        <v>18318</v>
      </c>
      <c r="C164">
        <v>1</v>
      </c>
      <c r="D164" t="str">
        <f>" "</f>
        <v xml:space="preserve"> </v>
      </c>
      <c r="E164"/>
      <c r="F164" s="19">
        <v>42423.488252314812</v>
      </c>
      <c r="G164" s="1">
        <v>42429</v>
      </c>
      <c r="H164">
        <v>1</v>
      </c>
      <c r="I164">
        <v>1</v>
      </c>
      <c r="J164"/>
      <c r="K164"/>
      <c r="L164"/>
      <c r="M164" s="1">
        <v>42430</v>
      </c>
      <c r="N164" t="s">
        <v>101</v>
      </c>
      <c r="O164"/>
      <c r="P164"/>
      <c r="Q164"/>
    </row>
    <row r="165" spans="1:17" x14ac:dyDescent="0.3">
      <c r="A165" t="str">
        <f>"16781"</f>
        <v>16781</v>
      </c>
      <c r="B165">
        <v>18431</v>
      </c>
      <c r="C165">
        <v>1</v>
      </c>
      <c r="D165" t="str">
        <f>" "</f>
        <v xml:space="preserve"> </v>
      </c>
      <c r="E165"/>
      <c r="F165" s="19">
        <v>42423.471053240741</v>
      </c>
      <c r="G165" s="1">
        <v>42429</v>
      </c>
      <c r="H165">
        <v>1</v>
      </c>
      <c r="I165">
        <v>1</v>
      </c>
      <c r="J165"/>
      <c r="K165"/>
      <c r="L165"/>
      <c r="M165" s="1">
        <v>42444</v>
      </c>
      <c r="N165" t="s">
        <v>101</v>
      </c>
      <c r="O165"/>
      <c r="P165"/>
      <c r="Q165"/>
    </row>
    <row r="166" spans="1:17" x14ac:dyDescent="0.3">
      <c r="A166" t="str">
        <f>"16781"</f>
        <v>16781</v>
      </c>
      <c r="B166">
        <v>18544</v>
      </c>
      <c r="C166">
        <v>2</v>
      </c>
      <c r="D166" t="str">
        <f>" "</f>
        <v xml:space="preserve"> </v>
      </c>
      <c r="E166"/>
      <c r="F166" s="19">
        <v>42423.471053240741</v>
      </c>
      <c r="G166" s="1">
        <v>42429</v>
      </c>
      <c r="H166">
        <v>1</v>
      </c>
      <c r="I166">
        <v>1</v>
      </c>
      <c r="J166"/>
      <c r="K166"/>
      <c r="L166"/>
      <c r="M166" s="1">
        <v>42444</v>
      </c>
      <c r="N166" t="s">
        <v>101</v>
      </c>
      <c r="O166"/>
      <c r="P166"/>
      <c r="Q166"/>
    </row>
    <row r="167" spans="1:17" x14ac:dyDescent="0.3">
      <c r="A167" t="str">
        <f>"16781"</f>
        <v>16781</v>
      </c>
      <c r="B167">
        <v>18657</v>
      </c>
      <c r="C167">
        <v>3</v>
      </c>
      <c r="D167" t="str">
        <f>" "</f>
        <v xml:space="preserve"> </v>
      </c>
      <c r="E167"/>
      <c r="F167" s="19">
        <v>42423.471053240741</v>
      </c>
      <c r="G167" s="1">
        <v>42429</v>
      </c>
      <c r="H167">
        <v>1</v>
      </c>
      <c r="I167">
        <v>1</v>
      </c>
      <c r="J167"/>
      <c r="K167"/>
      <c r="L167"/>
      <c r="M167" s="1">
        <v>42444</v>
      </c>
      <c r="N167" t="s">
        <v>101</v>
      </c>
      <c r="O167"/>
      <c r="P167"/>
      <c r="Q167"/>
    </row>
    <row r="168" spans="1:17" x14ac:dyDescent="0.3">
      <c r="A168" t="str">
        <f>"16772"</f>
        <v>16772</v>
      </c>
      <c r="B168">
        <v>18770</v>
      </c>
      <c r="C168">
        <v>1</v>
      </c>
      <c r="D168" t="str">
        <f>" "</f>
        <v xml:space="preserve"> </v>
      </c>
      <c r="E168"/>
      <c r="F168" s="19">
        <v>42416.35052083333</v>
      </c>
      <c r="G168" s="1">
        <v>42429</v>
      </c>
      <c r="H168">
        <v>2</v>
      </c>
      <c r="I168">
        <v>2</v>
      </c>
      <c r="J168"/>
      <c r="K168"/>
      <c r="L168"/>
      <c r="M168" s="1">
        <v>42436</v>
      </c>
      <c r="N168" t="s">
        <v>101</v>
      </c>
      <c r="O168"/>
      <c r="P168"/>
      <c r="Q168"/>
    </row>
    <row r="169" spans="1:17" x14ac:dyDescent="0.3">
      <c r="A169" t="str">
        <f>"16759"</f>
        <v>16759</v>
      </c>
      <c r="B169">
        <v>18883</v>
      </c>
      <c r="C169">
        <v>1</v>
      </c>
      <c r="D169" t="str">
        <f>" "</f>
        <v xml:space="preserve"> </v>
      </c>
      <c r="E169"/>
      <c r="F169" s="19">
        <v>42411.43608796296</v>
      </c>
      <c r="G169" s="1">
        <v>42429</v>
      </c>
      <c r="H169">
        <v>1</v>
      </c>
      <c r="I169">
        <v>1</v>
      </c>
      <c r="J169"/>
      <c r="K169"/>
      <c r="L169"/>
      <c r="M169" s="1">
        <v>42425</v>
      </c>
      <c r="N169" t="s">
        <v>101</v>
      </c>
      <c r="O169"/>
      <c r="P169"/>
      <c r="Q169"/>
    </row>
    <row r="170" spans="1:17" x14ac:dyDescent="0.3">
      <c r="A170" t="str">
        <f>"16751"</f>
        <v>16751</v>
      </c>
      <c r="B170">
        <v>18996</v>
      </c>
      <c r="C170">
        <v>1</v>
      </c>
      <c r="D170" t="str">
        <f>" "</f>
        <v xml:space="preserve"> </v>
      </c>
      <c r="E170"/>
      <c r="F170" s="19">
        <v>42405.377141203702</v>
      </c>
      <c r="G170" s="1">
        <v>42429</v>
      </c>
      <c r="H170">
        <v>2</v>
      </c>
      <c r="I170">
        <v>2</v>
      </c>
      <c r="J170"/>
      <c r="K170"/>
      <c r="L170"/>
      <c r="M170" s="1">
        <v>42447</v>
      </c>
      <c r="N170" t="s">
        <v>101</v>
      </c>
      <c r="O170"/>
      <c r="P170"/>
      <c r="Q170"/>
    </row>
    <row r="171" spans="1:17" x14ac:dyDescent="0.3">
      <c r="A171" t="str">
        <f>"16733"</f>
        <v>16733</v>
      </c>
      <c r="B171">
        <v>19109</v>
      </c>
      <c r="C171">
        <v>1</v>
      </c>
      <c r="D171" t="str">
        <f>" "</f>
        <v xml:space="preserve"> </v>
      </c>
      <c r="E171"/>
      <c r="F171" s="19">
        <v>42398.485891203702</v>
      </c>
      <c r="G171" s="1">
        <v>42429</v>
      </c>
      <c r="H171">
        <v>10</v>
      </c>
      <c r="I171">
        <v>10</v>
      </c>
      <c r="J171"/>
      <c r="K171"/>
      <c r="L171"/>
      <c r="M171" s="1">
        <v>42433</v>
      </c>
      <c r="N171" t="s">
        <v>101</v>
      </c>
      <c r="O171"/>
      <c r="P171"/>
      <c r="Q171"/>
    </row>
    <row r="172" spans="1:17" x14ac:dyDescent="0.3">
      <c r="A172" t="str">
        <f>"16730"</f>
        <v>16730</v>
      </c>
      <c r="B172">
        <v>19222</v>
      </c>
      <c r="C172">
        <v>1</v>
      </c>
      <c r="D172" t="str">
        <f>" "</f>
        <v xml:space="preserve"> </v>
      </c>
      <c r="E172"/>
      <c r="F172" s="19">
        <v>42398.450011574074</v>
      </c>
      <c r="G172" s="1">
        <v>42429</v>
      </c>
      <c r="H172">
        <v>5</v>
      </c>
      <c r="I172">
        <v>5</v>
      </c>
      <c r="J172"/>
      <c r="K172"/>
      <c r="L172"/>
      <c r="M172" s="1">
        <v>42433</v>
      </c>
      <c r="N172" t="s">
        <v>101</v>
      </c>
      <c r="O172"/>
      <c r="P172"/>
      <c r="Q172"/>
    </row>
    <row r="173" spans="1:17" x14ac:dyDescent="0.3">
      <c r="A173" t="str">
        <f>"16728"</f>
        <v>16728</v>
      </c>
      <c r="B173">
        <v>19335</v>
      </c>
      <c r="C173">
        <v>1</v>
      </c>
      <c r="D173" t="str">
        <f>" "</f>
        <v xml:space="preserve"> </v>
      </c>
      <c r="E173"/>
      <c r="F173" s="19">
        <v>42397.441354166665</v>
      </c>
      <c r="G173" s="1">
        <v>42429</v>
      </c>
      <c r="H173">
        <v>5</v>
      </c>
      <c r="I173">
        <v>5</v>
      </c>
      <c r="J173"/>
      <c r="K173"/>
      <c r="L173"/>
      <c r="M173" s="1">
        <v>42433</v>
      </c>
      <c r="N173" t="s">
        <v>101</v>
      </c>
      <c r="O173"/>
      <c r="P173"/>
      <c r="Q173"/>
    </row>
    <row r="174" spans="1:17" x14ac:dyDescent="0.3">
      <c r="A174" t="str">
        <f>"16704"</f>
        <v>16704</v>
      </c>
      <c r="B174">
        <v>19448</v>
      </c>
      <c r="C174">
        <v>1</v>
      </c>
      <c r="D174" t="str">
        <f>" "</f>
        <v xml:space="preserve"> </v>
      </c>
      <c r="E174"/>
      <c r="F174" s="19">
        <v>42389.566354166665</v>
      </c>
      <c r="G174" s="1">
        <v>42429</v>
      </c>
      <c r="H174">
        <v>1</v>
      </c>
      <c r="I174">
        <v>1</v>
      </c>
      <c r="J174"/>
      <c r="K174"/>
      <c r="L174"/>
      <c r="M174" s="1">
        <v>42410</v>
      </c>
      <c r="N174" t="s">
        <v>101</v>
      </c>
      <c r="O174"/>
      <c r="P174"/>
      <c r="Q174"/>
    </row>
    <row r="175" spans="1:17" x14ac:dyDescent="0.3">
      <c r="A175" t="str">
        <f>"16693"</f>
        <v>16693</v>
      </c>
      <c r="B175">
        <v>19561</v>
      </c>
      <c r="C175">
        <v>1</v>
      </c>
      <c r="D175" t="str">
        <f>" "</f>
        <v xml:space="preserve"> </v>
      </c>
      <c r="E175"/>
      <c r="F175" s="19">
        <v>42387.603750000002</v>
      </c>
      <c r="G175" s="1">
        <v>42429</v>
      </c>
      <c r="H175">
        <v>1</v>
      </c>
      <c r="I175">
        <v>1</v>
      </c>
      <c r="J175"/>
      <c r="K175"/>
      <c r="L175"/>
      <c r="M175" s="1">
        <v>42422</v>
      </c>
      <c r="N175" t="s">
        <v>101</v>
      </c>
      <c r="O175"/>
      <c r="P175"/>
      <c r="Q175"/>
    </row>
    <row r="176" spans="1:17" x14ac:dyDescent="0.3">
      <c r="A176" t="str">
        <f>"16614"</f>
        <v>16614</v>
      </c>
      <c r="B176">
        <v>19674</v>
      </c>
      <c r="C176">
        <v>1</v>
      </c>
      <c r="D176" t="str">
        <f>" "</f>
        <v xml:space="preserve"> </v>
      </c>
      <c r="E176"/>
      <c r="F176" s="19">
        <v>42346.310925925929</v>
      </c>
      <c r="G176" s="1">
        <v>42429</v>
      </c>
      <c r="H176">
        <v>5</v>
      </c>
      <c r="I176">
        <v>5</v>
      </c>
      <c r="J176"/>
      <c r="K176"/>
      <c r="L176"/>
      <c r="M176" s="1">
        <v>42356</v>
      </c>
      <c r="N176" t="s">
        <v>101</v>
      </c>
      <c r="O176"/>
      <c r="P176"/>
      <c r="Q176"/>
    </row>
    <row r="177" spans="1:17" x14ac:dyDescent="0.3">
      <c r="A177" t="str">
        <f>"16609"</f>
        <v>16609</v>
      </c>
      <c r="B177">
        <v>19787</v>
      </c>
      <c r="C177">
        <v>2</v>
      </c>
      <c r="D177" t="str">
        <f>" "</f>
        <v xml:space="preserve"> </v>
      </c>
      <c r="E177"/>
      <c r="F177" s="19">
        <v>42341.589942129627</v>
      </c>
      <c r="G177" s="1">
        <v>42429</v>
      </c>
      <c r="H177">
        <v>1</v>
      </c>
      <c r="I177">
        <v>1</v>
      </c>
      <c r="J177"/>
      <c r="K177"/>
      <c r="L177"/>
      <c r="M177" s="1">
        <v>42429</v>
      </c>
      <c r="N177" t="s">
        <v>101</v>
      </c>
      <c r="O177"/>
      <c r="P177"/>
      <c r="Q177"/>
    </row>
    <row r="178" spans="1:17" x14ac:dyDescent="0.3">
      <c r="A178" t="str">
        <f>"16738"</f>
        <v>16738</v>
      </c>
      <c r="B178">
        <v>19900</v>
      </c>
      <c r="C178">
        <v>1</v>
      </c>
      <c r="D178" t="str">
        <f>" "</f>
        <v xml:space="preserve"> </v>
      </c>
      <c r="E178"/>
      <c r="F178" s="19">
        <v>42401.355810185189</v>
      </c>
      <c r="G178" s="1">
        <v>42431</v>
      </c>
      <c r="H178">
        <v>5</v>
      </c>
      <c r="I178">
        <v>5</v>
      </c>
      <c r="J178"/>
      <c r="K178"/>
      <c r="L178"/>
      <c r="M178" s="1">
        <v>42433</v>
      </c>
      <c r="N178" t="s">
        <v>101</v>
      </c>
      <c r="O178"/>
      <c r="P178"/>
      <c r="Q178"/>
    </row>
    <row r="179" spans="1:17" x14ac:dyDescent="0.3">
      <c r="A179" t="str">
        <f>"16724"</f>
        <v>16724</v>
      </c>
      <c r="B179">
        <v>20013</v>
      </c>
      <c r="C179">
        <v>1</v>
      </c>
      <c r="D179" t="str">
        <f>" "</f>
        <v xml:space="preserve"> </v>
      </c>
      <c r="E179"/>
      <c r="F179" s="19">
        <v>42397.38758101852</v>
      </c>
      <c r="G179" s="1">
        <v>42431</v>
      </c>
      <c r="H179">
        <v>2</v>
      </c>
      <c r="I179">
        <v>2</v>
      </c>
      <c r="J179"/>
      <c r="K179"/>
      <c r="L179"/>
      <c r="M179" s="1">
        <v>42433</v>
      </c>
      <c r="N179" t="s">
        <v>101</v>
      </c>
      <c r="O179"/>
      <c r="P179"/>
      <c r="Q179"/>
    </row>
    <row r="180" spans="1:17" x14ac:dyDescent="0.3">
      <c r="A180" t="str">
        <f>"16795"</f>
        <v>16795</v>
      </c>
      <c r="B180">
        <v>20126</v>
      </c>
      <c r="C180">
        <v>1</v>
      </c>
      <c r="D180" t="str">
        <f>" "</f>
        <v xml:space="preserve"> </v>
      </c>
      <c r="E180"/>
      <c r="F180" s="19">
        <v>42430.500810185185</v>
      </c>
      <c r="G180" s="1">
        <v>42432</v>
      </c>
      <c r="H180">
        <v>1</v>
      </c>
      <c r="I180">
        <v>1</v>
      </c>
      <c r="J180"/>
      <c r="K180"/>
      <c r="L180"/>
      <c r="M180" s="1">
        <v>42440</v>
      </c>
      <c r="N180" t="s">
        <v>101</v>
      </c>
      <c r="O180"/>
      <c r="P180"/>
      <c r="Q180"/>
    </row>
    <row r="181" spans="1:17" x14ac:dyDescent="0.3">
      <c r="A181" t="str">
        <f>"16795"</f>
        <v>16795</v>
      </c>
      <c r="B181">
        <v>20239</v>
      </c>
      <c r="C181">
        <v>2</v>
      </c>
      <c r="D181" t="str">
        <f>" "</f>
        <v xml:space="preserve"> </v>
      </c>
      <c r="E181"/>
      <c r="F181" s="19">
        <v>42430.500810185185</v>
      </c>
      <c r="G181" s="1">
        <v>42432</v>
      </c>
      <c r="H181">
        <v>1</v>
      </c>
      <c r="I181">
        <v>1</v>
      </c>
      <c r="J181"/>
      <c r="K181"/>
      <c r="L181"/>
      <c r="M181" s="1">
        <v>42440</v>
      </c>
      <c r="N181" t="s">
        <v>101</v>
      </c>
      <c r="O181"/>
      <c r="P181"/>
      <c r="Q181"/>
    </row>
    <row r="182" spans="1:17" x14ac:dyDescent="0.3">
      <c r="A182" t="str">
        <f>"16795"</f>
        <v>16795</v>
      </c>
      <c r="B182">
        <v>20352</v>
      </c>
      <c r="C182">
        <v>3</v>
      </c>
      <c r="D182" t="str">
        <f>" "</f>
        <v xml:space="preserve"> </v>
      </c>
      <c r="E182"/>
      <c r="F182" s="19">
        <v>42430.500810185185</v>
      </c>
      <c r="G182" s="1">
        <v>42432</v>
      </c>
      <c r="H182">
        <v>1</v>
      </c>
      <c r="I182">
        <v>1</v>
      </c>
      <c r="J182"/>
      <c r="K182"/>
      <c r="L182"/>
      <c r="M182" s="1">
        <v>42440</v>
      </c>
      <c r="N182" t="s">
        <v>101</v>
      </c>
      <c r="O182"/>
      <c r="P182"/>
      <c r="Q182"/>
    </row>
    <row r="183" spans="1:17" x14ac:dyDescent="0.3">
      <c r="A183" t="str">
        <f>"16785"</f>
        <v>16785</v>
      </c>
      <c r="B183">
        <v>20465</v>
      </c>
      <c r="C183">
        <v>1</v>
      </c>
      <c r="D183" t="str">
        <f>" "</f>
        <v xml:space="preserve"> </v>
      </c>
      <c r="E183"/>
      <c r="F183" s="19">
        <v>42424.357627314814</v>
      </c>
      <c r="G183" s="1">
        <v>42432</v>
      </c>
      <c r="H183">
        <v>36</v>
      </c>
      <c r="I183">
        <v>36</v>
      </c>
      <c r="J183"/>
      <c r="K183"/>
      <c r="L183"/>
      <c r="M183" s="1">
        <v>42437</v>
      </c>
      <c r="N183" t="s">
        <v>101</v>
      </c>
      <c r="O183"/>
      <c r="P183"/>
      <c r="Q183"/>
    </row>
    <row r="184" spans="1:17" x14ac:dyDescent="0.3">
      <c r="A184" t="str">
        <f>"16760"</f>
        <v>16760</v>
      </c>
      <c r="B184">
        <v>20578</v>
      </c>
      <c r="C184">
        <v>1</v>
      </c>
      <c r="D184" t="str">
        <f>" "</f>
        <v xml:space="preserve"> </v>
      </c>
      <c r="E184"/>
      <c r="F184" s="19">
        <v>42412.331006944441</v>
      </c>
      <c r="G184" s="1">
        <v>42432</v>
      </c>
      <c r="H184">
        <v>1</v>
      </c>
      <c r="I184">
        <v>1</v>
      </c>
      <c r="J184"/>
      <c r="K184"/>
      <c r="L184"/>
      <c r="M184" s="1">
        <v>42425</v>
      </c>
      <c r="N184" t="s">
        <v>101</v>
      </c>
      <c r="O184"/>
      <c r="P184"/>
      <c r="Q184"/>
    </row>
    <row r="185" spans="1:17" x14ac:dyDescent="0.3">
      <c r="A185" t="str">
        <f>"16760"</f>
        <v>16760</v>
      </c>
      <c r="B185">
        <v>20691</v>
      </c>
      <c r="C185">
        <v>2</v>
      </c>
      <c r="D185" t="str">
        <f>" "</f>
        <v xml:space="preserve"> </v>
      </c>
      <c r="E185"/>
      <c r="F185" s="19">
        <v>42412.331006944441</v>
      </c>
      <c r="G185" s="1">
        <v>42432</v>
      </c>
      <c r="H185">
        <v>1</v>
      </c>
      <c r="I185">
        <v>1</v>
      </c>
      <c r="J185"/>
      <c r="K185"/>
      <c r="L185"/>
      <c r="M185" s="1">
        <v>42425</v>
      </c>
      <c r="N185" t="s">
        <v>101</v>
      </c>
      <c r="O185"/>
      <c r="P185"/>
      <c r="Q185"/>
    </row>
    <row r="186" spans="1:17" x14ac:dyDescent="0.3">
      <c r="A186" t="str">
        <f>"16760"</f>
        <v>16760</v>
      </c>
      <c r="B186">
        <v>20804</v>
      </c>
      <c r="C186">
        <v>3</v>
      </c>
      <c r="D186" t="str">
        <f>" "</f>
        <v xml:space="preserve"> </v>
      </c>
      <c r="E186"/>
      <c r="F186" s="19">
        <v>42412.331006944441</v>
      </c>
      <c r="G186" s="1">
        <v>42432</v>
      </c>
      <c r="H186">
        <v>1</v>
      </c>
      <c r="I186">
        <v>1</v>
      </c>
      <c r="J186"/>
      <c r="K186"/>
      <c r="L186"/>
      <c r="M186" s="1">
        <v>42425</v>
      </c>
      <c r="N186" t="s">
        <v>101</v>
      </c>
      <c r="O186"/>
      <c r="P186"/>
      <c r="Q186"/>
    </row>
    <row r="187" spans="1:17" x14ac:dyDescent="0.3">
      <c r="A187" t="str">
        <f>"16760"</f>
        <v>16760</v>
      </c>
      <c r="B187">
        <v>20917</v>
      </c>
      <c r="C187">
        <v>4</v>
      </c>
      <c r="D187" t="str">
        <f>" "</f>
        <v xml:space="preserve"> </v>
      </c>
      <c r="E187"/>
      <c r="F187" s="19">
        <v>42412.331006944441</v>
      </c>
      <c r="G187" s="1">
        <v>42432</v>
      </c>
      <c r="H187">
        <v>1</v>
      </c>
      <c r="I187">
        <v>1</v>
      </c>
      <c r="J187"/>
      <c r="K187"/>
      <c r="L187"/>
      <c r="M187" s="1">
        <v>42425</v>
      </c>
      <c r="N187" t="s">
        <v>101</v>
      </c>
      <c r="O187"/>
      <c r="P187"/>
      <c r="Q187"/>
    </row>
    <row r="188" spans="1:17" x14ac:dyDescent="0.3">
      <c r="A188" t="str">
        <f>"16725"</f>
        <v>16725</v>
      </c>
      <c r="B188">
        <v>21030</v>
      </c>
      <c r="C188">
        <v>1</v>
      </c>
      <c r="D188" t="str">
        <f>" "</f>
        <v xml:space="preserve"> </v>
      </c>
      <c r="E188"/>
      <c r="F188" s="19">
        <v>42397.399907407409</v>
      </c>
      <c r="G188" s="1">
        <v>42432</v>
      </c>
      <c r="H188">
        <v>2</v>
      </c>
      <c r="I188">
        <v>2</v>
      </c>
      <c r="J188"/>
      <c r="K188"/>
      <c r="L188"/>
      <c r="M188" s="1">
        <v>42433</v>
      </c>
      <c r="N188" t="s">
        <v>101</v>
      </c>
      <c r="O188"/>
      <c r="P188"/>
      <c r="Q188"/>
    </row>
    <row r="189" spans="1:17" x14ac:dyDescent="0.3">
      <c r="A189" t="str">
        <f>"16688"</f>
        <v>16688</v>
      </c>
      <c r="B189">
        <v>21143</v>
      </c>
      <c r="C189">
        <v>2</v>
      </c>
      <c r="D189" t="str">
        <f>" "</f>
        <v xml:space="preserve"> </v>
      </c>
      <c r="E189"/>
      <c r="F189" s="19">
        <v>42382.612013888887</v>
      </c>
      <c r="G189" s="1">
        <v>42432</v>
      </c>
      <c r="H189">
        <v>2</v>
      </c>
      <c r="I189">
        <v>2</v>
      </c>
      <c r="J189"/>
      <c r="K189"/>
      <c r="L189"/>
      <c r="M189" s="1">
        <v>42417</v>
      </c>
      <c r="N189" t="s">
        <v>101</v>
      </c>
      <c r="O189"/>
      <c r="P189"/>
      <c r="Q189"/>
    </row>
    <row r="190" spans="1:17" x14ac:dyDescent="0.3">
      <c r="A190" t="str">
        <f>"16759"</f>
        <v>16759</v>
      </c>
      <c r="B190">
        <v>21256</v>
      </c>
      <c r="C190">
        <v>2</v>
      </c>
      <c r="D190" t="str">
        <f>" "</f>
        <v xml:space="preserve"> </v>
      </c>
      <c r="E190"/>
      <c r="F190" s="19">
        <v>42411.43608796296</v>
      </c>
      <c r="G190" s="1">
        <v>42433</v>
      </c>
      <c r="H190">
        <v>1</v>
      </c>
      <c r="I190">
        <v>1</v>
      </c>
      <c r="J190"/>
      <c r="K190"/>
      <c r="L190"/>
      <c r="M190" s="1">
        <v>42425</v>
      </c>
      <c r="N190" t="s">
        <v>101</v>
      </c>
      <c r="O190"/>
      <c r="P190"/>
      <c r="Q190"/>
    </row>
    <row r="191" spans="1:17" x14ac:dyDescent="0.3">
      <c r="A191" t="str">
        <f>"16745"</f>
        <v>16745</v>
      </c>
      <c r="B191">
        <v>21369</v>
      </c>
      <c r="C191">
        <v>3</v>
      </c>
      <c r="D191" t="str">
        <f>" "</f>
        <v xml:space="preserve"> </v>
      </c>
      <c r="E191"/>
      <c r="F191" s="19">
        <v>42403.35564814815</v>
      </c>
      <c r="G191" s="1">
        <v>42433</v>
      </c>
      <c r="H191">
        <v>1</v>
      </c>
      <c r="I191">
        <v>1</v>
      </c>
      <c r="J191"/>
      <c r="K191"/>
      <c r="L191"/>
      <c r="M191" s="1">
        <v>42423</v>
      </c>
      <c r="N191" t="s">
        <v>101</v>
      </c>
      <c r="O191"/>
      <c r="P191"/>
      <c r="Q191"/>
    </row>
    <row r="192" spans="1:17" x14ac:dyDescent="0.3">
      <c r="A192" t="str">
        <f>"16745"</f>
        <v>16745</v>
      </c>
      <c r="B192">
        <v>21482</v>
      </c>
      <c r="C192">
        <v>4</v>
      </c>
      <c r="D192" t="str">
        <f>" "</f>
        <v xml:space="preserve"> </v>
      </c>
      <c r="E192"/>
      <c r="F192" s="19">
        <v>42403.35564814815</v>
      </c>
      <c r="G192" s="1">
        <v>42433</v>
      </c>
      <c r="H192">
        <v>1</v>
      </c>
      <c r="I192">
        <v>1</v>
      </c>
      <c r="J192"/>
      <c r="K192"/>
      <c r="L192"/>
      <c r="M192" s="1">
        <v>42423</v>
      </c>
      <c r="N192" t="s">
        <v>101</v>
      </c>
      <c r="O192"/>
      <c r="P192"/>
      <c r="Q192"/>
    </row>
    <row r="193" spans="1:17" x14ac:dyDescent="0.3">
      <c r="A193" t="str">
        <f>"16747"</f>
        <v>16747</v>
      </c>
      <c r="B193">
        <v>21595</v>
      </c>
      <c r="C193">
        <v>1</v>
      </c>
      <c r="D193" t="str">
        <f>" "</f>
        <v xml:space="preserve"> </v>
      </c>
      <c r="E193"/>
      <c r="F193" s="19">
        <v>42404.364722222221</v>
      </c>
      <c r="G193" s="1">
        <v>42436</v>
      </c>
      <c r="H193">
        <v>1</v>
      </c>
      <c r="I193">
        <v>1</v>
      </c>
      <c r="J193"/>
      <c r="K193"/>
      <c r="L193"/>
      <c r="M193" s="1">
        <v>42436</v>
      </c>
      <c r="N193" t="s">
        <v>101</v>
      </c>
      <c r="O193"/>
      <c r="P193"/>
      <c r="Q193"/>
    </row>
    <row r="194" spans="1:17" x14ac:dyDescent="0.3">
      <c r="A194" t="str">
        <f>"16731"</f>
        <v>16731</v>
      </c>
      <c r="B194">
        <v>21708</v>
      </c>
      <c r="C194">
        <v>1</v>
      </c>
      <c r="D194" t="str">
        <f>" "</f>
        <v xml:space="preserve"> </v>
      </c>
      <c r="E194"/>
      <c r="F194" s="19">
        <v>42398.461273148147</v>
      </c>
      <c r="G194" s="1">
        <v>42436</v>
      </c>
      <c r="H194">
        <v>2</v>
      </c>
      <c r="I194">
        <v>2</v>
      </c>
      <c r="J194"/>
      <c r="K194"/>
      <c r="L194"/>
      <c r="M194" s="1">
        <v>42440</v>
      </c>
      <c r="N194" t="s">
        <v>101</v>
      </c>
      <c r="O194"/>
      <c r="P194"/>
      <c r="Q194"/>
    </row>
    <row r="195" spans="1:17" x14ac:dyDescent="0.3">
      <c r="A195" t="str">
        <f>"16783"</f>
        <v>16783</v>
      </c>
      <c r="B195">
        <v>21821</v>
      </c>
      <c r="C195">
        <v>1</v>
      </c>
      <c r="D195" t="str">
        <f>" "</f>
        <v xml:space="preserve"> </v>
      </c>
      <c r="E195"/>
      <c r="F195" s="19">
        <v>42423.593101851853</v>
      </c>
      <c r="G195" s="1">
        <v>42437</v>
      </c>
      <c r="H195">
        <v>2</v>
      </c>
      <c r="I195">
        <v>2</v>
      </c>
      <c r="J195"/>
      <c r="K195"/>
      <c r="L195"/>
      <c r="M195" s="1">
        <v>42433</v>
      </c>
      <c r="N195" t="s">
        <v>101</v>
      </c>
      <c r="O195"/>
      <c r="P195"/>
      <c r="Q195"/>
    </row>
    <row r="196" spans="1:17" x14ac:dyDescent="0.3">
      <c r="A196" t="str">
        <f>"16783"</f>
        <v>16783</v>
      </c>
      <c r="B196">
        <v>21934</v>
      </c>
      <c r="C196">
        <v>2</v>
      </c>
      <c r="D196" t="str">
        <f>" "</f>
        <v xml:space="preserve"> </v>
      </c>
      <c r="E196"/>
      <c r="F196" s="19">
        <v>42424.305902777778</v>
      </c>
      <c r="G196" s="1">
        <v>42437</v>
      </c>
      <c r="H196">
        <v>1</v>
      </c>
      <c r="I196">
        <v>1</v>
      </c>
      <c r="J196"/>
      <c r="K196"/>
      <c r="L196"/>
      <c r="M196" s="1">
        <v>42433</v>
      </c>
      <c r="N196" t="s">
        <v>101</v>
      </c>
      <c r="O196"/>
      <c r="P196"/>
      <c r="Q196"/>
    </row>
    <row r="197" spans="1:17" x14ac:dyDescent="0.3">
      <c r="A197" t="str">
        <f>"16710"</f>
        <v>16710</v>
      </c>
      <c r="B197">
        <v>22047</v>
      </c>
      <c r="C197">
        <v>1</v>
      </c>
      <c r="D197" t="str">
        <f>" "</f>
        <v xml:space="preserve"> </v>
      </c>
      <c r="E197"/>
      <c r="F197" s="19">
        <v>42395.571620370371</v>
      </c>
      <c r="G197" s="1">
        <v>42437</v>
      </c>
      <c r="H197">
        <v>1</v>
      </c>
      <c r="I197">
        <v>1</v>
      </c>
      <c r="J197"/>
      <c r="K197"/>
      <c r="L197"/>
      <c r="M197" s="1">
        <v>42436</v>
      </c>
      <c r="N197" t="s">
        <v>101</v>
      </c>
      <c r="O197"/>
      <c r="P197"/>
      <c r="Q197"/>
    </row>
    <row r="198" spans="1:17" x14ac:dyDescent="0.3">
      <c r="A198" t="str">
        <f>"16710"</f>
        <v>16710</v>
      </c>
      <c r="B198">
        <v>22160</v>
      </c>
      <c r="C198">
        <v>2</v>
      </c>
      <c r="D198" t="str">
        <f>" "</f>
        <v xml:space="preserve"> </v>
      </c>
      <c r="E198"/>
      <c r="F198" s="19">
        <v>42395.571620370371</v>
      </c>
      <c r="G198" s="1">
        <v>42437</v>
      </c>
      <c r="H198">
        <v>12</v>
      </c>
      <c r="I198">
        <v>12</v>
      </c>
      <c r="J198"/>
      <c r="K198"/>
      <c r="L198"/>
      <c r="M198" s="1">
        <v>42436</v>
      </c>
      <c r="N198" t="s">
        <v>101</v>
      </c>
      <c r="O198"/>
      <c r="P198"/>
      <c r="Q198"/>
    </row>
    <row r="199" spans="1:17" x14ac:dyDescent="0.3">
      <c r="A199" t="str">
        <f>"16710"</f>
        <v>16710</v>
      </c>
      <c r="B199">
        <v>22273</v>
      </c>
      <c r="C199">
        <v>3</v>
      </c>
      <c r="D199" t="str">
        <f>" "</f>
        <v xml:space="preserve"> </v>
      </c>
      <c r="E199"/>
      <c r="F199" s="19">
        <v>42395.571620370371</v>
      </c>
      <c r="G199" s="1">
        <v>42437</v>
      </c>
      <c r="H199">
        <v>1</v>
      </c>
      <c r="I199">
        <v>1</v>
      </c>
      <c r="J199"/>
      <c r="K199"/>
      <c r="L199"/>
      <c r="M199" s="1">
        <v>42436</v>
      </c>
      <c r="N199" t="s">
        <v>101</v>
      </c>
      <c r="O199"/>
      <c r="P199"/>
      <c r="Q199"/>
    </row>
    <row r="200" spans="1:17" x14ac:dyDescent="0.3">
      <c r="A200" t="str">
        <f>"16710"</f>
        <v>16710</v>
      </c>
      <c r="B200">
        <v>22386</v>
      </c>
      <c r="C200">
        <v>4</v>
      </c>
      <c r="D200" t="str">
        <f>" "</f>
        <v xml:space="preserve"> </v>
      </c>
      <c r="E200"/>
      <c r="F200" s="19">
        <v>42395.571620370371</v>
      </c>
      <c r="G200" s="1">
        <v>42437</v>
      </c>
      <c r="H200">
        <v>4</v>
      </c>
      <c r="I200">
        <v>4</v>
      </c>
      <c r="J200"/>
      <c r="K200"/>
      <c r="L200"/>
      <c r="M200" s="1">
        <v>42436</v>
      </c>
      <c r="N200" t="s">
        <v>101</v>
      </c>
      <c r="O200"/>
      <c r="P200"/>
      <c r="Q200"/>
    </row>
    <row r="201" spans="1:17" x14ac:dyDescent="0.3">
      <c r="A201" t="str">
        <f>"16710"</f>
        <v>16710</v>
      </c>
      <c r="B201">
        <v>22499</v>
      </c>
      <c r="C201">
        <v>5</v>
      </c>
      <c r="D201" t="str">
        <f>" "</f>
        <v xml:space="preserve"> </v>
      </c>
      <c r="E201"/>
      <c r="F201" s="19">
        <v>42395.571620370371</v>
      </c>
      <c r="G201" s="1">
        <v>42437</v>
      </c>
      <c r="H201">
        <v>1</v>
      </c>
      <c r="I201">
        <v>1</v>
      </c>
      <c r="J201"/>
      <c r="K201"/>
      <c r="L201"/>
      <c r="M201" s="1">
        <v>42436</v>
      </c>
      <c r="N201" t="s">
        <v>101</v>
      </c>
      <c r="O201"/>
      <c r="P201"/>
      <c r="Q201"/>
    </row>
    <row r="202" spans="1:17" x14ac:dyDescent="0.3">
      <c r="A202" t="str">
        <f>"16710"</f>
        <v>16710</v>
      </c>
      <c r="B202">
        <v>22612</v>
      </c>
      <c r="C202">
        <v>6</v>
      </c>
      <c r="D202" t="str">
        <f>" "</f>
        <v xml:space="preserve"> </v>
      </c>
      <c r="E202"/>
      <c r="F202" s="19">
        <v>42395.571620370371</v>
      </c>
      <c r="G202" s="1">
        <v>42437</v>
      </c>
      <c r="H202">
        <v>1</v>
      </c>
      <c r="I202">
        <v>1</v>
      </c>
      <c r="J202"/>
      <c r="K202"/>
      <c r="L202"/>
      <c r="M202" s="1">
        <v>42436</v>
      </c>
      <c r="N202" t="s">
        <v>101</v>
      </c>
      <c r="O202"/>
      <c r="P202"/>
      <c r="Q202"/>
    </row>
    <row r="203" spans="1:17" x14ac:dyDescent="0.3">
      <c r="A203" t="str">
        <f>"16710"</f>
        <v>16710</v>
      </c>
      <c r="B203">
        <v>22725</v>
      </c>
      <c r="C203">
        <v>7</v>
      </c>
      <c r="D203" t="str">
        <f>" "</f>
        <v xml:space="preserve"> </v>
      </c>
      <c r="E203"/>
      <c r="F203" s="19">
        <v>42395.571620370371</v>
      </c>
      <c r="G203" s="1">
        <v>42437</v>
      </c>
      <c r="H203">
        <v>1</v>
      </c>
      <c r="I203">
        <v>1</v>
      </c>
      <c r="J203"/>
      <c r="K203"/>
      <c r="L203"/>
      <c r="M203" s="1">
        <v>42436</v>
      </c>
      <c r="N203" t="s">
        <v>101</v>
      </c>
      <c r="O203"/>
      <c r="P203"/>
      <c r="Q203"/>
    </row>
    <row r="204" spans="1:17" x14ac:dyDescent="0.3">
      <c r="A204" t="str">
        <f>"16710"</f>
        <v>16710</v>
      </c>
      <c r="B204">
        <v>22838</v>
      </c>
      <c r="C204">
        <v>9</v>
      </c>
      <c r="D204" t="str">
        <f>" "</f>
        <v xml:space="preserve"> </v>
      </c>
      <c r="E204"/>
      <c r="F204" s="19">
        <v>42395.571620370371</v>
      </c>
      <c r="G204" s="1">
        <v>42437</v>
      </c>
      <c r="H204">
        <v>1</v>
      </c>
      <c r="I204">
        <v>1</v>
      </c>
      <c r="J204"/>
      <c r="K204"/>
      <c r="L204"/>
      <c r="M204" s="1">
        <v>42436</v>
      </c>
      <c r="N204" t="s">
        <v>101</v>
      </c>
      <c r="O204"/>
      <c r="P204"/>
      <c r="Q204"/>
    </row>
    <row r="205" spans="1:17" x14ac:dyDescent="0.3">
      <c r="A205" t="str">
        <f>"16710"</f>
        <v>16710</v>
      </c>
      <c r="B205">
        <v>22951</v>
      </c>
      <c r="C205">
        <v>10</v>
      </c>
      <c r="D205" t="str">
        <f>" "</f>
        <v xml:space="preserve"> </v>
      </c>
      <c r="E205"/>
      <c r="F205" s="19">
        <v>42395.571620370371</v>
      </c>
      <c r="G205" s="1">
        <v>42437</v>
      </c>
      <c r="H205">
        <v>2</v>
      </c>
      <c r="I205">
        <v>2</v>
      </c>
      <c r="J205"/>
      <c r="K205"/>
      <c r="L205"/>
      <c r="M205" s="1">
        <v>42436</v>
      </c>
      <c r="N205" t="s">
        <v>101</v>
      </c>
      <c r="O205"/>
      <c r="P205"/>
      <c r="Q205"/>
    </row>
    <row r="206" spans="1:17" x14ac:dyDescent="0.3">
      <c r="A206" t="str">
        <f>"16688"</f>
        <v>16688</v>
      </c>
      <c r="B206">
        <v>23064</v>
      </c>
      <c r="C206">
        <v>1</v>
      </c>
      <c r="D206" t="str">
        <f>" "</f>
        <v xml:space="preserve"> </v>
      </c>
      <c r="E206"/>
      <c r="F206" s="19">
        <v>42382.612013888887</v>
      </c>
      <c r="G206" s="1">
        <v>42437</v>
      </c>
      <c r="H206">
        <v>3</v>
      </c>
      <c r="I206">
        <v>2</v>
      </c>
      <c r="J206"/>
      <c r="K206"/>
      <c r="L206"/>
      <c r="M206" s="1">
        <v>42417</v>
      </c>
      <c r="N206" t="s">
        <v>101</v>
      </c>
      <c r="O206"/>
      <c r="P206"/>
      <c r="Q206"/>
    </row>
    <row r="207" spans="1:17" x14ac:dyDescent="0.3">
      <c r="A207" t="str">
        <f>"16794"</f>
        <v>16794</v>
      </c>
      <c r="B207">
        <v>23177</v>
      </c>
      <c r="C207">
        <v>1</v>
      </c>
      <c r="D207" t="str">
        <f>" "</f>
        <v xml:space="preserve"> </v>
      </c>
      <c r="E207"/>
      <c r="F207" s="19">
        <v>42430.449687499997</v>
      </c>
      <c r="G207" s="1">
        <v>42439</v>
      </c>
      <c r="H207">
        <v>2</v>
      </c>
      <c r="I207">
        <v>2</v>
      </c>
      <c r="J207"/>
      <c r="K207"/>
      <c r="L207"/>
      <c r="M207" s="1">
        <v>42437</v>
      </c>
      <c r="N207" t="s">
        <v>101</v>
      </c>
      <c r="O207"/>
      <c r="P207"/>
      <c r="Q207"/>
    </row>
    <row r="208" spans="1:17" x14ac:dyDescent="0.3">
      <c r="A208" t="str">
        <f>"16615"</f>
        <v>16615</v>
      </c>
      <c r="B208">
        <v>23290</v>
      </c>
      <c r="C208">
        <v>1</v>
      </c>
      <c r="D208" t="str">
        <f>" "</f>
        <v xml:space="preserve"> </v>
      </c>
      <c r="E208"/>
      <c r="F208" s="19">
        <v>42346.597685185188</v>
      </c>
      <c r="G208" s="1">
        <v>42440</v>
      </c>
      <c r="H208">
        <v>3</v>
      </c>
      <c r="I208">
        <v>3</v>
      </c>
      <c r="J208"/>
      <c r="K208"/>
      <c r="L208"/>
      <c r="M208"/>
      <c r="N208" t="s">
        <v>101</v>
      </c>
      <c r="O208"/>
      <c r="P208"/>
      <c r="Q208"/>
    </row>
    <row r="209" spans="1:17" x14ac:dyDescent="0.3">
      <c r="A209" t="str">
        <f>"16789"</f>
        <v>16789</v>
      </c>
      <c r="B209">
        <v>23403</v>
      </c>
      <c r="C209">
        <v>1</v>
      </c>
      <c r="D209" t="str">
        <f>" "</f>
        <v xml:space="preserve"> </v>
      </c>
      <c r="E209"/>
      <c r="F209" s="19">
        <v>42424.463622685187</v>
      </c>
      <c r="G209" s="1">
        <v>42443</v>
      </c>
      <c r="H209">
        <v>3</v>
      </c>
      <c r="I209">
        <v>3</v>
      </c>
      <c r="J209"/>
      <c r="K209"/>
      <c r="L209"/>
      <c r="M209" s="1">
        <v>42433</v>
      </c>
      <c r="N209" t="s">
        <v>101</v>
      </c>
      <c r="O209"/>
      <c r="P209"/>
      <c r="Q209"/>
    </row>
    <row r="210" spans="1:17" x14ac:dyDescent="0.3">
      <c r="A210" t="str">
        <f>"16777"</f>
        <v>16777</v>
      </c>
      <c r="B210">
        <v>23516</v>
      </c>
      <c r="C210">
        <v>1</v>
      </c>
      <c r="D210" t="str">
        <f>" "</f>
        <v xml:space="preserve"> </v>
      </c>
      <c r="E210"/>
      <c r="F210" s="19">
        <v>42419.499097222222</v>
      </c>
      <c r="G210" s="1">
        <v>42443</v>
      </c>
      <c r="H210">
        <v>2</v>
      </c>
      <c r="I210">
        <v>2</v>
      </c>
      <c r="J210"/>
      <c r="K210"/>
      <c r="L210"/>
      <c r="M210" s="1">
        <v>42447</v>
      </c>
      <c r="N210" t="s">
        <v>101</v>
      </c>
      <c r="O210"/>
      <c r="P210"/>
      <c r="Q210"/>
    </row>
    <row r="211" spans="1:17" x14ac:dyDescent="0.3">
      <c r="A211" t="str">
        <f>"16767"</f>
        <v>16767</v>
      </c>
      <c r="B211">
        <v>23629</v>
      </c>
      <c r="C211">
        <v>1</v>
      </c>
      <c r="D211" t="str">
        <f>" "</f>
        <v xml:space="preserve"> </v>
      </c>
      <c r="E211"/>
      <c r="F211" s="19">
        <v>42415.489027777781</v>
      </c>
      <c r="G211" s="1">
        <v>42443</v>
      </c>
      <c r="H211">
        <v>2</v>
      </c>
      <c r="I211">
        <v>2</v>
      </c>
      <c r="J211"/>
      <c r="K211"/>
      <c r="L211"/>
      <c r="M211" s="1">
        <v>42426</v>
      </c>
      <c r="N211" t="s">
        <v>101</v>
      </c>
      <c r="O211"/>
      <c r="P211"/>
      <c r="Q211"/>
    </row>
    <row r="212" spans="1:17" x14ac:dyDescent="0.3">
      <c r="A212" t="str">
        <f>"16734"</f>
        <v>16734</v>
      </c>
      <c r="B212">
        <v>23742</v>
      </c>
      <c r="C212">
        <v>1</v>
      </c>
      <c r="D212" t="str">
        <f>" "</f>
        <v xml:space="preserve"> </v>
      </c>
      <c r="E212"/>
      <c r="F212" s="19">
        <v>42398.492962962962</v>
      </c>
      <c r="G212" s="1">
        <v>42443</v>
      </c>
      <c r="H212">
        <v>10</v>
      </c>
      <c r="I212">
        <v>10</v>
      </c>
      <c r="J212"/>
      <c r="K212"/>
      <c r="L212"/>
      <c r="M212" s="1">
        <v>42447</v>
      </c>
      <c r="N212" t="s">
        <v>102</v>
      </c>
      <c r="O212"/>
      <c r="P212"/>
      <c r="Q212"/>
    </row>
    <row r="213" spans="1:17" x14ac:dyDescent="0.3">
      <c r="A213" t="str">
        <f>"16780"</f>
        <v>16780</v>
      </c>
      <c r="B213">
        <v>23855</v>
      </c>
      <c r="C213">
        <v>1</v>
      </c>
      <c r="D213" t="str">
        <f>" "</f>
        <v xml:space="preserve"> </v>
      </c>
      <c r="E213"/>
      <c r="F213" s="19">
        <v>42423.368032407408</v>
      </c>
      <c r="G213" s="1">
        <v>42444</v>
      </c>
      <c r="H213">
        <v>1</v>
      </c>
      <c r="I213">
        <v>1</v>
      </c>
      <c r="J213"/>
      <c r="K213"/>
      <c r="L213"/>
      <c r="M213" s="1">
        <v>42454</v>
      </c>
      <c r="N213" t="s">
        <v>102</v>
      </c>
      <c r="O213"/>
      <c r="P213"/>
      <c r="Q213"/>
    </row>
    <row r="214" spans="1:17" x14ac:dyDescent="0.3">
      <c r="A214" t="str">
        <f>"16780"</f>
        <v>16780</v>
      </c>
      <c r="B214">
        <v>23968</v>
      </c>
      <c r="C214">
        <v>2</v>
      </c>
      <c r="D214" t="str">
        <f>" "</f>
        <v xml:space="preserve"> </v>
      </c>
      <c r="E214"/>
      <c r="F214" s="19">
        <v>42423.368032407408</v>
      </c>
      <c r="G214" s="1">
        <v>42444</v>
      </c>
      <c r="H214">
        <v>2</v>
      </c>
      <c r="I214">
        <v>2</v>
      </c>
      <c r="J214"/>
      <c r="K214"/>
      <c r="L214"/>
      <c r="M214" s="1">
        <v>42454</v>
      </c>
      <c r="N214" t="s">
        <v>102</v>
      </c>
      <c r="O214"/>
      <c r="P214"/>
      <c r="Q214"/>
    </row>
    <row r="215" spans="1:17" x14ac:dyDescent="0.3">
      <c r="A215" t="str">
        <f>"16780"</f>
        <v>16780</v>
      </c>
      <c r="B215">
        <v>24081</v>
      </c>
      <c r="C215">
        <v>3</v>
      </c>
      <c r="D215" t="str">
        <f>" "</f>
        <v xml:space="preserve"> </v>
      </c>
      <c r="E215"/>
      <c r="F215" s="19">
        <v>42423.368032407408</v>
      </c>
      <c r="G215" s="1">
        <v>42444</v>
      </c>
      <c r="H215">
        <v>1</v>
      </c>
      <c r="I215">
        <v>1</v>
      </c>
      <c r="J215"/>
      <c r="K215"/>
      <c r="L215"/>
      <c r="M215" s="1">
        <v>42454</v>
      </c>
      <c r="N215" t="s">
        <v>102</v>
      </c>
      <c r="O215"/>
      <c r="P215"/>
      <c r="Q215"/>
    </row>
    <row r="216" spans="1:17" x14ac:dyDescent="0.3">
      <c r="A216" t="str">
        <f>"16780"</f>
        <v>16780</v>
      </c>
      <c r="B216">
        <v>24194</v>
      </c>
      <c r="C216">
        <v>4</v>
      </c>
      <c r="D216" t="str">
        <f>" "</f>
        <v xml:space="preserve"> </v>
      </c>
      <c r="E216"/>
      <c r="F216" s="19">
        <v>42423.368032407408</v>
      </c>
      <c r="G216" s="1">
        <v>42444</v>
      </c>
      <c r="H216">
        <v>1</v>
      </c>
      <c r="I216">
        <v>1</v>
      </c>
      <c r="J216"/>
      <c r="K216"/>
      <c r="L216"/>
      <c r="M216" s="1">
        <v>42454</v>
      </c>
      <c r="N216" t="s">
        <v>102</v>
      </c>
      <c r="O216"/>
      <c r="P216"/>
      <c r="Q216"/>
    </row>
    <row r="217" spans="1:17" x14ac:dyDescent="0.3">
      <c r="A217" t="str">
        <f>"16748"</f>
        <v>16748</v>
      </c>
      <c r="B217">
        <v>24307</v>
      </c>
      <c r="C217">
        <v>1</v>
      </c>
      <c r="D217" t="str">
        <f>" "</f>
        <v xml:space="preserve"> </v>
      </c>
      <c r="E217"/>
      <c r="F217" s="19">
        <v>42404.556469907409</v>
      </c>
      <c r="G217" s="1">
        <v>42444</v>
      </c>
      <c r="H217">
        <v>1</v>
      </c>
      <c r="I217">
        <v>1</v>
      </c>
      <c r="J217"/>
      <c r="K217"/>
      <c r="L217"/>
      <c r="M217" s="1">
        <v>42482</v>
      </c>
      <c r="N217" t="s">
        <v>102</v>
      </c>
      <c r="O217"/>
      <c r="P217"/>
      <c r="Q217"/>
    </row>
    <row r="218" spans="1:17" x14ac:dyDescent="0.3">
      <c r="A218" t="str">
        <f>"16748"</f>
        <v>16748</v>
      </c>
      <c r="B218">
        <v>24420</v>
      </c>
      <c r="C218">
        <v>2</v>
      </c>
      <c r="D218" t="str">
        <f>" "</f>
        <v xml:space="preserve"> </v>
      </c>
      <c r="E218"/>
      <c r="F218" s="19">
        <v>42404.556469907409</v>
      </c>
      <c r="G218" s="1">
        <v>42444</v>
      </c>
      <c r="H218">
        <v>1</v>
      </c>
      <c r="I218">
        <v>1</v>
      </c>
      <c r="J218"/>
      <c r="K218"/>
      <c r="L218"/>
      <c r="M218" s="1">
        <v>42482</v>
      </c>
      <c r="N218" t="s">
        <v>102</v>
      </c>
      <c r="O218"/>
      <c r="P218"/>
      <c r="Q218"/>
    </row>
    <row r="219" spans="1:17" x14ac:dyDescent="0.3">
      <c r="A219" t="str">
        <f>"16677"</f>
        <v>16677</v>
      </c>
      <c r="B219">
        <v>24533</v>
      </c>
      <c r="C219">
        <v>1</v>
      </c>
      <c r="D219" t="str">
        <f>" "</f>
        <v xml:space="preserve"> </v>
      </c>
      <c r="E219"/>
      <c r="F219" s="19">
        <v>42376.602743055555</v>
      </c>
      <c r="G219" s="1">
        <v>42444</v>
      </c>
      <c r="H219">
        <v>1</v>
      </c>
      <c r="I219">
        <v>1</v>
      </c>
      <c r="J219"/>
      <c r="K219"/>
      <c r="L219"/>
      <c r="M219" s="1">
        <v>42432</v>
      </c>
      <c r="N219" t="s">
        <v>102</v>
      </c>
      <c r="O219"/>
      <c r="P219"/>
      <c r="Q219"/>
    </row>
    <row r="220" spans="1:17" x14ac:dyDescent="0.3">
      <c r="A220" t="str">
        <f>"16675"</f>
        <v>16675</v>
      </c>
      <c r="B220">
        <v>24646</v>
      </c>
      <c r="C220">
        <v>1</v>
      </c>
      <c r="D220" t="str">
        <f>" "</f>
        <v xml:space="preserve"> </v>
      </c>
      <c r="E220"/>
      <c r="F220" s="19">
        <v>42376.460613425923</v>
      </c>
      <c r="G220" s="1">
        <v>42444</v>
      </c>
      <c r="H220">
        <v>1</v>
      </c>
      <c r="I220">
        <v>1</v>
      </c>
      <c r="J220"/>
      <c r="K220"/>
      <c r="L220"/>
      <c r="M220" s="1">
        <v>42429</v>
      </c>
      <c r="N220" t="s">
        <v>102</v>
      </c>
      <c r="O220"/>
      <c r="P220"/>
      <c r="Q220"/>
    </row>
    <row r="221" spans="1:17" x14ac:dyDescent="0.3">
      <c r="A221" t="str">
        <f>"16763"</f>
        <v>16763</v>
      </c>
      <c r="B221">
        <v>24759</v>
      </c>
      <c r="C221">
        <v>1</v>
      </c>
      <c r="D221" t="str">
        <f>" "</f>
        <v xml:space="preserve"> </v>
      </c>
      <c r="E221"/>
      <c r="F221" s="19">
        <v>42412.620625000003</v>
      </c>
      <c r="G221" s="1">
        <v>42445</v>
      </c>
      <c r="H221">
        <v>1</v>
      </c>
      <c r="I221">
        <v>1</v>
      </c>
      <c r="J221"/>
      <c r="K221"/>
      <c r="L221"/>
      <c r="M221" s="1">
        <v>42443</v>
      </c>
      <c r="N221" t="s">
        <v>102</v>
      </c>
      <c r="O221"/>
      <c r="P221"/>
      <c r="Q221"/>
    </row>
    <row r="222" spans="1:17" x14ac:dyDescent="0.3">
      <c r="A222" t="str">
        <f>"16729"</f>
        <v>16729</v>
      </c>
      <c r="B222">
        <v>24872</v>
      </c>
      <c r="C222">
        <v>1</v>
      </c>
      <c r="D222" t="str">
        <f>" "</f>
        <v xml:space="preserve"> </v>
      </c>
      <c r="E222"/>
      <c r="F222" s="19">
        <v>42397.4528587963</v>
      </c>
      <c r="G222" s="1">
        <v>42445</v>
      </c>
      <c r="H222">
        <v>5</v>
      </c>
      <c r="I222">
        <v>5</v>
      </c>
      <c r="J222"/>
      <c r="K222"/>
      <c r="L222"/>
      <c r="M222" s="1">
        <v>42433</v>
      </c>
      <c r="N222" t="s">
        <v>102</v>
      </c>
      <c r="O222"/>
      <c r="P222"/>
      <c r="Q222"/>
    </row>
    <row r="223" spans="1:17" x14ac:dyDescent="0.3">
      <c r="A223" t="str">
        <f>"16820"</f>
        <v>16820</v>
      </c>
      <c r="B223">
        <v>24985</v>
      </c>
      <c r="C223">
        <v>1</v>
      </c>
      <c r="D223" t="str">
        <f>" "</f>
        <v xml:space="preserve"> </v>
      </c>
      <c r="E223"/>
      <c r="F223" s="19">
        <v>42444.338530092595</v>
      </c>
      <c r="G223" s="1">
        <v>42446</v>
      </c>
      <c r="H223">
        <v>6</v>
      </c>
      <c r="I223">
        <v>6</v>
      </c>
      <c r="J223"/>
      <c r="K223"/>
      <c r="L223"/>
      <c r="M223"/>
      <c r="N223" t="s">
        <v>102</v>
      </c>
      <c r="O223"/>
      <c r="P223"/>
      <c r="Q223"/>
    </row>
    <row r="224" spans="1:17" x14ac:dyDescent="0.3">
      <c r="A224" t="str">
        <f>"16820"</f>
        <v>16820</v>
      </c>
      <c r="B224">
        <v>25098</v>
      </c>
      <c r="C224">
        <v>2</v>
      </c>
      <c r="D224" t="str">
        <f>" "</f>
        <v xml:space="preserve"> </v>
      </c>
      <c r="E224"/>
      <c r="F224" s="19">
        <v>42444.338530092595</v>
      </c>
      <c r="G224" s="1">
        <v>42446</v>
      </c>
      <c r="H224">
        <v>1</v>
      </c>
      <c r="I224">
        <v>1</v>
      </c>
      <c r="J224"/>
      <c r="K224"/>
      <c r="L224"/>
      <c r="M224"/>
      <c r="N224" t="s">
        <v>102</v>
      </c>
      <c r="O224"/>
      <c r="P224"/>
      <c r="Q224"/>
    </row>
    <row r="225" spans="1:17" x14ac:dyDescent="0.3">
      <c r="A225" t="str">
        <f>"16803"</f>
        <v>16803</v>
      </c>
      <c r="B225">
        <v>25211</v>
      </c>
      <c r="C225">
        <v>1</v>
      </c>
      <c r="D225" t="str">
        <f>" "</f>
        <v xml:space="preserve"> </v>
      </c>
      <c r="E225"/>
      <c r="F225" s="19">
        <v>42436.357592592591</v>
      </c>
      <c r="G225" s="1">
        <v>42446</v>
      </c>
      <c r="H225">
        <v>1</v>
      </c>
      <c r="I225">
        <v>1</v>
      </c>
      <c r="J225"/>
      <c r="K225"/>
      <c r="L225"/>
      <c r="M225"/>
      <c r="N225" t="s">
        <v>102</v>
      </c>
      <c r="O225"/>
      <c r="P225"/>
      <c r="Q225"/>
    </row>
    <row r="226" spans="1:17" x14ac:dyDescent="0.3">
      <c r="A226" t="str">
        <f>"16775"</f>
        <v>16775</v>
      </c>
      <c r="B226">
        <v>25324</v>
      </c>
      <c r="C226">
        <v>1</v>
      </c>
      <c r="D226" t="str">
        <f>" "</f>
        <v xml:space="preserve"> </v>
      </c>
      <c r="E226"/>
      <c r="F226" s="19">
        <v>42418.634618055556</v>
      </c>
      <c r="G226" s="1">
        <v>42446</v>
      </c>
      <c r="H226">
        <v>1</v>
      </c>
      <c r="I226">
        <v>1</v>
      </c>
      <c r="J226"/>
      <c r="K226"/>
      <c r="L226"/>
      <c r="M226" s="1">
        <v>42447</v>
      </c>
      <c r="N226" t="s">
        <v>102</v>
      </c>
      <c r="O226"/>
      <c r="P226"/>
      <c r="Q226"/>
    </row>
    <row r="227" spans="1:17" x14ac:dyDescent="0.3">
      <c r="A227" t="str">
        <f>"16775"</f>
        <v>16775</v>
      </c>
      <c r="B227">
        <v>25437</v>
      </c>
      <c r="C227">
        <v>2</v>
      </c>
      <c r="D227" t="str">
        <f>" "</f>
        <v xml:space="preserve"> </v>
      </c>
      <c r="E227"/>
      <c r="F227" s="19">
        <v>42418.634618055556</v>
      </c>
      <c r="G227" s="1">
        <v>42446</v>
      </c>
      <c r="H227">
        <v>1</v>
      </c>
      <c r="I227">
        <v>1</v>
      </c>
      <c r="J227"/>
      <c r="K227"/>
      <c r="L227"/>
      <c r="M227" s="1">
        <v>42447</v>
      </c>
      <c r="N227" t="s">
        <v>102</v>
      </c>
      <c r="O227"/>
      <c r="P227"/>
      <c r="Q227"/>
    </row>
    <row r="228" spans="1:17" x14ac:dyDescent="0.3">
      <c r="A228" t="str">
        <f>"16775"</f>
        <v>16775</v>
      </c>
      <c r="B228">
        <v>25550</v>
      </c>
      <c r="C228">
        <v>3</v>
      </c>
      <c r="D228" t="str">
        <f>" "</f>
        <v xml:space="preserve"> </v>
      </c>
      <c r="E228"/>
      <c r="F228" s="19">
        <v>42418.634618055556</v>
      </c>
      <c r="G228" s="1">
        <v>42446</v>
      </c>
      <c r="H228">
        <v>1</v>
      </c>
      <c r="I228">
        <v>1</v>
      </c>
      <c r="J228"/>
      <c r="K228"/>
      <c r="L228"/>
      <c r="M228" s="1">
        <v>42447</v>
      </c>
      <c r="N228" t="s">
        <v>102</v>
      </c>
      <c r="O228"/>
      <c r="P228"/>
      <c r="Q228"/>
    </row>
    <row r="229" spans="1:17" x14ac:dyDescent="0.3">
      <c r="A229" t="str">
        <f>"16727"</f>
        <v>16727</v>
      </c>
      <c r="B229">
        <v>25663</v>
      </c>
      <c r="C229">
        <v>1</v>
      </c>
      <c r="D229" t="str">
        <f>" "</f>
        <v xml:space="preserve"> </v>
      </c>
      <c r="E229"/>
      <c r="F229" s="19">
        <v>42397.429178240738</v>
      </c>
      <c r="G229" s="1">
        <v>42446</v>
      </c>
      <c r="H229">
        <v>3</v>
      </c>
      <c r="I229">
        <v>3</v>
      </c>
      <c r="J229"/>
      <c r="K229"/>
      <c r="L229"/>
      <c r="M229" s="1">
        <v>42447</v>
      </c>
      <c r="N229" t="s">
        <v>102</v>
      </c>
      <c r="O229"/>
      <c r="P229"/>
      <c r="Q229"/>
    </row>
    <row r="230" spans="1:17" x14ac:dyDescent="0.3">
      <c r="A230" t="str">
        <f>"16712"</f>
        <v>16712</v>
      </c>
      <c r="B230">
        <v>25776</v>
      </c>
      <c r="C230">
        <v>1</v>
      </c>
      <c r="D230" t="str">
        <f>" "</f>
        <v xml:space="preserve"> </v>
      </c>
      <c r="E230"/>
      <c r="F230" s="19">
        <v>42395.66196759259</v>
      </c>
      <c r="G230" s="1">
        <v>42446</v>
      </c>
      <c r="H230">
        <v>350</v>
      </c>
      <c r="I230">
        <v>350</v>
      </c>
      <c r="J230"/>
      <c r="K230"/>
      <c r="L230"/>
      <c r="M230" s="1">
        <v>42454</v>
      </c>
      <c r="N230" t="s">
        <v>102</v>
      </c>
      <c r="O230"/>
      <c r="P230"/>
      <c r="Q230"/>
    </row>
    <row r="231" spans="1:17" x14ac:dyDescent="0.3">
      <c r="A231" t="str">
        <f>"16732"</f>
        <v>16732</v>
      </c>
      <c r="B231">
        <v>25889</v>
      </c>
      <c r="C231">
        <v>1</v>
      </c>
      <c r="D231" t="str">
        <f>" "</f>
        <v xml:space="preserve"> </v>
      </c>
      <c r="E231"/>
      <c r="F231" s="19">
        <v>42398.4768287037</v>
      </c>
      <c r="G231" s="1">
        <v>42447</v>
      </c>
      <c r="H231">
        <v>10</v>
      </c>
      <c r="I231">
        <v>10</v>
      </c>
      <c r="J231"/>
      <c r="K231"/>
      <c r="L231"/>
      <c r="M231" s="1">
        <v>42433</v>
      </c>
      <c r="N231" t="s">
        <v>102</v>
      </c>
      <c r="O231"/>
      <c r="P231"/>
      <c r="Q231"/>
    </row>
    <row r="232" spans="1:17" x14ac:dyDescent="0.3">
      <c r="A232" t="str">
        <f>"16800"</f>
        <v>16800</v>
      </c>
      <c r="B232">
        <v>26002</v>
      </c>
      <c r="C232">
        <v>1</v>
      </c>
      <c r="D232" t="str">
        <f>" "</f>
        <v xml:space="preserve"> </v>
      </c>
      <c r="E232"/>
      <c r="F232" s="19">
        <v>42431.653819444444</v>
      </c>
      <c r="G232" s="1">
        <v>42450</v>
      </c>
      <c r="H232">
        <v>1</v>
      </c>
      <c r="I232">
        <v>1</v>
      </c>
      <c r="J232"/>
      <c r="K232"/>
      <c r="L232"/>
      <c r="M232" s="1">
        <v>42433</v>
      </c>
      <c r="N232" t="s">
        <v>102</v>
      </c>
      <c r="O232"/>
      <c r="P232"/>
      <c r="Q232"/>
    </row>
    <row r="233" spans="1:17" x14ac:dyDescent="0.3">
      <c r="A233" t="str">
        <f>"16800"</f>
        <v>16800</v>
      </c>
      <c r="B233">
        <v>26115</v>
      </c>
      <c r="C233">
        <v>2</v>
      </c>
      <c r="D233" t="str">
        <f>" "</f>
        <v xml:space="preserve"> </v>
      </c>
      <c r="E233"/>
      <c r="F233" s="19">
        <v>42440.450231481482</v>
      </c>
      <c r="G233" s="1">
        <v>42450</v>
      </c>
      <c r="H233">
        <v>1</v>
      </c>
      <c r="I233">
        <v>1</v>
      </c>
      <c r="J233"/>
      <c r="K233"/>
      <c r="L233"/>
      <c r="M233" s="1">
        <v>42447</v>
      </c>
      <c r="N233" t="s">
        <v>102</v>
      </c>
      <c r="O233"/>
      <c r="P233"/>
      <c r="Q233"/>
    </row>
    <row r="234" spans="1:17" x14ac:dyDescent="0.3">
      <c r="A234" t="str">
        <f>"16745"</f>
        <v>16745</v>
      </c>
      <c r="B234">
        <v>26228</v>
      </c>
      <c r="C234">
        <v>1</v>
      </c>
      <c r="D234" t="str">
        <f>" "</f>
        <v xml:space="preserve"> </v>
      </c>
      <c r="E234"/>
      <c r="F234" s="19">
        <v>42403.35564814815</v>
      </c>
      <c r="G234" s="1">
        <v>42451</v>
      </c>
      <c r="H234">
        <v>1</v>
      </c>
      <c r="I234">
        <v>1</v>
      </c>
      <c r="J234"/>
      <c r="K234"/>
      <c r="L234"/>
      <c r="M234" s="1">
        <v>42423</v>
      </c>
      <c r="N234" t="s">
        <v>102</v>
      </c>
      <c r="O234"/>
      <c r="P234"/>
      <c r="Q234"/>
    </row>
    <row r="235" spans="1:17" x14ac:dyDescent="0.3">
      <c r="A235" t="str">
        <f>"16745"</f>
        <v>16745</v>
      </c>
      <c r="B235">
        <v>26341</v>
      </c>
      <c r="C235">
        <v>2</v>
      </c>
      <c r="D235" t="str">
        <f>" "</f>
        <v xml:space="preserve"> </v>
      </c>
      <c r="E235"/>
      <c r="F235" s="19">
        <v>42403.35564814815</v>
      </c>
      <c r="G235" s="1">
        <v>42451</v>
      </c>
      <c r="H235">
        <v>1</v>
      </c>
      <c r="I235">
        <v>1</v>
      </c>
      <c r="J235"/>
      <c r="K235"/>
      <c r="L235"/>
      <c r="M235" s="1">
        <v>42423</v>
      </c>
      <c r="N235" t="s">
        <v>102</v>
      </c>
      <c r="O235"/>
      <c r="P235"/>
      <c r="Q235"/>
    </row>
    <row r="236" spans="1:17" x14ac:dyDescent="0.3">
      <c r="A236" t="str">
        <f>"16836"</f>
        <v>16836</v>
      </c>
      <c r="B236">
        <v>26454</v>
      </c>
      <c r="C236">
        <v>1</v>
      </c>
      <c r="D236" t="str">
        <f>" "</f>
        <v xml:space="preserve"> </v>
      </c>
      <c r="E236"/>
      <c r="F236" s="19">
        <v>42450.531469907408</v>
      </c>
      <c r="G236" s="1">
        <v>42453</v>
      </c>
      <c r="H236">
        <v>1</v>
      </c>
      <c r="I236">
        <v>1</v>
      </c>
      <c r="J236"/>
      <c r="K236"/>
      <c r="L236"/>
      <c r="M236" s="1">
        <v>42452</v>
      </c>
      <c r="N236" t="s">
        <v>102</v>
      </c>
      <c r="O236"/>
      <c r="P236"/>
      <c r="Q236"/>
    </row>
    <row r="237" spans="1:17" x14ac:dyDescent="0.3">
      <c r="A237" t="str">
        <f>"16836"</f>
        <v>16836</v>
      </c>
      <c r="B237">
        <v>26567</v>
      </c>
      <c r="C237">
        <v>2</v>
      </c>
      <c r="D237" t="str">
        <f>" "</f>
        <v xml:space="preserve"> </v>
      </c>
      <c r="E237"/>
      <c r="F237" s="19">
        <v>42450.531469907408</v>
      </c>
      <c r="G237" s="1">
        <v>42453</v>
      </c>
      <c r="H237">
        <v>4</v>
      </c>
      <c r="I237">
        <v>4</v>
      </c>
      <c r="J237"/>
      <c r="K237"/>
      <c r="L237"/>
      <c r="M237" s="1">
        <v>42452</v>
      </c>
      <c r="N237" t="s">
        <v>102</v>
      </c>
      <c r="O237"/>
      <c r="P237"/>
      <c r="Q237"/>
    </row>
    <row r="238" spans="1:17" x14ac:dyDescent="0.3">
      <c r="A238" t="str">
        <f>"16836"</f>
        <v>16836</v>
      </c>
      <c r="B238">
        <v>26680</v>
      </c>
      <c r="C238">
        <v>3</v>
      </c>
      <c r="D238" t="str">
        <f>" "</f>
        <v xml:space="preserve"> </v>
      </c>
      <c r="E238"/>
      <c r="F238" s="19">
        <v>42450.531469907408</v>
      </c>
      <c r="G238" s="1">
        <v>42453</v>
      </c>
      <c r="H238">
        <v>1</v>
      </c>
      <c r="I238">
        <v>1</v>
      </c>
      <c r="J238"/>
      <c r="K238"/>
      <c r="L238"/>
      <c r="M238" s="1">
        <v>42452</v>
      </c>
      <c r="N238" t="s">
        <v>102</v>
      </c>
      <c r="O238"/>
      <c r="P238"/>
      <c r="Q238"/>
    </row>
    <row r="239" spans="1:17" x14ac:dyDescent="0.3">
      <c r="A239" t="str">
        <f>"16836"</f>
        <v>16836</v>
      </c>
      <c r="B239">
        <v>26793</v>
      </c>
      <c r="C239">
        <v>4</v>
      </c>
      <c r="D239" t="str">
        <f>" "</f>
        <v xml:space="preserve"> </v>
      </c>
      <c r="E239"/>
      <c r="F239" s="19">
        <v>42450.531469907408</v>
      </c>
      <c r="G239" s="1">
        <v>42453</v>
      </c>
      <c r="H239">
        <v>1</v>
      </c>
      <c r="I239">
        <v>1</v>
      </c>
      <c r="J239"/>
      <c r="K239"/>
      <c r="L239"/>
      <c r="M239" s="1">
        <v>42452</v>
      </c>
      <c r="N239" t="s">
        <v>102</v>
      </c>
      <c r="O239"/>
      <c r="P239"/>
      <c r="Q239"/>
    </row>
    <row r="240" spans="1:17" x14ac:dyDescent="0.3">
      <c r="A240" t="str">
        <f>"16793"</f>
        <v>16793</v>
      </c>
      <c r="B240">
        <v>26906</v>
      </c>
      <c r="C240">
        <v>1</v>
      </c>
      <c r="D240" t="str">
        <f>" "</f>
        <v xml:space="preserve"> </v>
      </c>
      <c r="E240"/>
      <c r="F240" s="19">
        <v>42430.394768518519</v>
      </c>
      <c r="G240" s="1">
        <v>42453</v>
      </c>
      <c r="H240">
        <v>1</v>
      </c>
      <c r="I240">
        <v>1</v>
      </c>
      <c r="J240"/>
      <c r="K240"/>
      <c r="L240"/>
      <c r="M240" s="1">
        <v>42450</v>
      </c>
      <c r="N240" t="s">
        <v>102</v>
      </c>
      <c r="O240"/>
      <c r="P240"/>
      <c r="Q240"/>
    </row>
    <row r="241" spans="1:17" x14ac:dyDescent="0.3">
      <c r="A241" t="str">
        <f>"16761"</f>
        <v>16761</v>
      </c>
      <c r="B241">
        <v>27019</v>
      </c>
      <c r="C241">
        <v>1</v>
      </c>
      <c r="D241" t="str">
        <f>" "</f>
        <v xml:space="preserve"> </v>
      </c>
      <c r="E241"/>
      <c r="F241" s="19">
        <v>42412.497523148151</v>
      </c>
      <c r="G241" s="1">
        <v>42453</v>
      </c>
      <c r="H241">
        <v>1</v>
      </c>
      <c r="I241">
        <v>1</v>
      </c>
      <c r="J241"/>
      <c r="K241"/>
      <c r="L241"/>
      <c r="M241" s="1">
        <v>42426</v>
      </c>
      <c r="N241" t="s">
        <v>102</v>
      </c>
      <c r="O241"/>
      <c r="P241"/>
      <c r="Q241"/>
    </row>
    <row r="242" spans="1:17" x14ac:dyDescent="0.3">
      <c r="A242" t="str">
        <f>"16761"</f>
        <v>16761</v>
      </c>
      <c r="B242">
        <v>27132</v>
      </c>
      <c r="C242">
        <v>2</v>
      </c>
      <c r="D242" t="str">
        <f>" "</f>
        <v xml:space="preserve"> </v>
      </c>
      <c r="E242"/>
      <c r="F242" s="19">
        <v>42412.497523148151</v>
      </c>
      <c r="G242" s="1">
        <v>42453</v>
      </c>
      <c r="H242">
        <v>1</v>
      </c>
      <c r="I242">
        <v>1</v>
      </c>
      <c r="J242"/>
      <c r="K242"/>
      <c r="L242"/>
      <c r="M242" s="1">
        <v>42426</v>
      </c>
      <c r="N242" t="s">
        <v>102</v>
      </c>
      <c r="O242"/>
      <c r="P242"/>
      <c r="Q242"/>
    </row>
    <row r="243" spans="1:17" x14ac:dyDescent="0.3">
      <c r="A243" t="str">
        <f>"16761"</f>
        <v>16761</v>
      </c>
      <c r="B243">
        <v>27245</v>
      </c>
      <c r="C243">
        <v>3</v>
      </c>
      <c r="D243" t="str">
        <f>" "</f>
        <v xml:space="preserve"> </v>
      </c>
      <c r="E243"/>
      <c r="F243" s="19">
        <v>42412.497523148151</v>
      </c>
      <c r="G243" s="1">
        <v>42453</v>
      </c>
      <c r="H243">
        <v>2</v>
      </c>
      <c r="I243">
        <v>2</v>
      </c>
      <c r="J243"/>
      <c r="K243"/>
      <c r="L243"/>
      <c r="M243" s="1">
        <v>42440</v>
      </c>
      <c r="N243" t="s">
        <v>102</v>
      </c>
      <c r="O243"/>
      <c r="P243"/>
      <c r="Q243"/>
    </row>
    <row r="244" spans="1:17" x14ac:dyDescent="0.3">
      <c r="A244" t="str">
        <f>"16761"</f>
        <v>16761</v>
      </c>
      <c r="B244">
        <v>27358</v>
      </c>
      <c r="C244">
        <v>4</v>
      </c>
      <c r="D244" t="str">
        <f>" "</f>
        <v xml:space="preserve"> </v>
      </c>
      <c r="E244"/>
      <c r="F244" s="19">
        <v>42412.497523148151</v>
      </c>
      <c r="G244" s="1">
        <v>42453</v>
      </c>
      <c r="H244">
        <v>2</v>
      </c>
      <c r="I244">
        <v>2</v>
      </c>
      <c r="J244"/>
      <c r="K244"/>
      <c r="L244"/>
      <c r="M244" s="1">
        <v>42440</v>
      </c>
      <c r="N244" t="s">
        <v>102</v>
      </c>
      <c r="O244"/>
      <c r="P244"/>
      <c r="Q244"/>
    </row>
    <row r="245" spans="1:17" x14ac:dyDescent="0.3">
      <c r="A245" t="str">
        <f>"16761"</f>
        <v>16761</v>
      </c>
      <c r="B245">
        <v>27471</v>
      </c>
      <c r="C245">
        <v>5</v>
      </c>
      <c r="D245" t="str">
        <f>" "</f>
        <v xml:space="preserve"> </v>
      </c>
      <c r="E245"/>
      <c r="F245" s="19">
        <v>42412.497523148151</v>
      </c>
      <c r="G245" s="1">
        <v>42453</v>
      </c>
      <c r="H245">
        <v>1</v>
      </c>
      <c r="I245">
        <v>1</v>
      </c>
      <c r="J245"/>
      <c r="K245"/>
      <c r="L245"/>
      <c r="M245" s="1">
        <v>42440</v>
      </c>
      <c r="N245" t="s">
        <v>102</v>
      </c>
      <c r="O245"/>
      <c r="P245"/>
      <c r="Q245"/>
    </row>
    <row r="246" spans="1:17" x14ac:dyDescent="0.3">
      <c r="A246" t="str">
        <f>"16726"</f>
        <v>16726</v>
      </c>
      <c r="B246">
        <v>27584</v>
      </c>
      <c r="C246">
        <v>1</v>
      </c>
      <c r="D246" t="str">
        <f>" "</f>
        <v xml:space="preserve"> </v>
      </c>
      <c r="E246"/>
      <c r="F246" s="19">
        <v>42397.413425925923</v>
      </c>
      <c r="G246" s="1">
        <v>42453</v>
      </c>
      <c r="H246">
        <v>5</v>
      </c>
      <c r="I246">
        <v>5</v>
      </c>
      <c r="J246"/>
      <c r="K246"/>
      <c r="L246"/>
      <c r="M246" s="1">
        <v>42447</v>
      </c>
      <c r="N246" t="s">
        <v>102</v>
      </c>
      <c r="O246"/>
      <c r="P246"/>
      <c r="Q246"/>
    </row>
    <row r="247" spans="1:17" x14ac:dyDescent="0.3">
      <c r="A247" t="str">
        <f>"16840"</f>
        <v>16840</v>
      </c>
      <c r="B247">
        <v>27697</v>
      </c>
      <c r="C247">
        <v>1</v>
      </c>
      <c r="D247" t="str">
        <f>" "</f>
        <v xml:space="preserve"> </v>
      </c>
      <c r="E247"/>
      <c r="F247" s="19">
        <v>42451.403391203705</v>
      </c>
      <c r="G247" s="1">
        <v>42454</v>
      </c>
      <c r="H247">
        <v>50</v>
      </c>
      <c r="I247">
        <v>50</v>
      </c>
      <c r="J247"/>
      <c r="K247"/>
      <c r="L247"/>
      <c r="M247" s="1">
        <v>42475</v>
      </c>
      <c r="N247" t="s">
        <v>102</v>
      </c>
      <c r="O247"/>
      <c r="P247"/>
      <c r="Q247"/>
    </row>
    <row r="248" spans="1:17" x14ac:dyDescent="0.3">
      <c r="A248" t="str">
        <f>"16831"</f>
        <v>16831</v>
      </c>
      <c r="B248">
        <v>27810</v>
      </c>
      <c r="C248">
        <v>1</v>
      </c>
      <c r="D248" t="str">
        <f>" "</f>
        <v xml:space="preserve"> </v>
      </c>
      <c r="E248"/>
      <c r="F248" s="19">
        <v>42446.607314814813</v>
      </c>
      <c r="G248" s="1">
        <v>42454</v>
      </c>
      <c r="H248">
        <v>6</v>
      </c>
      <c r="I248">
        <v>6</v>
      </c>
      <c r="J248"/>
      <c r="K248"/>
      <c r="L248"/>
      <c r="M248" s="1">
        <v>42454</v>
      </c>
      <c r="N248" t="s">
        <v>102</v>
      </c>
      <c r="O248"/>
      <c r="P248"/>
      <c r="Q248"/>
    </row>
    <row r="249" spans="1:17" x14ac:dyDescent="0.3">
      <c r="A249" t="str">
        <f>"16750"</f>
        <v>16750</v>
      </c>
      <c r="B249">
        <v>27923</v>
      </c>
      <c r="C249">
        <v>1</v>
      </c>
      <c r="D249" t="str">
        <f>" "</f>
        <v xml:space="preserve"> </v>
      </c>
      <c r="E249"/>
      <c r="F249" s="19">
        <v>42405.36241898148</v>
      </c>
      <c r="G249" s="1">
        <v>42454</v>
      </c>
      <c r="H249">
        <v>2</v>
      </c>
      <c r="I249">
        <v>2</v>
      </c>
      <c r="J249"/>
      <c r="K249"/>
      <c r="L249"/>
      <c r="M249" s="1">
        <v>42447</v>
      </c>
      <c r="N249" t="s">
        <v>102</v>
      </c>
      <c r="O249"/>
      <c r="P249"/>
      <c r="Q249"/>
    </row>
    <row r="250" spans="1:17" x14ac:dyDescent="0.3">
      <c r="A250" t="str">
        <f>"16749"</f>
        <v>16749</v>
      </c>
      <c r="B250">
        <v>28036</v>
      </c>
      <c r="C250">
        <v>1</v>
      </c>
      <c r="D250" t="str">
        <f>" "</f>
        <v xml:space="preserve"> </v>
      </c>
      <c r="E250"/>
      <c r="F250" s="19">
        <v>42405.354710648149</v>
      </c>
      <c r="G250" s="1">
        <v>42454</v>
      </c>
      <c r="H250">
        <v>2</v>
      </c>
      <c r="I250">
        <v>2</v>
      </c>
      <c r="J250"/>
      <c r="K250"/>
      <c r="L250"/>
      <c r="M250" s="1">
        <v>42447</v>
      </c>
      <c r="N250" t="s">
        <v>102</v>
      </c>
      <c r="O250"/>
      <c r="P250"/>
      <c r="Q250"/>
    </row>
    <row r="251" spans="1:17" x14ac:dyDescent="0.3">
      <c r="A251" t="str">
        <f>"16790"</f>
        <v>16790</v>
      </c>
      <c r="B251">
        <v>28149</v>
      </c>
      <c r="C251">
        <v>1</v>
      </c>
      <c r="D251" t="str">
        <f>" "</f>
        <v xml:space="preserve"> </v>
      </c>
      <c r="E251"/>
      <c r="F251" s="19">
        <v>42424.537442129629</v>
      </c>
      <c r="G251" s="1">
        <v>42458</v>
      </c>
      <c r="H251">
        <v>16</v>
      </c>
      <c r="I251">
        <v>16</v>
      </c>
      <c r="J251"/>
      <c r="K251"/>
      <c r="L251"/>
      <c r="M251" s="1">
        <v>42452</v>
      </c>
      <c r="N251" t="s">
        <v>102</v>
      </c>
      <c r="O251"/>
      <c r="P251"/>
      <c r="Q251"/>
    </row>
    <row r="252" spans="1:17" x14ac:dyDescent="0.3">
      <c r="A252" t="str">
        <f>"16703"</f>
        <v>16703</v>
      </c>
      <c r="B252">
        <v>28262</v>
      </c>
      <c r="C252">
        <v>1</v>
      </c>
      <c r="D252" t="str">
        <f>" "</f>
        <v xml:space="preserve"> </v>
      </c>
      <c r="E252"/>
      <c r="F252" s="19">
        <v>42389.456099537034</v>
      </c>
      <c r="G252" s="1">
        <v>42458</v>
      </c>
      <c r="H252">
        <v>1</v>
      </c>
      <c r="I252">
        <v>1</v>
      </c>
      <c r="J252"/>
      <c r="K252"/>
      <c r="L252"/>
      <c r="M252" s="1">
        <v>42458</v>
      </c>
      <c r="N252" t="s">
        <v>102</v>
      </c>
      <c r="O252"/>
      <c r="P252"/>
      <c r="Q252"/>
    </row>
    <row r="253" spans="1:17" x14ac:dyDescent="0.3">
      <c r="A253" t="str">
        <f>"16837"</f>
        <v>16837</v>
      </c>
      <c r="B253">
        <v>28375</v>
      </c>
      <c r="C253">
        <v>1</v>
      </c>
      <c r="D253" t="str">
        <f>" "</f>
        <v xml:space="preserve"> </v>
      </c>
      <c r="E253"/>
      <c r="F253" s="19">
        <v>42450.575798611113</v>
      </c>
      <c r="G253" s="1">
        <v>42459</v>
      </c>
      <c r="H253">
        <v>1</v>
      </c>
      <c r="I253">
        <v>1</v>
      </c>
      <c r="J253"/>
      <c r="K253"/>
      <c r="L253"/>
      <c r="M253" s="1">
        <v>42458</v>
      </c>
      <c r="N253" t="s">
        <v>102</v>
      </c>
      <c r="O253"/>
      <c r="P253"/>
      <c r="Q253"/>
    </row>
    <row r="254" spans="1:17" x14ac:dyDescent="0.3">
      <c r="A254" t="str">
        <f>"16821"</f>
        <v>16821</v>
      </c>
      <c r="B254">
        <v>28488</v>
      </c>
      <c r="C254">
        <v>1</v>
      </c>
      <c r="D254" t="str">
        <f>" "</f>
        <v xml:space="preserve"> </v>
      </c>
      <c r="E254"/>
      <c r="F254" s="19">
        <v>42444.377824074072</v>
      </c>
      <c r="G254" s="1">
        <v>42459</v>
      </c>
      <c r="H254">
        <v>1</v>
      </c>
      <c r="I254">
        <v>1</v>
      </c>
      <c r="J254"/>
      <c r="K254"/>
      <c r="L254"/>
      <c r="M254" s="1">
        <v>42458</v>
      </c>
      <c r="N254" t="s">
        <v>102</v>
      </c>
      <c r="O254"/>
      <c r="P254"/>
      <c r="Q254"/>
    </row>
    <row r="255" spans="1:17" x14ac:dyDescent="0.3">
      <c r="A255" t="str">
        <f>"16810"</f>
        <v>16810</v>
      </c>
      <c r="B255">
        <v>28601</v>
      </c>
      <c r="C255">
        <v>1</v>
      </c>
      <c r="D255" t="str">
        <f>" "</f>
        <v xml:space="preserve"> </v>
      </c>
      <c r="E255"/>
      <c r="F255" s="19">
        <v>42436.573854166665</v>
      </c>
      <c r="G255" s="1">
        <v>42459</v>
      </c>
      <c r="H255">
        <v>2</v>
      </c>
      <c r="I255">
        <v>2</v>
      </c>
      <c r="J255"/>
      <c r="K255"/>
      <c r="L255"/>
      <c r="M255" s="1">
        <v>42468</v>
      </c>
      <c r="N255" t="s">
        <v>102</v>
      </c>
      <c r="O255"/>
      <c r="P255"/>
      <c r="Q255"/>
    </row>
    <row r="256" spans="1:17" x14ac:dyDescent="0.3">
      <c r="A256" t="str">
        <f>"16804"</f>
        <v>16804</v>
      </c>
      <c r="B256">
        <v>28714</v>
      </c>
      <c r="C256">
        <v>5</v>
      </c>
      <c r="D256" t="str">
        <f>" "</f>
        <v xml:space="preserve"> </v>
      </c>
      <c r="E256"/>
      <c r="F256" s="19">
        <v>42436.423252314817</v>
      </c>
      <c r="G256" s="1">
        <v>42459</v>
      </c>
      <c r="H256">
        <v>3</v>
      </c>
      <c r="I256">
        <v>3</v>
      </c>
      <c r="J256"/>
      <c r="K256"/>
      <c r="L256"/>
      <c r="M256" s="1">
        <v>42510</v>
      </c>
      <c r="N256" t="s">
        <v>102</v>
      </c>
      <c r="O256"/>
      <c r="P256"/>
      <c r="Q256"/>
    </row>
    <row r="257" spans="1:17" x14ac:dyDescent="0.3">
      <c r="A257" t="str">
        <f>"16739"</f>
        <v>16739</v>
      </c>
      <c r="B257">
        <v>28827</v>
      </c>
      <c r="C257">
        <v>2</v>
      </c>
      <c r="D257" t="str">
        <f>" "</f>
        <v xml:space="preserve"> </v>
      </c>
      <c r="E257"/>
      <c r="F257" s="19">
        <v>42401.397245370368</v>
      </c>
      <c r="G257" s="1">
        <v>42459</v>
      </c>
      <c r="H257">
        <v>1</v>
      </c>
      <c r="I257">
        <v>1</v>
      </c>
      <c r="J257"/>
      <c r="K257"/>
      <c r="L257"/>
      <c r="M257" s="1">
        <v>42454</v>
      </c>
      <c r="N257" t="s">
        <v>102</v>
      </c>
      <c r="O257"/>
      <c r="P257"/>
      <c r="Q257"/>
    </row>
    <row r="258" spans="1:17" x14ac:dyDescent="0.3">
      <c r="A258" t="str">
        <f>"16707"</f>
        <v>16707</v>
      </c>
      <c r="B258">
        <v>28940</v>
      </c>
      <c r="C258">
        <v>1</v>
      </c>
      <c r="D258" t="str">
        <f>" "</f>
        <v xml:space="preserve"> </v>
      </c>
      <c r="E258"/>
      <c r="F258" s="19">
        <v>42390.441493055558</v>
      </c>
      <c r="G258" s="1">
        <v>42459</v>
      </c>
      <c r="H258">
        <v>1</v>
      </c>
      <c r="I258">
        <v>1</v>
      </c>
      <c r="J258"/>
      <c r="K258"/>
      <c r="L258"/>
      <c r="M258" s="1">
        <v>42408</v>
      </c>
      <c r="N258" t="s">
        <v>102</v>
      </c>
      <c r="O258"/>
      <c r="P258"/>
      <c r="Q258"/>
    </row>
    <row r="259" spans="1:17" x14ac:dyDescent="0.3">
      <c r="A259" t="str">
        <f>"16707"</f>
        <v>16707</v>
      </c>
      <c r="B259">
        <v>29053</v>
      </c>
      <c r="C259">
        <v>2</v>
      </c>
      <c r="D259" t="str">
        <f>" "</f>
        <v xml:space="preserve"> </v>
      </c>
      <c r="E259"/>
      <c r="F259" s="19">
        <v>42439.483923611115</v>
      </c>
      <c r="G259" s="1">
        <v>42459</v>
      </c>
      <c r="H259">
        <v>1</v>
      </c>
      <c r="I259">
        <v>1</v>
      </c>
      <c r="J259"/>
      <c r="K259"/>
      <c r="L259"/>
      <c r="M259" s="1">
        <v>42460</v>
      </c>
      <c r="N259" t="s">
        <v>102</v>
      </c>
      <c r="O259"/>
      <c r="P259"/>
      <c r="Q259"/>
    </row>
    <row r="260" spans="1:17" x14ac:dyDescent="0.3">
      <c r="A260" t="str">
        <f>"16706"</f>
        <v>16706</v>
      </c>
      <c r="B260">
        <v>29166</v>
      </c>
      <c r="C260">
        <v>1</v>
      </c>
      <c r="D260" t="str">
        <f>" "</f>
        <v xml:space="preserve"> </v>
      </c>
      <c r="E260"/>
      <c r="F260" s="19">
        <v>42389.657326388886</v>
      </c>
      <c r="G260" s="1">
        <v>42459</v>
      </c>
      <c r="H260">
        <v>10</v>
      </c>
      <c r="I260">
        <v>10</v>
      </c>
      <c r="J260"/>
      <c r="K260"/>
      <c r="L260"/>
      <c r="M260" s="1">
        <v>42444</v>
      </c>
      <c r="N260" t="s">
        <v>102</v>
      </c>
      <c r="O260"/>
      <c r="P260"/>
      <c r="Q260"/>
    </row>
    <row r="261" spans="1:17" x14ac:dyDescent="0.3">
      <c r="A261" t="str">
        <f>"16706"</f>
        <v>16706</v>
      </c>
      <c r="B261">
        <v>29279</v>
      </c>
      <c r="C261">
        <v>2</v>
      </c>
      <c r="D261" t="str">
        <f>" "</f>
        <v xml:space="preserve"> </v>
      </c>
      <c r="E261"/>
      <c r="F261" s="19">
        <v>42389.657326388886</v>
      </c>
      <c r="G261" s="1">
        <v>42459</v>
      </c>
      <c r="H261">
        <v>10</v>
      </c>
      <c r="I261">
        <v>10</v>
      </c>
      <c r="J261"/>
      <c r="K261"/>
      <c r="L261"/>
      <c r="M261" s="1">
        <v>42444</v>
      </c>
      <c r="N261" t="s">
        <v>102</v>
      </c>
      <c r="O261"/>
      <c r="P261"/>
      <c r="Q261"/>
    </row>
    <row r="262" spans="1:17" x14ac:dyDescent="0.3">
      <c r="A262" t="str">
        <f>"16706"</f>
        <v>16706</v>
      </c>
      <c r="B262">
        <v>29392</v>
      </c>
      <c r="C262">
        <v>3</v>
      </c>
      <c r="D262" t="str">
        <f>" "</f>
        <v xml:space="preserve"> </v>
      </c>
      <c r="E262"/>
      <c r="F262" s="19">
        <v>42389.657326388886</v>
      </c>
      <c r="G262" s="1">
        <v>42459</v>
      </c>
      <c r="H262">
        <v>5</v>
      </c>
      <c r="I262">
        <v>5</v>
      </c>
      <c r="J262"/>
      <c r="K262"/>
      <c r="L262"/>
      <c r="M262" s="1">
        <v>42444</v>
      </c>
      <c r="N262" t="s">
        <v>102</v>
      </c>
      <c r="O262"/>
      <c r="P262"/>
      <c r="Q262"/>
    </row>
    <row r="263" spans="1:17" x14ac:dyDescent="0.3">
      <c r="A263" t="str">
        <f>"16857"</f>
        <v>16857</v>
      </c>
      <c r="B263">
        <v>29505</v>
      </c>
      <c r="C263">
        <v>1</v>
      </c>
      <c r="D263" t="str">
        <f>" "</f>
        <v xml:space="preserve"> </v>
      </c>
      <c r="E263"/>
      <c r="F263" s="19">
        <v>42459.664872685185</v>
      </c>
      <c r="G263" s="1">
        <v>42460</v>
      </c>
      <c r="H263">
        <v>13</v>
      </c>
      <c r="I263">
        <v>13</v>
      </c>
      <c r="J263"/>
      <c r="K263"/>
      <c r="L263"/>
      <c r="M263" s="1">
        <v>42461</v>
      </c>
      <c r="N263" t="s">
        <v>102</v>
      </c>
      <c r="O263"/>
      <c r="P263"/>
      <c r="Q263"/>
    </row>
    <row r="264" spans="1:17" x14ac:dyDescent="0.3">
      <c r="A264" t="str">
        <f>"16856"</f>
        <v>16856</v>
      </c>
      <c r="B264">
        <v>29618</v>
      </c>
      <c r="C264">
        <v>1</v>
      </c>
      <c r="D264" t="str">
        <f>" "</f>
        <v xml:space="preserve"> </v>
      </c>
      <c r="E264"/>
      <c r="F264" s="19">
        <v>42459.396805555552</v>
      </c>
      <c r="G264" s="1">
        <v>42460</v>
      </c>
      <c r="H264">
        <v>1</v>
      </c>
      <c r="I264">
        <v>1</v>
      </c>
      <c r="J264"/>
      <c r="K264"/>
      <c r="L264"/>
      <c r="M264" s="1">
        <v>42460</v>
      </c>
      <c r="N264" t="s">
        <v>102</v>
      </c>
      <c r="O264"/>
      <c r="P264"/>
      <c r="Q264"/>
    </row>
    <row r="265" spans="1:17" x14ac:dyDescent="0.3">
      <c r="A265" t="str">
        <f>"16856"</f>
        <v>16856</v>
      </c>
      <c r="B265">
        <v>29731</v>
      </c>
      <c r="C265">
        <v>2</v>
      </c>
      <c r="D265" t="str">
        <f>" "</f>
        <v xml:space="preserve"> </v>
      </c>
      <c r="E265"/>
      <c r="F265" s="19">
        <v>42459.396805555552</v>
      </c>
      <c r="G265" s="1">
        <v>42460</v>
      </c>
      <c r="H265">
        <v>1</v>
      </c>
      <c r="I265">
        <v>1</v>
      </c>
      <c r="J265"/>
      <c r="K265"/>
      <c r="L265"/>
      <c r="M265" s="1">
        <v>42460</v>
      </c>
      <c r="N265" t="s">
        <v>102</v>
      </c>
      <c r="O265"/>
      <c r="P265"/>
      <c r="Q265"/>
    </row>
    <row r="266" spans="1:17" x14ac:dyDescent="0.3">
      <c r="A266" t="str">
        <f>"16856"</f>
        <v>16856</v>
      </c>
      <c r="B266">
        <v>29844</v>
      </c>
      <c r="C266">
        <v>3</v>
      </c>
      <c r="D266" t="str">
        <f>" "</f>
        <v xml:space="preserve"> </v>
      </c>
      <c r="E266"/>
      <c r="F266" s="19">
        <v>42459.396805555552</v>
      </c>
      <c r="G266" s="1">
        <v>42460</v>
      </c>
      <c r="H266">
        <v>1</v>
      </c>
      <c r="I266">
        <v>1</v>
      </c>
      <c r="J266"/>
      <c r="K266"/>
      <c r="L266"/>
      <c r="M266" s="1">
        <v>42460</v>
      </c>
      <c r="N266" t="s">
        <v>102</v>
      </c>
      <c r="O266"/>
      <c r="P266"/>
      <c r="Q266"/>
    </row>
    <row r="267" spans="1:17" x14ac:dyDescent="0.3">
      <c r="A267" t="str">
        <f>"16856"</f>
        <v>16856</v>
      </c>
      <c r="B267">
        <v>29957</v>
      </c>
      <c r="C267">
        <v>4</v>
      </c>
      <c r="D267" t="str">
        <f>" "</f>
        <v xml:space="preserve"> </v>
      </c>
      <c r="E267"/>
      <c r="F267" s="19">
        <v>42459.396805555552</v>
      </c>
      <c r="G267" s="1">
        <v>42460</v>
      </c>
      <c r="H267">
        <v>1</v>
      </c>
      <c r="I267">
        <v>1</v>
      </c>
      <c r="J267"/>
      <c r="K267"/>
      <c r="L267"/>
      <c r="M267" s="1">
        <v>42460</v>
      </c>
      <c r="N267" t="s">
        <v>102</v>
      </c>
      <c r="O267"/>
      <c r="P267"/>
      <c r="Q267"/>
    </row>
    <row r="268" spans="1:17" x14ac:dyDescent="0.3">
      <c r="A268" t="str">
        <f>"16856"</f>
        <v>16856</v>
      </c>
      <c r="B268">
        <v>30070</v>
      </c>
      <c r="C268">
        <v>5</v>
      </c>
      <c r="D268" t="str">
        <f>" "</f>
        <v xml:space="preserve"> </v>
      </c>
      <c r="E268"/>
      <c r="F268" s="19">
        <v>42459.396805555552</v>
      </c>
      <c r="G268" s="1">
        <v>42460</v>
      </c>
      <c r="H268">
        <v>1</v>
      </c>
      <c r="I268">
        <v>1</v>
      </c>
      <c r="J268"/>
      <c r="K268"/>
      <c r="L268"/>
      <c r="M268" s="1">
        <v>42460</v>
      </c>
      <c r="N268" t="s">
        <v>102</v>
      </c>
      <c r="O268"/>
      <c r="P268"/>
      <c r="Q268"/>
    </row>
    <row r="269" spans="1:17" x14ac:dyDescent="0.3">
      <c r="A269" t="str">
        <f>"16856"</f>
        <v>16856</v>
      </c>
      <c r="B269">
        <v>30183</v>
      </c>
      <c r="C269">
        <v>6</v>
      </c>
      <c r="D269" t="str">
        <f>" "</f>
        <v xml:space="preserve"> </v>
      </c>
      <c r="E269"/>
      <c r="F269" s="19">
        <v>42459.396805555552</v>
      </c>
      <c r="G269" s="1">
        <v>42460</v>
      </c>
      <c r="H269">
        <v>1</v>
      </c>
      <c r="I269">
        <v>1</v>
      </c>
      <c r="J269"/>
      <c r="K269"/>
      <c r="L269"/>
      <c r="M269" s="1">
        <v>42460</v>
      </c>
      <c r="N269" t="s">
        <v>102</v>
      </c>
      <c r="O269"/>
      <c r="P269"/>
      <c r="Q269"/>
    </row>
    <row r="270" spans="1:17" x14ac:dyDescent="0.3">
      <c r="A270" t="str">
        <f>"16818"</f>
        <v>16818</v>
      </c>
      <c r="B270">
        <v>30296</v>
      </c>
      <c r="C270">
        <v>1</v>
      </c>
      <c r="D270" t="str">
        <f>" "</f>
        <v xml:space="preserve"> </v>
      </c>
      <c r="E270"/>
      <c r="F270" s="19">
        <v>42438.61341435185</v>
      </c>
      <c r="G270" s="1">
        <v>42460</v>
      </c>
      <c r="H270">
        <v>1</v>
      </c>
      <c r="I270">
        <v>1</v>
      </c>
      <c r="J270"/>
      <c r="K270"/>
      <c r="L270"/>
      <c r="M270" s="1">
        <v>42454</v>
      </c>
      <c r="N270" t="s">
        <v>102</v>
      </c>
      <c r="O270"/>
      <c r="P270"/>
      <c r="Q270"/>
    </row>
    <row r="271" spans="1:17" x14ac:dyDescent="0.3">
      <c r="A271" t="str">
        <f>"16817"</f>
        <v>16817</v>
      </c>
      <c r="B271">
        <v>30409</v>
      </c>
      <c r="C271">
        <v>1</v>
      </c>
      <c r="D271" t="str">
        <f>" "</f>
        <v xml:space="preserve"> </v>
      </c>
      <c r="E271"/>
      <c r="F271" s="19">
        <v>42438.564386574071</v>
      </c>
      <c r="G271" s="1">
        <v>42460</v>
      </c>
      <c r="H271">
        <v>1</v>
      </c>
      <c r="I271">
        <v>1</v>
      </c>
      <c r="J271"/>
      <c r="K271"/>
      <c r="L271"/>
      <c r="M271" s="1">
        <v>42452</v>
      </c>
      <c r="N271" t="s">
        <v>102</v>
      </c>
      <c r="O271"/>
      <c r="P271"/>
      <c r="Q271"/>
    </row>
    <row r="272" spans="1:17" x14ac:dyDescent="0.3">
      <c r="A272" t="str">
        <f>"16814"</f>
        <v>16814</v>
      </c>
      <c r="B272">
        <v>30522</v>
      </c>
      <c r="C272">
        <v>1</v>
      </c>
      <c r="D272" t="str">
        <f>" "</f>
        <v xml:space="preserve"> </v>
      </c>
      <c r="E272"/>
      <c r="F272" s="19">
        <v>42437.471087962964</v>
      </c>
      <c r="G272" s="1">
        <v>42460</v>
      </c>
      <c r="H272">
        <v>2</v>
      </c>
      <c r="I272">
        <v>2</v>
      </c>
      <c r="J272"/>
      <c r="K272"/>
      <c r="L272"/>
      <c r="M272"/>
      <c r="N272" t="s">
        <v>102</v>
      </c>
      <c r="O272"/>
      <c r="P272"/>
      <c r="Q272"/>
    </row>
    <row r="273" spans="1:17" x14ac:dyDescent="0.3">
      <c r="A273" t="str">
        <f>"16814"</f>
        <v>16814</v>
      </c>
      <c r="B273">
        <v>30635</v>
      </c>
      <c r="C273">
        <v>2</v>
      </c>
      <c r="D273" t="str">
        <f>" "</f>
        <v xml:space="preserve"> </v>
      </c>
      <c r="E273"/>
      <c r="F273" s="19">
        <v>42437.471087962964</v>
      </c>
      <c r="G273" s="1">
        <v>42460</v>
      </c>
      <c r="H273">
        <v>1</v>
      </c>
      <c r="I273">
        <v>1</v>
      </c>
      <c r="J273"/>
      <c r="K273"/>
      <c r="L273"/>
      <c r="M273"/>
      <c r="N273" t="s">
        <v>102</v>
      </c>
      <c r="O273"/>
      <c r="P273"/>
      <c r="Q273"/>
    </row>
    <row r="274" spans="1:17" x14ac:dyDescent="0.3">
      <c r="A274" t="str">
        <f>"16797"</f>
        <v>16797</v>
      </c>
      <c r="B274">
        <v>30748</v>
      </c>
      <c r="C274">
        <v>1</v>
      </c>
      <c r="D274" t="str">
        <f>" "</f>
        <v xml:space="preserve"> </v>
      </c>
      <c r="E274"/>
      <c r="F274" s="19">
        <v>42431.381724537037</v>
      </c>
      <c r="G274" s="1">
        <v>42460</v>
      </c>
      <c r="H274">
        <v>1</v>
      </c>
      <c r="I274">
        <v>1</v>
      </c>
      <c r="J274"/>
      <c r="K274"/>
      <c r="L274"/>
      <c r="M274" s="1">
        <v>42458</v>
      </c>
      <c r="N274" t="s">
        <v>102</v>
      </c>
      <c r="O274"/>
      <c r="P274"/>
      <c r="Q274"/>
    </row>
    <row r="275" spans="1:17" x14ac:dyDescent="0.3">
      <c r="A275" t="str">
        <f>"16774"</f>
        <v>16774</v>
      </c>
      <c r="B275">
        <v>30861</v>
      </c>
      <c r="C275">
        <v>1</v>
      </c>
      <c r="D275" t="str">
        <f>" "</f>
        <v xml:space="preserve"> </v>
      </c>
      <c r="E275"/>
      <c r="F275" s="19">
        <v>42418.35837962963</v>
      </c>
      <c r="G275" s="1">
        <v>42460</v>
      </c>
      <c r="H275">
        <v>1</v>
      </c>
      <c r="I275">
        <v>1</v>
      </c>
      <c r="J275"/>
      <c r="K275"/>
      <c r="L275"/>
      <c r="M275" s="1">
        <v>42454</v>
      </c>
      <c r="N275" t="s">
        <v>102</v>
      </c>
      <c r="O275"/>
      <c r="P275"/>
      <c r="Q275"/>
    </row>
    <row r="276" spans="1:17" x14ac:dyDescent="0.3">
      <c r="A276" t="str">
        <f>"16759"</f>
        <v>16759</v>
      </c>
      <c r="B276">
        <v>30974</v>
      </c>
      <c r="C276">
        <v>3</v>
      </c>
      <c r="D276" t="str">
        <f>" "</f>
        <v xml:space="preserve"> </v>
      </c>
      <c r="E276"/>
      <c r="F276" s="19">
        <v>42411.43608796296</v>
      </c>
      <c r="G276" s="1">
        <v>42460</v>
      </c>
      <c r="H276">
        <v>1</v>
      </c>
      <c r="I276">
        <v>1</v>
      </c>
      <c r="J276"/>
      <c r="K276"/>
      <c r="L276"/>
      <c r="M276" s="1">
        <v>42447</v>
      </c>
      <c r="N276" t="s">
        <v>102</v>
      </c>
      <c r="O276"/>
      <c r="P276"/>
      <c r="Q276"/>
    </row>
    <row r="277" spans="1:17" x14ac:dyDescent="0.3">
      <c r="A277" t="str">
        <f>"16759"</f>
        <v>16759</v>
      </c>
      <c r="B277">
        <v>31087</v>
      </c>
      <c r="C277">
        <v>4</v>
      </c>
      <c r="D277" t="str">
        <f>" "</f>
        <v xml:space="preserve"> </v>
      </c>
      <c r="E277"/>
      <c r="F277" s="19">
        <v>42411.43608796296</v>
      </c>
      <c r="G277" s="1">
        <v>42460</v>
      </c>
      <c r="H277">
        <v>1</v>
      </c>
      <c r="I277">
        <v>1</v>
      </c>
      <c r="J277"/>
      <c r="K277"/>
      <c r="L277"/>
      <c r="M277" s="1">
        <v>42447</v>
      </c>
      <c r="N277" t="s">
        <v>102</v>
      </c>
      <c r="O277"/>
      <c r="P277"/>
      <c r="Q277"/>
    </row>
    <row r="278" spans="1:17" x14ac:dyDescent="0.3">
      <c r="A278" t="str">
        <f>"16759"</f>
        <v>16759</v>
      </c>
      <c r="B278">
        <v>31200</v>
      </c>
      <c r="C278">
        <v>5</v>
      </c>
      <c r="D278" t="str">
        <f>" "</f>
        <v xml:space="preserve"> </v>
      </c>
      <c r="E278"/>
      <c r="F278" s="19">
        <v>42411.43608796296</v>
      </c>
      <c r="G278" s="1">
        <v>42460</v>
      </c>
      <c r="H278">
        <v>1</v>
      </c>
      <c r="I278">
        <v>1</v>
      </c>
      <c r="J278"/>
      <c r="K278"/>
      <c r="L278"/>
      <c r="M278" s="1">
        <v>42447</v>
      </c>
      <c r="N278" t="s">
        <v>102</v>
      </c>
      <c r="O278"/>
      <c r="P278"/>
      <c r="Q278"/>
    </row>
    <row r="279" spans="1:17" x14ac:dyDescent="0.3">
      <c r="A279" t="str">
        <f>"16759"</f>
        <v>16759</v>
      </c>
      <c r="B279">
        <v>31313</v>
      </c>
      <c r="C279">
        <v>6</v>
      </c>
      <c r="D279" t="str">
        <f>" "</f>
        <v xml:space="preserve"> </v>
      </c>
      <c r="E279"/>
      <c r="F279" s="19">
        <v>42411.43608796296</v>
      </c>
      <c r="G279" s="1">
        <v>42460</v>
      </c>
      <c r="H279">
        <v>1</v>
      </c>
      <c r="I279">
        <v>1</v>
      </c>
      <c r="J279"/>
      <c r="K279"/>
      <c r="L279"/>
      <c r="M279" s="1">
        <v>42447</v>
      </c>
      <c r="N279" t="s">
        <v>102</v>
      </c>
      <c r="O279"/>
      <c r="P279"/>
      <c r="Q279"/>
    </row>
    <row r="280" spans="1:17" x14ac:dyDescent="0.3">
      <c r="A280" t="str">
        <f>"16759"</f>
        <v>16759</v>
      </c>
      <c r="B280">
        <v>31426</v>
      </c>
      <c r="C280">
        <v>7</v>
      </c>
      <c r="D280" t="str">
        <f>" "</f>
        <v xml:space="preserve"> </v>
      </c>
      <c r="E280"/>
      <c r="F280" s="19">
        <v>42411.43608796296</v>
      </c>
      <c r="G280" s="1">
        <v>42460</v>
      </c>
      <c r="H280">
        <v>1</v>
      </c>
      <c r="I280">
        <v>1</v>
      </c>
      <c r="J280"/>
      <c r="K280"/>
      <c r="L280"/>
      <c r="M280" s="1">
        <v>42447</v>
      </c>
      <c r="N280" t="s">
        <v>102</v>
      </c>
      <c r="O280"/>
      <c r="P280"/>
      <c r="Q280"/>
    </row>
    <row r="281" spans="1:17" x14ac:dyDescent="0.3">
      <c r="A281" t="str">
        <f>"16757"</f>
        <v>16757</v>
      </c>
      <c r="B281">
        <v>31539</v>
      </c>
      <c r="C281">
        <v>1</v>
      </c>
      <c r="D281" t="str">
        <f>" "</f>
        <v xml:space="preserve"> </v>
      </c>
      <c r="E281"/>
      <c r="F281" s="19">
        <v>42410.447430555556</v>
      </c>
      <c r="G281" s="1">
        <v>42460</v>
      </c>
      <c r="H281">
        <v>1</v>
      </c>
      <c r="I281">
        <v>1</v>
      </c>
      <c r="J281"/>
      <c r="K281"/>
      <c r="L281"/>
      <c r="M281" s="1">
        <v>42458</v>
      </c>
      <c r="N281" t="s">
        <v>102</v>
      </c>
      <c r="O281"/>
      <c r="P281"/>
      <c r="Q281"/>
    </row>
    <row r="282" spans="1:17" x14ac:dyDescent="0.3">
      <c r="A282" t="str">
        <f>"16752"</f>
        <v>16752</v>
      </c>
      <c r="B282">
        <v>31652</v>
      </c>
      <c r="C282">
        <v>1</v>
      </c>
      <c r="D282" t="str">
        <f>" "</f>
        <v xml:space="preserve"> </v>
      </c>
      <c r="E282"/>
      <c r="F282" s="19">
        <v>42405.387245370373</v>
      </c>
      <c r="G282" s="1">
        <v>42460</v>
      </c>
      <c r="H282">
        <v>14</v>
      </c>
      <c r="I282">
        <v>14</v>
      </c>
      <c r="J282"/>
      <c r="K282"/>
      <c r="L282"/>
      <c r="M282" s="1">
        <v>42447</v>
      </c>
      <c r="N282" t="s">
        <v>102</v>
      </c>
      <c r="O282"/>
      <c r="P282"/>
      <c r="Q282"/>
    </row>
    <row r="283" spans="1:17" x14ac:dyDescent="0.3">
      <c r="A283" t="str">
        <f>"16704"</f>
        <v>16704</v>
      </c>
      <c r="B283">
        <v>31765</v>
      </c>
      <c r="C283">
        <v>2</v>
      </c>
      <c r="D283" t="str">
        <f>" "</f>
        <v xml:space="preserve"> </v>
      </c>
      <c r="E283"/>
      <c r="F283" s="19">
        <v>42389.566354166665</v>
      </c>
      <c r="G283" s="1">
        <v>42460</v>
      </c>
      <c r="H283">
        <v>1</v>
      </c>
      <c r="I283">
        <v>1</v>
      </c>
      <c r="J283"/>
      <c r="K283"/>
      <c r="L283"/>
      <c r="M283" s="1">
        <v>42464</v>
      </c>
      <c r="N283" t="s">
        <v>102</v>
      </c>
      <c r="O283"/>
      <c r="P283"/>
      <c r="Q283"/>
    </row>
    <row r="284" spans="1:17" x14ac:dyDescent="0.3">
      <c r="A284" t="str">
        <f>"16863"</f>
        <v>16863</v>
      </c>
      <c r="B284">
        <v>31878</v>
      </c>
      <c r="C284">
        <v>1</v>
      </c>
      <c r="D284" t="str">
        <f>" "</f>
        <v xml:space="preserve"> </v>
      </c>
      <c r="E284"/>
      <c r="F284" s="19">
        <v>42461.374236111114</v>
      </c>
      <c r="G284" s="1">
        <v>42461</v>
      </c>
      <c r="H284">
        <v>1</v>
      </c>
      <c r="I284">
        <v>1</v>
      </c>
      <c r="J284"/>
      <c r="K284"/>
      <c r="L284"/>
      <c r="M284" s="1">
        <v>42461</v>
      </c>
      <c r="N284" t="s">
        <v>102</v>
      </c>
      <c r="O284"/>
      <c r="P284"/>
      <c r="Q284"/>
    </row>
    <row r="285" spans="1:17" x14ac:dyDescent="0.3">
      <c r="A285" t="str">
        <f>"16862"</f>
        <v>16862</v>
      </c>
      <c r="B285">
        <v>31991</v>
      </c>
      <c r="C285">
        <v>1</v>
      </c>
      <c r="D285" t="str">
        <f>" "</f>
        <v xml:space="preserve"> </v>
      </c>
      <c r="E285"/>
      <c r="F285" s="19">
        <v>42461.327673611115</v>
      </c>
      <c r="G285" s="1">
        <v>42464</v>
      </c>
      <c r="H285">
        <v>14</v>
      </c>
      <c r="I285">
        <v>14</v>
      </c>
      <c r="J285"/>
      <c r="K285"/>
      <c r="L285"/>
      <c r="M285" s="1">
        <v>42465</v>
      </c>
      <c r="N285" t="s">
        <v>102</v>
      </c>
      <c r="O285"/>
      <c r="P285"/>
      <c r="Q285"/>
    </row>
    <row r="286" spans="1:17" x14ac:dyDescent="0.3">
      <c r="A286" t="str">
        <f>"15985"</f>
        <v>15985</v>
      </c>
      <c r="B286">
        <v>32104</v>
      </c>
      <c r="C286">
        <v>3</v>
      </c>
      <c r="D286" t="str">
        <f>" "</f>
        <v xml:space="preserve"> </v>
      </c>
      <c r="E286"/>
      <c r="F286" s="19">
        <v>42041.419270833336</v>
      </c>
      <c r="G286" s="1">
        <v>42464</v>
      </c>
      <c r="H286">
        <v>4</v>
      </c>
      <c r="I286">
        <v>5</v>
      </c>
      <c r="J286"/>
      <c r="K286"/>
      <c r="L286"/>
      <c r="M286" s="1">
        <v>42307</v>
      </c>
      <c r="N286" t="s">
        <v>102</v>
      </c>
      <c r="O286"/>
      <c r="P286"/>
      <c r="Q286"/>
    </row>
    <row r="287" spans="1:17" x14ac:dyDescent="0.3">
      <c r="A287" t="str">
        <f>"16799"</f>
        <v>16799</v>
      </c>
      <c r="B287">
        <v>32217</v>
      </c>
      <c r="C287">
        <v>1</v>
      </c>
      <c r="D287" t="str">
        <f>" "</f>
        <v xml:space="preserve"> </v>
      </c>
      <c r="E287"/>
      <c r="F287" s="19">
        <v>42431.570289351854</v>
      </c>
      <c r="G287" s="1">
        <v>42465</v>
      </c>
      <c r="H287">
        <v>1</v>
      </c>
      <c r="I287">
        <v>1</v>
      </c>
      <c r="J287"/>
      <c r="K287"/>
      <c r="L287"/>
      <c r="M287" s="1">
        <v>42458</v>
      </c>
      <c r="N287" t="s">
        <v>102</v>
      </c>
      <c r="O287"/>
      <c r="P287"/>
      <c r="Q287"/>
    </row>
    <row r="288" spans="1:17" x14ac:dyDescent="0.3">
      <c r="A288" t="str">
        <f>"16796"</f>
        <v>16796</v>
      </c>
      <c r="B288">
        <v>32330</v>
      </c>
      <c r="C288">
        <v>1</v>
      </c>
      <c r="D288" t="str">
        <f>" "</f>
        <v xml:space="preserve"> </v>
      </c>
      <c r="E288"/>
      <c r="F288" s="19">
        <v>42431.344641203701</v>
      </c>
      <c r="G288" s="1">
        <v>42465</v>
      </c>
      <c r="H288">
        <v>1</v>
      </c>
      <c r="I288">
        <v>1</v>
      </c>
      <c r="J288"/>
      <c r="K288"/>
      <c r="L288"/>
      <c r="M288" s="1">
        <v>42458</v>
      </c>
      <c r="N288" t="s">
        <v>102</v>
      </c>
      <c r="O288"/>
      <c r="P288"/>
      <c r="Q288"/>
    </row>
    <row r="289" spans="1:17" x14ac:dyDescent="0.3">
      <c r="A289" t="str">
        <f>"16792"</f>
        <v>16792</v>
      </c>
      <c r="B289">
        <v>32443</v>
      </c>
      <c r="C289">
        <v>1</v>
      </c>
      <c r="D289" t="str">
        <f>" "</f>
        <v xml:space="preserve"> </v>
      </c>
      <c r="E289"/>
      <c r="F289" s="19">
        <v>42425.360532407409</v>
      </c>
      <c r="G289" s="1">
        <v>42465</v>
      </c>
      <c r="H289">
        <v>4</v>
      </c>
      <c r="I289">
        <v>4</v>
      </c>
      <c r="J289"/>
      <c r="K289"/>
      <c r="L289"/>
      <c r="M289" s="1">
        <v>42445</v>
      </c>
      <c r="N289" t="s">
        <v>102</v>
      </c>
      <c r="O289"/>
      <c r="P289"/>
      <c r="Q289"/>
    </row>
    <row r="290" spans="1:17" x14ac:dyDescent="0.3">
      <c r="A290" t="str">
        <f>"16792"</f>
        <v>16792</v>
      </c>
      <c r="B290">
        <v>32556</v>
      </c>
      <c r="C290">
        <v>2</v>
      </c>
      <c r="D290" t="str">
        <f>" "</f>
        <v xml:space="preserve"> </v>
      </c>
      <c r="E290"/>
      <c r="F290" s="19">
        <v>42425.360532407409</v>
      </c>
      <c r="G290" s="1">
        <v>42465</v>
      </c>
      <c r="H290">
        <v>1</v>
      </c>
      <c r="I290">
        <v>1</v>
      </c>
      <c r="J290"/>
      <c r="K290"/>
      <c r="L290"/>
      <c r="M290" s="1">
        <v>42445</v>
      </c>
      <c r="N290" t="s">
        <v>102</v>
      </c>
      <c r="O290"/>
      <c r="P290"/>
      <c r="Q290"/>
    </row>
    <row r="291" spans="1:17" x14ac:dyDescent="0.3">
      <c r="A291" t="str">
        <f>"16779"</f>
        <v>16779</v>
      </c>
      <c r="B291">
        <v>32669</v>
      </c>
      <c r="C291">
        <v>1</v>
      </c>
      <c r="D291" t="str">
        <f>" "</f>
        <v xml:space="preserve"> </v>
      </c>
      <c r="E291"/>
      <c r="F291" s="19">
        <v>42422.320891203701</v>
      </c>
      <c r="G291" s="1">
        <v>42465</v>
      </c>
      <c r="H291">
        <v>5</v>
      </c>
      <c r="I291">
        <v>5</v>
      </c>
      <c r="J291"/>
      <c r="K291"/>
      <c r="L291"/>
      <c r="M291" s="1">
        <v>42447</v>
      </c>
      <c r="N291" t="s">
        <v>102</v>
      </c>
      <c r="O291"/>
      <c r="P291"/>
      <c r="Q291"/>
    </row>
    <row r="292" spans="1:17" x14ac:dyDescent="0.3">
      <c r="A292" t="str">
        <f>"16778"</f>
        <v>16778</v>
      </c>
      <c r="B292">
        <v>32782</v>
      </c>
      <c r="C292">
        <v>1</v>
      </c>
      <c r="D292" t="str">
        <f>" "</f>
        <v xml:space="preserve"> </v>
      </c>
      <c r="E292"/>
      <c r="F292" s="19">
        <v>42419.510682870372</v>
      </c>
      <c r="G292" s="1">
        <v>42465</v>
      </c>
      <c r="H292">
        <v>5</v>
      </c>
      <c r="I292">
        <v>5</v>
      </c>
      <c r="J292"/>
      <c r="K292"/>
      <c r="L292"/>
      <c r="M292" s="1">
        <v>42447</v>
      </c>
      <c r="N292" t="s">
        <v>102</v>
      </c>
      <c r="O292"/>
      <c r="P292"/>
      <c r="Q292"/>
    </row>
    <row r="293" spans="1:17" x14ac:dyDescent="0.3">
      <c r="A293" t="str">
        <f>"16798"</f>
        <v>16798</v>
      </c>
      <c r="B293">
        <v>32895</v>
      </c>
      <c r="C293">
        <v>1</v>
      </c>
      <c r="D293" t="str">
        <f>" "</f>
        <v xml:space="preserve"> </v>
      </c>
      <c r="E293"/>
      <c r="F293" s="19">
        <v>42431.464537037034</v>
      </c>
      <c r="G293" s="1">
        <v>42466</v>
      </c>
      <c r="H293">
        <v>1</v>
      </c>
      <c r="I293">
        <v>1</v>
      </c>
      <c r="J293"/>
      <c r="K293"/>
      <c r="L293"/>
      <c r="M293" s="1">
        <v>42464</v>
      </c>
      <c r="N293" t="s">
        <v>102</v>
      </c>
      <c r="O293"/>
      <c r="P293"/>
      <c r="Q293"/>
    </row>
    <row r="294" spans="1:17" x14ac:dyDescent="0.3">
      <c r="A294" t="str">
        <f>"16551"</f>
        <v>16551</v>
      </c>
      <c r="B294">
        <v>33008</v>
      </c>
      <c r="C294">
        <v>1</v>
      </c>
      <c r="D294" t="str">
        <f>" "</f>
        <v xml:space="preserve"> </v>
      </c>
      <c r="E294"/>
      <c r="F294" s="19">
        <v>42312.638819444444</v>
      </c>
      <c r="G294" s="1">
        <v>42466</v>
      </c>
      <c r="H294">
        <v>6</v>
      </c>
      <c r="I294">
        <v>6</v>
      </c>
      <c r="J294"/>
      <c r="K294"/>
      <c r="L294"/>
      <c r="M294" s="1">
        <v>42333</v>
      </c>
      <c r="N294" t="s">
        <v>102</v>
      </c>
      <c r="O294"/>
      <c r="P294"/>
      <c r="Q294"/>
    </row>
    <row r="295" spans="1:17" x14ac:dyDescent="0.3">
      <c r="A295" t="str">
        <f>"16868"</f>
        <v>16868</v>
      </c>
      <c r="B295">
        <v>33121</v>
      </c>
      <c r="C295">
        <v>1</v>
      </c>
      <c r="D295" t="str">
        <f>" "</f>
        <v xml:space="preserve"> </v>
      </c>
      <c r="E295"/>
      <c r="F295" s="19">
        <v>42465.697696759256</v>
      </c>
      <c r="G295" s="1">
        <v>42467</v>
      </c>
      <c r="H295">
        <v>1</v>
      </c>
      <c r="I295">
        <v>1</v>
      </c>
      <c r="J295"/>
      <c r="K295"/>
      <c r="L295"/>
      <c r="M295" s="1">
        <v>42467</v>
      </c>
      <c r="N295" t="s">
        <v>102</v>
      </c>
      <c r="O295"/>
      <c r="P295"/>
      <c r="Q295"/>
    </row>
    <row r="296" spans="1:17" x14ac:dyDescent="0.3">
      <c r="A296" t="str">
        <f>"16833"</f>
        <v>16833</v>
      </c>
      <c r="B296">
        <v>33234</v>
      </c>
      <c r="C296">
        <v>1</v>
      </c>
      <c r="D296" t="str">
        <f>" "</f>
        <v xml:space="preserve"> </v>
      </c>
      <c r="E296"/>
      <c r="F296" s="19">
        <v>42450.325127314813</v>
      </c>
      <c r="G296" s="1">
        <v>42468</v>
      </c>
      <c r="H296">
        <v>4</v>
      </c>
      <c r="I296">
        <v>4</v>
      </c>
      <c r="J296"/>
      <c r="K296"/>
      <c r="L296"/>
      <c r="M296" s="1">
        <v>42466</v>
      </c>
      <c r="N296" t="s">
        <v>102</v>
      </c>
      <c r="O296"/>
      <c r="P296"/>
      <c r="Q296"/>
    </row>
    <row r="297" spans="1:17" x14ac:dyDescent="0.3">
      <c r="A297" t="str">
        <f>"16832"</f>
        <v>16832</v>
      </c>
      <c r="B297">
        <v>33347</v>
      </c>
      <c r="C297">
        <v>1</v>
      </c>
      <c r="D297" t="str">
        <f>" "</f>
        <v xml:space="preserve"> </v>
      </c>
      <c r="E297"/>
      <c r="F297" s="19">
        <v>42447.349039351851</v>
      </c>
      <c r="G297" s="1">
        <v>42468</v>
      </c>
      <c r="H297">
        <v>1</v>
      </c>
      <c r="I297">
        <v>1</v>
      </c>
      <c r="J297"/>
      <c r="K297"/>
      <c r="L297"/>
      <c r="M297" s="1">
        <v>42503</v>
      </c>
      <c r="N297" t="s">
        <v>102</v>
      </c>
      <c r="O297"/>
      <c r="P297"/>
      <c r="Q297"/>
    </row>
    <row r="298" spans="1:17" x14ac:dyDescent="0.3">
      <c r="A298" t="str">
        <f>"16812"</f>
        <v>16812</v>
      </c>
      <c r="B298">
        <v>33460</v>
      </c>
      <c r="C298">
        <v>1</v>
      </c>
      <c r="D298" t="str">
        <f>" "</f>
        <v xml:space="preserve"> </v>
      </c>
      <c r="E298"/>
      <c r="F298" s="19">
        <v>42436.622037037036</v>
      </c>
      <c r="G298" s="1">
        <v>42468</v>
      </c>
      <c r="H298">
        <v>1</v>
      </c>
      <c r="I298">
        <v>1</v>
      </c>
      <c r="J298"/>
      <c r="K298"/>
      <c r="L298"/>
      <c r="M298" s="1">
        <v>42468</v>
      </c>
      <c r="N298" t="s">
        <v>102</v>
      </c>
      <c r="O298"/>
      <c r="P298"/>
      <c r="Q298"/>
    </row>
    <row r="299" spans="1:17" x14ac:dyDescent="0.3">
      <c r="A299" t="str">
        <f>"16879"</f>
        <v>16879</v>
      </c>
      <c r="B299">
        <v>33573</v>
      </c>
      <c r="C299">
        <v>1</v>
      </c>
      <c r="D299" t="str">
        <f>" "</f>
        <v xml:space="preserve"> </v>
      </c>
      <c r="E299"/>
      <c r="F299" s="19">
        <v>42468.403252314813</v>
      </c>
      <c r="G299" s="1">
        <v>42472</v>
      </c>
      <c r="H299">
        <v>1</v>
      </c>
      <c r="I299">
        <v>1</v>
      </c>
      <c r="J299"/>
      <c r="K299"/>
      <c r="L299"/>
      <c r="M299" s="1">
        <v>42474</v>
      </c>
      <c r="N299" t="s">
        <v>102</v>
      </c>
      <c r="O299"/>
      <c r="P299"/>
      <c r="Q299"/>
    </row>
    <row r="300" spans="1:17" x14ac:dyDescent="0.3">
      <c r="A300" t="str">
        <f>"16846"</f>
        <v>16846</v>
      </c>
      <c r="B300">
        <v>33686</v>
      </c>
      <c r="C300">
        <v>1</v>
      </c>
      <c r="D300" t="str">
        <f>" "</f>
        <v xml:space="preserve"> </v>
      </c>
      <c r="E300"/>
      <c r="F300" s="19">
        <v>42452.614166666666</v>
      </c>
      <c r="G300" s="1">
        <v>42472</v>
      </c>
      <c r="H300">
        <v>1</v>
      </c>
      <c r="I300">
        <v>1</v>
      </c>
      <c r="J300"/>
      <c r="K300"/>
      <c r="L300"/>
      <c r="M300" s="1">
        <v>42473</v>
      </c>
      <c r="N300" t="s">
        <v>102</v>
      </c>
      <c r="O300"/>
      <c r="P300"/>
      <c r="Q300"/>
    </row>
    <row r="301" spans="1:17" x14ac:dyDescent="0.3">
      <c r="A301" t="str">
        <f>"16846"</f>
        <v>16846</v>
      </c>
      <c r="B301">
        <v>33799</v>
      </c>
      <c r="C301">
        <v>2</v>
      </c>
      <c r="D301" t="str">
        <f>" "</f>
        <v xml:space="preserve"> </v>
      </c>
      <c r="E301"/>
      <c r="F301" s="19">
        <v>42452.614166666666</v>
      </c>
      <c r="G301" s="1">
        <v>42472</v>
      </c>
      <c r="H301">
        <v>1</v>
      </c>
      <c r="I301">
        <v>1</v>
      </c>
      <c r="J301"/>
      <c r="K301"/>
      <c r="L301"/>
      <c r="M301" s="1">
        <v>42473</v>
      </c>
      <c r="N301" t="s">
        <v>102</v>
      </c>
      <c r="O301"/>
      <c r="P301"/>
      <c r="Q301"/>
    </row>
    <row r="302" spans="1:17" x14ac:dyDescent="0.3">
      <c r="A302" t="str">
        <f>"16815"</f>
        <v>16815</v>
      </c>
      <c r="B302">
        <v>33912</v>
      </c>
      <c r="C302">
        <v>1</v>
      </c>
      <c r="D302" t="str">
        <f>" "</f>
        <v xml:space="preserve"> </v>
      </c>
      <c r="E302"/>
      <c r="F302" s="19">
        <v>42438.318657407406</v>
      </c>
      <c r="G302" s="1">
        <v>42472</v>
      </c>
      <c r="H302">
        <v>1</v>
      </c>
      <c r="I302">
        <v>1</v>
      </c>
      <c r="J302"/>
      <c r="K302"/>
      <c r="L302"/>
      <c r="M302" s="1">
        <v>42464</v>
      </c>
      <c r="N302" t="s">
        <v>102</v>
      </c>
      <c r="O302"/>
      <c r="P302"/>
      <c r="Q302"/>
    </row>
    <row r="303" spans="1:17" x14ac:dyDescent="0.3">
      <c r="A303" t="str">
        <f>"16815"</f>
        <v>16815</v>
      </c>
      <c r="B303">
        <v>34025</v>
      </c>
      <c r="C303">
        <v>5</v>
      </c>
      <c r="D303" t="str">
        <f>" "</f>
        <v xml:space="preserve"> </v>
      </c>
      <c r="E303"/>
      <c r="F303" s="19">
        <v>42438.318657407406</v>
      </c>
      <c r="G303" s="1">
        <v>42472</v>
      </c>
      <c r="H303">
        <v>1</v>
      </c>
      <c r="I303">
        <v>1</v>
      </c>
      <c r="J303"/>
      <c r="K303"/>
      <c r="L303"/>
      <c r="M303" s="1">
        <v>42464</v>
      </c>
      <c r="N303" t="s">
        <v>102</v>
      </c>
      <c r="O303"/>
      <c r="P303"/>
      <c r="Q303"/>
    </row>
    <row r="304" spans="1:17" x14ac:dyDescent="0.3">
      <c r="A304" t="str">
        <f>"16710"</f>
        <v>16710</v>
      </c>
      <c r="B304">
        <v>34138</v>
      </c>
      <c r="C304">
        <v>8</v>
      </c>
      <c r="D304" t="str">
        <f>" "</f>
        <v xml:space="preserve"> </v>
      </c>
      <c r="E304"/>
      <c r="F304" s="19">
        <v>42395.571620370371</v>
      </c>
      <c r="G304" s="1">
        <v>42472</v>
      </c>
      <c r="H304">
        <v>4</v>
      </c>
      <c r="I304">
        <v>4</v>
      </c>
      <c r="J304"/>
      <c r="K304"/>
      <c r="L304"/>
      <c r="M304" s="1">
        <v>42436</v>
      </c>
      <c r="N304" t="s">
        <v>102</v>
      </c>
      <c r="O304"/>
      <c r="P304"/>
      <c r="Q304"/>
    </row>
    <row r="305" spans="1:17" x14ac:dyDescent="0.3">
      <c r="A305" t="str">
        <f>"16569"</f>
        <v>16569</v>
      </c>
      <c r="B305">
        <v>34251</v>
      </c>
      <c r="C305">
        <v>5</v>
      </c>
      <c r="D305" t="str">
        <f>" "</f>
        <v xml:space="preserve"> </v>
      </c>
      <c r="E305"/>
      <c r="F305" s="19">
        <v>42453.659432870372</v>
      </c>
      <c r="G305" s="1">
        <v>42472</v>
      </c>
      <c r="H305">
        <v>1</v>
      </c>
      <c r="I305">
        <v>1</v>
      </c>
      <c r="J305"/>
      <c r="K305"/>
      <c r="L305"/>
      <c r="M305" s="1">
        <v>42475</v>
      </c>
      <c r="N305" t="s">
        <v>102</v>
      </c>
      <c r="O305"/>
      <c r="P305"/>
      <c r="Q305"/>
    </row>
    <row r="306" spans="1:17" x14ac:dyDescent="0.3">
      <c r="A306" t="str">
        <f>"16877"</f>
        <v>16877</v>
      </c>
      <c r="B306">
        <v>34364</v>
      </c>
      <c r="C306">
        <v>1</v>
      </c>
      <c r="D306" t="str">
        <f>" "</f>
        <v xml:space="preserve"> </v>
      </c>
      <c r="E306"/>
      <c r="F306" s="19">
        <v>42467.564340277779</v>
      </c>
      <c r="G306" s="1">
        <v>42473</v>
      </c>
      <c r="H306">
        <v>1</v>
      </c>
      <c r="I306">
        <v>1</v>
      </c>
      <c r="J306"/>
      <c r="K306"/>
      <c r="L306"/>
      <c r="M306" s="1">
        <v>42472</v>
      </c>
      <c r="N306" t="s">
        <v>102</v>
      </c>
      <c r="O306"/>
      <c r="P306"/>
      <c r="Q306"/>
    </row>
    <row r="307" spans="1:17" x14ac:dyDescent="0.3">
      <c r="A307" t="str">
        <f>"16876"</f>
        <v>16876</v>
      </c>
      <c r="B307">
        <v>34477</v>
      </c>
      <c r="C307">
        <v>1</v>
      </c>
      <c r="D307" t="str">
        <f>" "</f>
        <v xml:space="preserve"> </v>
      </c>
      <c r="E307"/>
      <c r="F307" s="19">
        <v>42467.552708333336</v>
      </c>
      <c r="G307" s="1">
        <v>42473</v>
      </c>
      <c r="H307">
        <v>1</v>
      </c>
      <c r="I307">
        <v>1</v>
      </c>
      <c r="J307"/>
      <c r="K307"/>
      <c r="L307"/>
      <c r="M307" s="1">
        <v>42472</v>
      </c>
      <c r="N307" t="s">
        <v>102</v>
      </c>
      <c r="O307"/>
      <c r="P307"/>
      <c r="Q307"/>
    </row>
    <row r="308" spans="1:17" x14ac:dyDescent="0.3">
      <c r="A308" t="str">
        <f>"16808"</f>
        <v>16808</v>
      </c>
      <c r="B308">
        <v>34590</v>
      </c>
      <c r="C308">
        <v>1</v>
      </c>
      <c r="D308" t="str">
        <f>" "</f>
        <v xml:space="preserve"> </v>
      </c>
      <c r="E308"/>
      <c r="F308" s="19">
        <v>42436.543796296297</v>
      </c>
      <c r="G308" s="1">
        <v>42473</v>
      </c>
      <c r="H308">
        <v>10</v>
      </c>
      <c r="I308">
        <v>10</v>
      </c>
      <c r="J308"/>
      <c r="K308"/>
      <c r="L308"/>
      <c r="M308" s="1">
        <v>42454</v>
      </c>
      <c r="N308" t="s">
        <v>102</v>
      </c>
      <c r="O308"/>
      <c r="P308"/>
      <c r="Q308"/>
    </row>
    <row r="309" spans="1:17" x14ac:dyDescent="0.3">
      <c r="A309" t="str">
        <f>"16807"</f>
        <v>16807</v>
      </c>
      <c r="B309">
        <v>34703</v>
      </c>
      <c r="C309">
        <v>1</v>
      </c>
      <c r="D309" t="str">
        <f>" "</f>
        <v xml:space="preserve"> </v>
      </c>
      <c r="E309"/>
      <c r="F309" s="19">
        <v>42436.496550925927</v>
      </c>
      <c r="G309" s="1">
        <v>42473</v>
      </c>
      <c r="H309">
        <v>10</v>
      </c>
      <c r="I309">
        <v>10</v>
      </c>
      <c r="J309"/>
      <c r="K309"/>
      <c r="L309"/>
      <c r="M309" s="1">
        <v>42454</v>
      </c>
      <c r="N309" t="s">
        <v>102</v>
      </c>
      <c r="O309"/>
      <c r="P309"/>
      <c r="Q309"/>
    </row>
    <row r="310" spans="1:17" x14ac:dyDescent="0.3">
      <c r="A310" t="str">
        <f>"16806"</f>
        <v>16806</v>
      </c>
      <c r="B310">
        <v>34816</v>
      </c>
      <c r="C310">
        <v>1</v>
      </c>
      <c r="D310" t="str">
        <f>" "</f>
        <v xml:space="preserve"> </v>
      </c>
      <c r="E310"/>
      <c r="F310" s="19">
        <v>42436.474189814813</v>
      </c>
      <c r="G310" s="1">
        <v>42473</v>
      </c>
      <c r="H310">
        <v>12</v>
      </c>
      <c r="I310">
        <v>12</v>
      </c>
      <c r="J310"/>
      <c r="K310"/>
      <c r="L310"/>
      <c r="M310" s="1">
        <v>42454</v>
      </c>
      <c r="N310" t="s">
        <v>102</v>
      </c>
      <c r="O310"/>
      <c r="P310"/>
      <c r="Q310"/>
    </row>
    <row r="311" spans="1:17" x14ac:dyDescent="0.3">
      <c r="A311" t="str">
        <f>"16882"</f>
        <v>16882</v>
      </c>
      <c r="B311">
        <v>34929</v>
      </c>
      <c r="C311">
        <v>1</v>
      </c>
      <c r="D311" t="str">
        <f>" "</f>
        <v xml:space="preserve"> </v>
      </c>
      <c r="E311"/>
      <c r="F311" s="19">
        <v>42471.436585648145</v>
      </c>
      <c r="G311" s="1">
        <v>42474</v>
      </c>
      <c r="H311">
        <v>1</v>
      </c>
      <c r="I311">
        <v>1</v>
      </c>
      <c r="J311"/>
      <c r="K311"/>
      <c r="L311"/>
      <c r="M311" s="1">
        <v>42473</v>
      </c>
      <c r="N311" t="s">
        <v>102</v>
      </c>
      <c r="O311"/>
      <c r="P311"/>
      <c r="Q311"/>
    </row>
    <row r="312" spans="1:17" x14ac:dyDescent="0.3">
      <c r="A312" t="str">
        <f>"16881"</f>
        <v>16881</v>
      </c>
      <c r="B312">
        <v>35042</v>
      </c>
      <c r="C312">
        <v>1</v>
      </c>
      <c r="D312" t="str">
        <f>" "</f>
        <v xml:space="preserve"> </v>
      </c>
      <c r="E312"/>
      <c r="F312" s="19">
        <v>42471.373344907406</v>
      </c>
      <c r="G312" s="1">
        <v>42474</v>
      </c>
      <c r="H312">
        <v>1</v>
      </c>
      <c r="I312">
        <v>1</v>
      </c>
      <c r="J312"/>
      <c r="K312"/>
      <c r="L312"/>
      <c r="M312" s="1">
        <v>42473</v>
      </c>
      <c r="N312" t="s">
        <v>102</v>
      </c>
      <c r="O312"/>
      <c r="P312"/>
      <c r="Q312"/>
    </row>
    <row r="313" spans="1:17" x14ac:dyDescent="0.3">
      <c r="A313" t="str">
        <f>"16622"</f>
        <v>16622</v>
      </c>
      <c r="B313">
        <v>35155</v>
      </c>
      <c r="C313">
        <v>2</v>
      </c>
      <c r="D313" t="str">
        <f>" "</f>
        <v xml:space="preserve"> </v>
      </c>
      <c r="E313"/>
      <c r="F313" s="19">
        <v>42348.45820601852</v>
      </c>
      <c r="G313" s="1">
        <v>42474</v>
      </c>
      <c r="H313">
        <v>1</v>
      </c>
      <c r="I313">
        <v>1</v>
      </c>
      <c r="J313"/>
      <c r="K313"/>
      <c r="L313"/>
      <c r="M313" s="1">
        <v>42408</v>
      </c>
      <c r="N313" t="s">
        <v>102</v>
      </c>
      <c r="O313"/>
      <c r="P313"/>
      <c r="Q313"/>
    </row>
    <row r="314" spans="1:17" x14ac:dyDescent="0.3">
      <c r="A314" t="str">
        <f>"16913"</f>
        <v>16913</v>
      </c>
      <c r="B314">
        <v>35268</v>
      </c>
      <c r="C314">
        <v>1</v>
      </c>
      <c r="D314" t="str">
        <f>" "</f>
        <v xml:space="preserve"> </v>
      </c>
      <c r="E314"/>
      <c r="F314" s="19">
        <v>42473.670925925922</v>
      </c>
      <c r="G314" s="1">
        <v>42475</v>
      </c>
      <c r="H314">
        <v>1</v>
      </c>
      <c r="I314">
        <v>1</v>
      </c>
      <c r="J314"/>
      <c r="K314"/>
      <c r="L314"/>
      <c r="M314" s="1">
        <v>42475</v>
      </c>
      <c r="N314" t="s">
        <v>102</v>
      </c>
      <c r="O314"/>
      <c r="P314"/>
      <c r="Q314"/>
    </row>
    <row r="315" spans="1:17" x14ac:dyDescent="0.3">
      <c r="A315" t="str">
        <f>"16898"</f>
        <v>16898</v>
      </c>
      <c r="B315">
        <v>35381</v>
      </c>
      <c r="C315">
        <v>1</v>
      </c>
      <c r="D315" t="str">
        <f>" "</f>
        <v xml:space="preserve"> </v>
      </c>
      <c r="E315"/>
      <c r="F315" s="19">
        <v>42472.615636574075</v>
      </c>
      <c r="G315" s="1">
        <v>42475</v>
      </c>
      <c r="H315">
        <v>3</v>
      </c>
      <c r="I315">
        <v>3</v>
      </c>
      <c r="J315"/>
      <c r="K315"/>
      <c r="L315"/>
      <c r="M315" s="1">
        <v>42475</v>
      </c>
      <c r="N315" t="s">
        <v>102</v>
      </c>
      <c r="O315"/>
      <c r="P315"/>
      <c r="Q315"/>
    </row>
    <row r="316" spans="1:17" x14ac:dyDescent="0.3">
      <c r="A316" t="str">
        <f>"16898"</f>
        <v>16898</v>
      </c>
      <c r="B316">
        <v>35494</v>
      </c>
      <c r="C316">
        <v>2</v>
      </c>
      <c r="D316" t="str">
        <f>" "</f>
        <v xml:space="preserve"> </v>
      </c>
      <c r="E316"/>
      <c r="F316" s="19">
        <v>42472.615636574075</v>
      </c>
      <c r="G316" s="1">
        <v>42475</v>
      </c>
      <c r="H316">
        <v>1</v>
      </c>
      <c r="I316">
        <v>1</v>
      </c>
      <c r="J316"/>
      <c r="K316"/>
      <c r="L316"/>
      <c r="M316" s="1">
        <v>42475</v>
      </c>
      <c r="N316" t="s">
        <v>102</v>
      </c>
      <c r="O316"/>
      <c r="P316"/>
      <c r="Q316"/>
    </row>
    <row r="317" spans="1:17" x14ac:dyDescent="0.3">
      <c r="A317" t="str">
        <f>"16864"</f>
        <v>16864</v>
      </c>
      <c r="B317">
        <v>35607</v>
      </c>
      <c r="C317">
        <v>1</v>
      </c>
      <c r="D317" t="str">
        <f>" "</f>
        <v xml:space="preserve"> </v>
      </c>
      <c r="E317"/>
      <c r="F317" s="19">
        <v>42461.397141203706</v>
      </c>
      <c r="G317" s="1">
        <v>42475</v>
      </c>
      <c r="H317">
        <v>1</v>
      </c>
      <c r="I317">
        <v>1</v>
      </c>
      <c r="J317"/>
      <c r="K317"/>
      <c r="L317"/>
      <c r="M317" s="1">
        <v>42475</v>
      </c>
      <c r="N317" t="s">
        <v>102</v>
      </c>
      <c r="O317"/>
      <c r="P317"/>
      <c r="Q317"/>
    </row>
    <row r="318" spans="1:17" x14ac:dyDescent="0.3">
      <c r="A318" t="str">
        <f>"16864"</f>
        <v>16864</v>
      </c>
      <c r="B318">
        <v>35720</v>
      </c>
      <c r="C318">
        <v>2</v>
      </c>
      <c r="D318" t="str">
        <f>" "</f>
        <v xml:space="preserve"> </v>
      </c>
      <c r="E318"/>
      <c r="F318" s="19">
        <v>42461.397141203706</v>
      </c>
      <c r="G318" s="1">
        <v>42475</v>
      </c>
      <c r="H318">
        <v>1</v>
      </c>
      <c r="I318">
        <v>1</v>
      </c>
      <c r="J318"/>
      <c r="K318"/>
      <c r="L318"/>
      <c r="M318" s="1">
        <v>42475</v>
      </c>
      <c r="N318" t="s">
        <v>102</v>
      </c>
      <c r="O318"/>
      <c r="P318"/>
      <c r="Q318"/>
    </row>
    <row r="319" spans="1:17" x14ac:dyDescent="0.3">
      <c r="A319" t="str">
        <f>"16864"</f>
        <v>16864</v>
      </c>
      <c r="B319">
        <v>35833</v>
      </c>
      <c r="C319">
        <v>3</v>
      </c>
      <c r="D319" t="str">
        <f>" "</f>
        <v xml:space="preserve"> </v>
      </c>
      <c r="E319"/>
      <c r="F319" s="19">
        <v>42461.397141203706</v>
      </c>
      <c r="G319" s="1">
        <v>42475</v>
      </c>
      <c r="H319">
        <v>1</v>
      </c>
      <c r="I319">
        <v>1</v>
      </c>
      <c r="J319"/>
      <c r="K319"/>
      <c r="L319"/>
      <c r="M319" s="1">
        <v>42475</v>
      </c>
      <c r="N319" t="s">
        <v>102</v>
      </c>
      <c r="O319"/>
      <c r="P319"/>
      <c r="Q319"/>
    </row>
    <row r="320" spans="1:17" x14ac:dyDescent="0.3">
      <c r="A320" t="str">
        <f>"16864"</f>
        <v>16864</v>
      </c>
      <c r="B320">
        <v>35946</v>
      </c>
      <c r="C320">
        <v>4</v>
      </c>
      <c r="D320" t="str">
        <f>" "</f>
        <v xml:space="preserve"> </v>
      </c>
      <c r="E320"/>
      <c r="F320" s="19">
        <v>42461.397141203706</v>
      </c>
      <c r="G320" s="1">
        <v>42475</v>
      </c>
      <c r="H320">
        <v>1</v>
      </c>
      <c r="I320">
        <v>1</v>
      </c>
      <c r="J320"/>
      <c r="K320"/>
      <c r="L320"/>
      <c r="M320" s="1">
        <v>42475</v>
      </c>
      <c r="N320" t="s">
        <v>102</v>
      </c>
      <c r="O320"/>
      <c r="P320"/>
      <c r="Q320"/>
    </row>
    <row r="321" spans="1:17" x14ac:dyDescent="0.3">
      <c r="A321" t="str">
        <f>"16788"</f>
        <v>16788</v>
      </c>
      <c r="B321">
        <v>36059</v>
      </c>
      <c r="C321">
        <v>1</v>
      </c>
      <c r="D321" t="str">
        <f>" "</f>
        <v xml:space="preserve"> </v>
      </c>
      <c r="E321"/>
      <c r="F321" s="19">
        <v>42424.444780092592</v>
      </c>
      <c r="G321" s="1">
        <v>42475</v>
      </c>
      <c r="H321">
        <v>25</v>
      </c>
      <c r="I321">
        <v>25</v>
      </c>
      <c r="J321"/>
      <c r="K321"/>
      <c r="L321"/>
      <c r="M321" s="1">
        <v>42454</v>
      </c>
      <c r="N321" t="s">
        <v>102</v>
      </c>
      <c r="O321"/>
      <c r="P321"/>
      <c r="Q321"/>
    </row>
    <row r="322" spans="1:17" x14ac:dyDescent="0.3">
      <c r="A322" t="str">
        <f>"16787"</f>
        <v>16787</v>
      </c>
      <c r="B322">
        <v>36172</v>
      </c>
      <c r="C322">
        <v>1</v>
      </c>
      <c r="D322" t="str">
        <f>" "</f>
        <v xml:space="preserve"> </v>
      </c>
      <c r="E322"/>
      <c r="F322" s="19">
        <v>42424.427581018521</v>
      </c>
      <c r="G322" s="1">
        <v>42475</v>
      </c>
      <c r="H322">
        <v>25</v>
      </c>
      <c r="I322">
        <v>25</v>
      </c>
      <c r="J322"/>
      <c r="K322"/>
      <c r="L322"/>
      <c r="M322" s="1">
        <v>42433</v>
      </c>
      <c r="N322" t="s">
        <v>102</v>
      </c>
      <c r="O322"/>
      <c r="P322"/>
      <c r="Q322"/>
    </row>
    <row r="323" spans="1:17" x14ac:dyDescent="0.3">
      <c r="A323" t="str">
        <f>"16915"</f>
        <v>16915</v>
      </c>
      <c r="B323">
        <v>36285</v>
      </c>
      <c r="C323">
        <v>1</v>
      </c>
      <c r="D323" t="str">
        <f>" "</f>
        <v xml:space="preserve"> </v>
      </c>
      <c r="E323"/>
      <c r="F323" s="19">
        <v>42475.314456018517</v>
      </c>
      <c r="G323" s="1">
        <v>42478</v>
      </c>
      <c r="H323">
        <v>1</v>
      </c>
      <c r="I323">
        <v>1</v>
      </c>
      <c r="J323"/>
      <c r="K323"/>
      <c r="L323"/>
      <c r="M323" s="1">
        <v>42478</v>
      </c>
      <c r="N323" t="s">
        <v>102</v>
      </c>
      <c r="O323"/>
      <c r="P323"/>
      <c r="Q323"/>
    </row>
    <row r="324" spans="1:17" x14ac:dyDescent="0.3">
      <c r="A324" t="str">
        <f>"14893"</f>
        <v>14893</v>
      </c>
      <c r="B324">
        <v>36398</v>
      </c>
      <c r="C324">
        <v>2</v>
      </c>
      <c r="D324" t="str">
        <f>" "</f>
        <v xml:space="preserve"> </v>
      </c>
      <c r="E324"/>
      <c r="F324" s="19">
        <v>41533.698252314818</v>
      </c>
      <c r="G324" s="1">
        <v>42478</v>
      </c>
      <c r="H324">
        <v>15</v>
      </c>
      <c r="I324">
        <v>15</v>
      </c>
      <c r="J324"/>
      <c r="K324"/>
      <c r="L324"/>
      <c r="M324" s="1">
        <v>42489</v>
      </c>
      <c r="N324" t="s">
        <v>102</v>
      </c>
      <c r="O324"/>
      <c r="P324"/>
      <c r="Q324"/>
    </row>
    <row r="325" spans="1:17" x14ac:dyDescent="0.3">
      <c r="A325" t="str">
        <f>"16919"</f>
        <v>16919</v>
      </c>
      <c r="B325">
        <v>36511</v>
      </c>
      <c r="C325">
        <v>1</v>
      </c>
      <c r="D325" t="str">
        <f>" "</f>
        <v xml:space="preserve"> </v>
      </c>
      <c r="E325"/>
      <c r="F325" s="19">
        <v>42479.407534722224</v>
      </c>
      <c r="G325" s="1">
        <v>42479</v>
      </c>
      <c r="H325">
        <v>1</v>
      </c>
      <c r="I325">
        <v>1</v>
      </c>
      <c r="J325"/>
      <c r="K325"/>
      <c r="L325"/>
      <c r="M325" s="1">
        <v>42479</v>
      </c>
      <c r="N325" t="s">
        <v>102</v>
      </c>
      <c r="O325"/>
      <c r="P325"/>
      <c r="Q325"/>
    </row>
    <row r="326" spans="1:17" x14ac:dyDescent="0.3">
      <c r="A326" t="str">
        <f>"16867"</f>
        <v>16867</v>
      </c>
      <c r="B326">
        <v>36624</v>
      </c>
      <c r="C326">
        <v>1</v>
      </c>
      <c r="D326" t="str">
        <f>" "</f>
        <v xml:space="preserve"> </v>
      </c>
      <c r="E326"/>
      <c r="F326" s="19">
        <v>42466.384756944448</v>
      </c>
      <c r="G326" s="1">
        <v>42479</v>
      </c>
      <c r="H326">
        <v>4</v>
      </c>
      <c r="I326">
        <v>4</v>
      </c>
      <c r="J326"/>
      <c r="K326"/>
      <c r="L326"/>
      <c r="M326" s="1">
        <v>42480</v>
      </c>
      <c r="N326" t="s">
        <v>102</v>
      </c>
      <c r="O326"/>
      <c r="P326"/>
      <c r="Q326"/>
    </row>
    <row r="327" spans="1:17" x14ac:dyDescent="0.3">
      <c r="A327" t="str">
        <f>"16867"</f>
        <v>16867</v>
      </c>
      <c r="B327">
        <v>36737</v>
      </c>
      <c r="C327">
        <v>2</v>
      </c>
      <c r="D327" t="str">
        <f>" "</f>
        <v xml:space="preserve"> </v>
      </c>
      <c r="E327"/>
      <c r="F327" s="19">
        <v>42466.384756944448</v>
      </c>
      <c r="G327" s="1">
        <v>42479</v>
      </c>
      <c r="H327">
        <v>1</v>
      </c>
      <c r="I327">
        <v>1</v>
      </c>
      <c r="J327"/>
      <c r="K327"/>
      <c r="L327"/>
      <c r="M327" s="1">
        <v>42480</v>
      </c>
      <c r="N327" t="s">
        <v>102</v>
      </c>
      <c r="O327"/>
      <c r="P327"/>
      <c r="Q327"/>
    </row>
    <row r="328" spans="1:17" x14ac:dyDescent="0.3">
      <c r="A328" t="str">
        <f>"16861"</f>
        <v>16861</v>
      </c>
      <c r="B328">
        <v>36850</v>
      </c>
      <c r="C328">
        <v>1</v>
      </c>
      <c r="D328" t="str">
        <f>" "</f>
        <v xml:space="preserve"> </v>
      </c>
      <c r="E328"/>
      <c r="F328" s="19">
        <v>42460.712500000001</v>
      </c>
      <c r="G328" s="1">
        <v>42479</v>
      </c>
      <c r="H328">
        <v>1</v>
      </c>
      <c r="I328">
        <v>1</v>
      </c>
      <c r="J328"/>
      <c r="K328"/>
      <c r="L328"/>
      <c r="M328" s="1">
        <v>42480</v>
      </c>
      <c r="N328" t="s">
        <v>102</v>
      </c>
      <c r="O328"/>
      <c r="P328"/>
      <c r="Q328"/>
    </row>
    <row r="329" spans="1:17" x14ac:dyDescent="0.3">
      <c r="A329" t="str">
        <f>"16896"</f>
        <v>16896</v>
      </c>
      <c r="B329">
        <v>36963</v>
      </c>
      <c r="C329">
        <v>1</v>
      </c>
      <c r="D329" t="str">
        <f>" "</f>
        <v xml:space="preserve"> </v>
      </c>
      <c r="E329"/>
      <c r="F329" s="19">
        <v>42472.551817129628</v>
      </c>
      <c r="G329" s="1">
        <v>42480</v>
      </c>
      <c r="H329">
        <v>1</v>
      </c>
      <c r="I329">
        <v>1</v>
      </c>
      <c r="J329"/>
      <c r="K329"/>
      <c r="L329"/>
      <c r="M329" s="1">
        <v>42479</v>
      </c>
      <c r="N329" t="s">
        <v>102</v>
      </c>
      <c r="O329"/>
      <c r="P329"/>
      <c r="Q329"/>
    </row>
    <row r="330" spans="1:17" x14ac:dyDescent="0.3">
      <c r="A330" t="str">
        <f>"16634"</f>
        <v>16634</v>
      </c>
      <c r="B330">
        <v>37076</v>
      </c>
      <c r="C330">
        <v>2</v>
      </c>
      <c r="D330" t="str">
        <f>" "</f>
        <v xml:space="preserve"> </v>
      </c>
      <c r="E330"/>
      <c r="F330" s="19">
        <v>42353.415972222225</v>
      </c>
      <c r="G330" s="1">
        <v>42480</v>
      </c>
      <c r="H330">
        <v>1</v>
      </c>
      <c r="I330">
        <v>1</v>
      </c>
      <c r="J330"/>
      <c r="K330"/>
      <c r="L330"/>
      <c r="M330" s="1">
        <v>42471</v>
      </c>
      <c r="N330" t="s">
        <v>102</v>
      </c>
      <c r="O330"/>
      <c r="P330"/>
      <c r="Q330"/>
    </row>
    <row r="331" spans="1:17" x14ac:dyDescent="0.3">
      <c r="A331" t="str">
        <f>"16770"</f>
        <v>16770</v>
      </c>
      <c r="B331">
        <v>37189</v>
      </c>
      <c r="C331">
        <v>1</v>
      </c>
      <c r="D331" t="str">
        <f>" "</f>
        <v xml:space="preserve"> </v>
      </c>
      <c r="E331"/>
      <c r="F331" s="19">
        <v>42415.633391203701</v>
      </c>
      <c r="G331" s="1">
        <v>42481</v>
      </c>
      <c r="H331">
        <v>24</v>
      </c>
      <c r="I331">
        <v>24</v>
      </c>
      <c r="J331"/>
      <c r="K331"/>
      <c r="L331"/>
      <c r="M331" s="1">
        <v>42459</v>
      </c>
      <c r="N331" t="s">
        <v>102</v>
      </c>
      <c r="O331"/>
      <c r="P331"/>
      <c r="Q331"/>
    </row>
    <row r="332" spans="1:17" x14ac:dyDescent="0.3">
      <c r="A332" t="str">
        <f>"16880"</f>
        <v>16880</v>
      </c>
      <c r="B332">
        <v>37302</v>
      </c>
      <c r="C332">
        <v>1</v>
      </c>
      <c r="D332" t="str">
        <f>" "</f>
        <v xml:space="preserve"> </v>
      </c>
      <c r="E332"/>
      <c r="F332" s="19">
        <v>42468.478437500002</v>
      </c>
      <c r="G332" s="1">
        <v>42482</v>
      </c>
      <c r="H332">
        <v>1</v>
      </c>
      <c r="I332">
        <v>1</v>
      </c>
      <c r="J332"/>
      <c r="K332"/>
      <c r="L332"/>
      <c r="M332" s="1">
        <v>42499</v>
      </c>
      <c r="N332" t="s">
        <v>102</v>
      </c>
      <c r="O332"/>
      <c r="P332"/>
      <c r="Q332"/>
    </row>
    <row r="333" spans="1:17" x14ac:dyDescent="0.3">
      <c r="A333" t="str">
        <f>"16866"</f>
        <v>16866</v>
      </c>
      <c r="B333">
        <v>37415</v>
      </c>
      <c r="C333">
        <v>1</v>
      </c>
      <c r="D333" t="str">
        <f>" "</f>
        <v xml:space="preserve"> </v>
      </c>
      <c r="E333"/>
      <c r="F333" s="19">
        <v>42478.601273148146</v>
      </c>
      <c r="G333" s="1">
        <v>42485</v>
      </c>
      <c r="H333">
        <v>1</v>
      </c>
      <c r="I333">
        <v>1</v>
      </c>
      <c r="J333"/>
      <c r="K333"/>
      <c r="L333"/>
      <c r="M333" s="1">
        <v>42478</v>
      </c>
      <c r="N333" t="s">
        <v>102</v>
      </c>
      <c r="O333"/>
      <c r="P333"/>
      <c r="Q333"/>
    </row>
    <row r="334" spans="1:17" x14ac:dyDescent="0.3">
      <c r="A334" t="str">
        <f>"16832"</f>
        <v>16832</v>
      </c>
      <c r="B334">
        <v>37528</v>
      </c>
      <c r="C334">
        <v>2</v>
      </c>
      <c r="D334" t="str">
        <f>" "</f>
        <v xml:space="preserve"> </v>
      </c>
      <c r="E334"/>
      <c r="F334" s="19">
        <v>42447.349039351851</v>
      </c>
      <c r="G334" s="1">
        <v>42485</v>
      </c>
      <c r="H334">
        <v>1</v>
      </c>
      <c r="I334">
        <v>1</v>
      </c>
      <c r="J334"/>
      <c r="K334"/>
      <c r="L334"/>
      <c r="M334" s="1">
        <v>42503</v>
      </c>
      <c r="N334" t="s">
        <v>102</v>
      </c>
      <c r="O334"/>
      <c r="P334"/>
      <c r="Q334"/>
    </row>
    <row r="335" spans="1:17" x14ac:dyDescent="0.3">
      <c r="A335" t="str">
        <f>"16832"</f>
        <v>16832</v>
      </c>
      <c r="B335">
        <v>37641</v>
      </c>
      <c r="C335">
        <v>3</v>
      </c>
      <c r="D335" t="str">
        <f>" "</f>
        <v xml:space="preserve"> </v>
      </c>
      <c r="E335"/>
      <c r="F335" s="19">
        <v>42447.349039351851</v>
      </c>
      <c r="G335" s="1">
        <v>42485</v>
      </c>
      <c r="H335">
        <v>1</v>
      </c>
      <c r="I335">
        <v>1</v>
      </c>
      <c r="J335"/>
      <c r="K335"/>
      <c r="L335"/>
      <c r="M335" s="1">
        <v>42503</v>
      </c>
      <c r="N335" t="s">
        <v>102</v>
      </c>
      <c r="O335"/>
      <c r="P335"/>
      <c r="Q335"/>
    </row>
    <row r="336" spans="1:17" x14ac:dyDescent="0.3">
      <c r="A336" t="str">
        <f>"16832"</f>
        <v>16832</v>
      </c>
      <c r="B336">
        <v>37754</v>
      </c>
      <c r="C336">
        <v>4</v>
      </c>
      <c r="D336" t="str">
        <f>" "</f>
        <v xml:space="preserve"> </v>
      </c>
      <c r="E336"/>
      <c r="F336" s="19">
        <v>42447.349039351851</v>
      </c>
      <c r="G336" s="1">
        <v>42485</v>
      </c>
      <c r="H336">
        <v>1</v>
      </c>
      <c r="I336">
        <v>1</v>
      </c>
      <c r="J336"/>
      <c r="K336"/>
      <c r="L336"/>
      <c r="M336" s="1">
        <v>42503</v>
      </c>
      <c r="N336" t="s">
        <v>102</v>
      </c>
      <c r="O336"/>
      <c r="P336"/>
      <c r="Q336"/>
    </row>
    <row r="337" spans="1:17" x14ac:dyDescent="0.3">
      <c r="A337" t="str">
        <f>"16832"</f>
        <v>16832</v>
      </c>
      <c r="B337">
        <v>37867</v>
      </c>
      <c r="C337">
        <v>5</v>
      </c>
      <c r="D337" t="str">
        <f>" "</f>
        <v xml:space="preserve"> </v>
      </c>
      <c r="E337"/>
      <c r="F337" s="19">
        <v>42447.349039351851</v>
      </c>
      <c r="G337" s="1">
        <v>42485</v>
      </c>
      <c r="H337">
        <v>1</v>
      </c>
      <c r="I337">
        <v>1</v>
      </c>
      <c r="J337"/>
      <c r="K337"/>
      <c r="L337"/>
      <c r="M337" s="1">
        <v>42503</v>
      </c>
      <c r="N337" t="s">
        <v>102</v>
      </c>
      <c r="O337"/>
      <c r="P337"/>
      <c r="Q337"/>
    </row>
    <row r="338" spans="1:17" x14ac:dyDescent="0.3">
      <c r="A338" t="str">
        <f>"16832"</f>
        <v>16832</v>
      </c>
      <c r="B338">
        <v>37980</v>
      </c>
      <c r="C338">
        <v>6</v>
      </c>
      <c r="D338" t="str">
        <f>" "</f>
        <v xml:space="preserve"> </v>
      </c>
      <c r="E338"/>
      <c r="F338" s="19">
        <v>42447.349039351851</v>
      </c>
      <c r="G338" s="1">
        <v>42485</v>
      </c>
      <c r="H338">
        <v>1</v>
      </c>
      <c r="I338">
        <v>1</v>
      </c>
      <c r="J338"/>
      <c r="K338"/>
      <c r="L338"/>
      <c r="M338" s="1">
        <v>42503</v>
      </c>
      <c r="N338" t="s">
        <v>102</v>
      </c>
      <c r="O338"/>
      <c r="P338"/>
      <c r="Q338"/>
    </row>
    <row r="339" spans="1:17" x14ac:dyDescent="0.3">
      <c r="A339" t="str">
        <f>"16832"</f>
        <v>16832</v>
      </c>
      <c r="B339">
        <v>38093</v>
      </c>
      <c r="C339">
        <v>7</v>
      </c>
      <c r="D339" t="str">
        <f>" "</f>
        <v xml:space="preserve"> </v>
      </c>
      <c r="E339"/>
      <c r="F339" s="19">
        <v>42447.349039351851</v>
      </c>
      <c r="G339" s="1">
        <v>42485</v>
      </c>
      <c r="H339">
        <v>1</v>
      </c>
      <c r="I339">
        <v>1</v>
      </c>
      <c r="J339"/>
      <c r="K339"/>
      <c r="L339"/>
      <c r="M339" s="1">
        <v>42503</v>
      </c>
      <c r="N339" t="s">
        <v>102</v>
      </c>
      <c r="O339"/>
      <c r="P339"/>
      <c r="Q339"/>
    </row>
    <row r="340" spans="1:17" x14ac:dyDescent="0.3">
      <c r="A340" t="str">
        <f>"16813"</f>
        <v>16813</v>
      </c>
      <c r="B340">
        <v>38206</v>
      </c>
      <c r="C340">
        <v>1</v>
      </c>
      <c r="D340" t="str">
        <f>" "</f>
        <v xml:space="preserve"> </v>
      </c>
      <c r="E340"/>
      <c r="F340" s="19">
        <v>42436.635659722226</v>
      </c>
      <c r="G340" s="1">
        <v>42485</v>
      </c>
      <c r="H340">
        <v>1</v>
      </c>
      <c r="I340">
        <v>1</v>
      </c>
      <c r="J340"/>
      <c r="K340"/>
      <c r="L340"/>
      <c r="M340" s="1">
        <v>42475</v>
      </c>
      <c r="N340" t="s">
        <v>102</v>
      </c>
      <c r="O340"/>
      <c r="P340"/>
      <c r="Q340"/>
    </row>
    <row r="341" spans="1:17" x14ac:dyDescent="0.3">
      <c r="A341" t="str">
        <f>"16569"</f>
        <v>16569</v>
      </c>
      <c r="B341">
        <v>38319</v>
      </c>
      <c r="C341">
        <v>6</v>
      </c>
      <c r="D341" t="str">
        <f>" "</f>
        <v xml:space="preserve"> </v>
      </c>
      <c r="E341"/>
      <c r="F341" s="19">
        <v>42453.659432870372</v>
      </c>
      <c r="G341" s="1">
        <v>42485</v>
      </c>
      <c r="H341">
        <v>9</v>
      </c>
      <c r="I341">
        <v>9</v>
      </c>
      <c r="J341"/>
      <c r="K341"/>
      <c r="L341"/>
      <c r="M341" s="1">
        <v>42466</v>
      </c>
      <c r="N341" t="s">
        <v>102</v>
      </c>
      <c r="O341"/>
      <c r="P341"/>
      <c r="Q341"/>
    </row>
    <row r="342" spans="1:17" x14ac:dyDescent="0.3">
      <c r="A342" t="str">
        <f>"16918"</f>
        <v>16918</v>
      </c>
      <c r="B342">
        <v>38432</v>
      </c>
      <c r="C342">
        <v>1</v>
      </c>
      <c r="D342" t="str">
        <f>" "</f>
        <v xml:space="preserve"> </v>
      </c>
      <c r="E342"/>
      <c r="F342" s="19">
        <v>42479.364861111113</v>
      </c>
      <c r="G342" s="1">
        <v>42486</v>
      </c>
      <c r="H342">
        <v>1</v>
      </c>
      <c r="I342">
        <v>1</v>
      </c>
      <c r="J342"/>
      <c r="K342"/>
      <c r="L342"/>
      <c r="M342" s="1">
        <v>42486</v>
      </c>
      <c r="N342" t="s">
        <v>102</v>
      </c>
      <c r="O342"/>
      <c r="P342"/>
      <c r="Q342"/>
    </row>
    <row r="343" spans="1:17" x14ac:dyDescent="0.3">
      <c r="A343" t="str">
        <f>"16918"</f>
        <v>16918</v>
      </c>
      <c r="B343">
        <v>38545</v>
      </c>
      <c r="C343">
        <v>2</v>
      </c>
      <c r="D343" t="str">
        <f>" "</f>
        <v xml:space="preserve"> </v>
      </c>
      <c r="E343"/>
      <c r="F343" s="19">
        <v>42479.364861111113</v>
      </c>
      <c r="G343" s="1">
        <v>42486</v>
      </c>
      <c r="H343">
        <v>1</v>
      </c>
      <c r="I343">
        <v>1</v>
      </c>
      <c r="J343"/>
      <c r="K343"/>
      <c r="L343"/>
      <c r="M343" s="1">
        <v>42486</v>
      </c>
      <c r="N343" t="s">
        <v>102</v>
      </c>
      <c r="O343"/>
      <c r="P343"/>
      <c r="Q343"/>
    </row>
    <row r="344" spans="1:17" x14ac:dyDescent="0.3">
      <c r="A344" t="str">
        <f>"16918"</f>
        <v>16918</v>
      </c>
      <c r="B344">
        <v>38658</v>
      </c>
      <c r="C344">
        <v>3</v>
      </c>
      <c r="D344" t="str">
        <f>" "</f>
        <v xml:space="preserve"> </v>
      </c>
      <c r="E344"/>
      <c r="F344" s="19">
        <v>42479.364861111113</v>
      </c>
      <c r="G344" s="1">
        <v>42486</v>
      </c>
      <c r="H344">
        <v>1</v>
      </c>
      <c r="I344">
        <v>1</v>
      </c>
      <c r="J344"/>
      <c r="K344"/>
      <c r="L344"/>
      <c r="M344" s="1">
        <v>42486</v>
      </c>
      <c r="N344" t="s">
        <v>102</v>
      </c>
      <c r="O344"/>
      <c r="P344"/>
      <c r="Q344"/>
    </row>
    <row r="345" spans="1:17" x14ac:dyDescent="0.3">
      <c r="A345" t="str">
        <f>"16918"</f>
        <v>16918</v>
      </c>
      <c r="B345">
        <v>38771</v>
      </c>
      <c r="C345">
        <v>4</v>
      </c>
      <c r="D345" t="str">
        <f>" "</f>
        <v xml:space="preserve"> </v>
      </c>
      <c r="E345"/>
      <c r="F345" s="19">
        <v>42479.364861111113</v>
      </c>
      <c r="G345" s="1">
        <v>42486</v>
      </c>
      <c r="H345">
        <v>1</v>
      </c>
      <c r="I345">
        <v>1</v>
      </c>
      <c r="J345"/>
      <c r="K345"/>
      <c r="L345"/>
      <c r="M345" s="1">
        <v>42486</v>
      </c>
      <c r="N345" t="s">
        <v>102</v>
      </c>
      <c r="O345"/>
      <c r="P345"/>
      <c r="Q345"/>
    </row>
    <row r="346" spans="1:17" x14ac:dyDescent="0.3">
      <c r="A346" t="str">
        <f>"16791"</f>
        <v>16791</v>
      </c>
      <c r="B346">
        <v>38884</v>
      </c>
      <c r="C346">
        <v>1</v>
      </c>
      <c r="D346" t="str">
        <f>" "</f>
        <v xml:space="preserve"> </v>
      </c>
      <c r="E346"/>
      <c r="F346" s="19">
        <v>42424.635937500003</v>
      </c>
      <c r="G346" s="1">
        <v>42486</v>
      </c>
      <c r="H346">
        <v>2</v>
      </c>
      <c r="I346">
        <v>2</v>
      </c>
      <c r="J346"/>
      <c r="K346"/>
      <c r="L346"/>
      <c r="M346" s="1">
        <v>42478</v>
      </c>
      <c r="N346" t="s">
        <v>102</v>
      </c>
      <c r="O346"/>
      <c r="P346"/>
      <c r="Q346"/>
    </row>
    <row r="347" spans="1:17" x14ac:dyDescent="0.3">
      <c r="A347" t="str">
        <f>"16791"</f>
        <v>16791</v>
      </c>
      <c r="B347">
        <v>38997</v>
      </c>
      <c r="C347">
        <v>2</v>
      </c>
      <c r="D347" t="str">
        <f>" "</f>
        <v xml:space="preserve"> </v>
      </c>
      <c r="E347"/>
      <c r="F347" s="19">
        <v>42424.635937500003</v>
      </c>
      <c r="G347" s="1">
        <v>42486</v>
      </c>
      <c r="H347">
        <v>2</v>
      </c>
      <c r="I347">
        <v>2</v>
      </c>
      <c r="J347"/>
      <c r="K347"/>
      <c r="L347"/>
      <c r="M347" s="1">
        <v>42478</v>
      </c>
      <c r="N347" t="s">
        <v>102</v>
      </c>
      <c r="O347"/>
      <c r="P347"/>
      <c r="Q347"/>
    </row>
    <row r="348" spans="1:17" x14ac:dyDescent="0.3">
      <c r="A348" t="str">
        <f>"16791"</f>
        <v>16791</v>
      </c>
      <c r="B348">
        <v>39110</v>
      </c>
      <c r="C348">
        <v>3</v>
      </c>
      <c r="D348" t="str">
        <f>" "</f>
        <v xml:space="preserve"> </v>
      </c>
      <c r="E348"/>
      <c r="F348" s="19">
        <v>42424.635937500003</v>
      </c>
      <c r="G348" s="1">
        <v>42486</v>
      </c>
      <c r="H348">
        <v>2</v>
      </c>
      <c r="I348">
        <v>2</v>
      </c>
      <c r="J348"/>
      <c r="K348"/>
      <c r="L348"/>
      <c r="M348" s="1">
        <v>42478</v>
      </c>
      <c r="N348" t="s">
        <v>102</v>
      </c>
      <c r="O348"/>
      <c r="P348"/>
      <c r="Q348"/>
    </row>
    <row r="349" spans="1:17" x14ac:dyDescent="0.3">
      <c r="A349" t="str">
        <f>"16791"</f>
        <v>16791</v>
      </c>
      <c r="B349">
        <v>39223</v>
      </c>
      <c r="C349">
        <v>4</v>
      </c>
      <c r="D349" t="str">
        <f>" "</f>
        <v xml:space="preserve"> </v>
      </c>
      <c r="E349"/>
      <c r="F349" s="19">
        <v>42424.635937500003</v>
      </c>
      <c r="G349" s="1">
        <v>42486</v>
      </c>
      <c r="H349">
        <v>4</v>
      </c>
      <c r="I349">
        <v>4</v>
      </c>
      <c r="J349"/>
      <c r="K349"/>
      <c r="L349"/>
      <c r="M349" s="1">
        <v>42478</v>
      </c>
      <c r="N349" t="s">
        <v>102</v>
      </c>
      <c r="O349"/>
      <c r="P349"/>
      <c r="Q349"/>
    </row>
    <row r="350" spans="1:17" x14ac:dyDescent="0.3">
      <c r="A350" t="str">
        <f>"16791"</f>
        <v>16791</v>
      </c>
      <c r="B350">
        <v>39336</v>
      </c>
      <c r="C350">
        <v>5</v>
      </c>
      <c r="D350" t="str">
        <f>" "</f>
        <v xml:space="preserve"> </v>
      </c>
      <c r="E350"/>
      <c r="F350" s="19">
        <v>42424.635937500003</v>
      </c>
      <c r="G350" s="1">
        <v>42486</v>
      </c>
      <c r="H350">
        <v>4</v>
      </c>
      <c r="I350">
        <v>4</v>
      </c>
      <c r="J350"/>
      <c r="K350"/>
      <c r="L350"/>
      <c r="M350" s="1">
        <v>42478</v>
      </c>
      <c r="N350" t="s">
        <v>102</v>
      </c>
      <c r="O350"/>
      <c r="P350"/>
      <c r="Q350"/>
    </row>
    <row r="351" spans="1:17" x14ac:dyDescent="0.3">
      <c r="A351" t="str">
        <f>"16569"</f>
        <v>16569</v>
      </c>
      <c r="B351">
        <v>39449</v>
      </c>
      <c r="C351">
        <v>3</v>
      </c>
      <c r="D351" t="str">
        <f>" "</f>
        <v xml:space="preserve"> </v>
      </c>
      <c r="E351"/>
      <c r="F351" s="19">
        <v>42453.659432870372</v>
      </c>
      <c r="G351" s="1">
        <v>42486</v>
      </c>
      <c r="H351">
        <v>1</v>
      </c>
      <c r="I351">
        <v>1</v>
      </c>
      <c r="J351"/>
      <c r="K351"/>
      <c r="L351"/>
      <c r="M351" s="1">
        <v>42489</v>
      </c>
      <c r="N351" t="s">
        <v>102</v>
      </c>
      <c r="O351"/>
      <c r="P351"/>
      <c r="Q351"/>
    </row>
    <row r="352" spans="1:17" x14ac:dyDescent="0.3">
      <c r="A352" t="str">
        <f>"16569"</f>
        <v>16569</v>
      </c>
      <c r="B352">
        <v>39562</v>
      </c>
      <c r="C352">
        <v>4</v>
      </c>
      <c r="D352" t="str">
        <f>" "</f>
        <v xml:space="preserve"> </v>
      </c>
      <c r="E352"/>
      <c r="F352" s="19">
        <v>42453.659432870372</v>
      </c>
      <c r="G352" s="1">
        <v>42486</v>
      </c>
      <c r="H352">
        <v>1</v>
      </c>
      <c r="I352">
        <v>1</v>
      </c>
      <c r="J352"/>
      <c r="K352"/>
      <c r="L352"/>
      <c r="M352" s="1">
        <v>42489</v>
      </c>
      <c r="N352" t="s">
        <v>102</v>
      </c>
      <c r="O352"/>
      <c r="P352"/>
      <c r="Q352"/>
    </row>
    <row r="353" spans="1:17" x14ac:dyDescent="0.3">
      <c r="A353" t="str">
        <f>"14893"</f>
        <v>14893</v>
      </c>
      <c r="B353">
        <v>39675</v>
      </c>
      <c r="C353">
        <v>5</v>
      </c>
      <c r="D353" t="str">
        <f>" "</f>
        <v xml:space="preserve"> </v>
      </c>
      <c r="E353"/>
      <c r="F353" s="19">
        <v>41533.698252314818</v>
      </c>
      <c r="G353" s="1">
        <v>42486</v>
      </c>
      <c r="H353">
        <v>15</v>
      </c>
      <c r="I353">
        <v>15</v>
      </c>
      <c r="J353"/>
      <c r="K353"/>
      <c r="L353"/>
      <c r="M353" s="1">
        <v>41670</v>
      </c>
      <c r="N353" t="s">
        <v>102</v>
      </c>
      <c r="O353"/>
      <c r="P353"/>
      <c r="Q353"/>
    </row>
    <row r="354" spans="1:17" x14ac:dyDescent="0.3">
      <c r="A354" t="str">
        <f>"14893"</f>
        <v>14893</v>
      </c>
      <c r="B354">
        <v>39788</v>
      </c>
      <c r="C354">
        <v>11</v>
      </c>
      <c r="D354" t="str">
        <f>" "</f>
        <v xml:space="preserve"> </v>
      </c>
      <c r="E354"/>
      <c r="F354" s="19">
        <v>42282.419618055559</v>
      </c>
      <c r="G354" s="1">
        <v>42486</v>
      </c>
      <c r="H354">
        <v>1</v>
      </c>
      <c r="I354">
        <v>1</v>
      </c>
      <c r="J354"/>
      <c r="K354"/>
      <c r="L354"/>
      <c r="M354" s="1">
        <v>42348</v>
      </c>
      <c r="N354" t="s">
        <v>102</v>
      </c>
      <c r="O354"/>
      <c r="P354"/>
      <c r="Q354"/>
    </row>
    <row r="355" spans="1:17" x14ac:dyDescent="0.3">
      <c r="A355" t="str">
        <f>"16860"</f>
        <v>16860</v>
      </c>
      <c r="B355">
        <v>39901</v>
      </c>
      <c r="C355">
        <v>1</v>
      </c>
      <c r="D355" t="str">
        <f>" "</f>
        <v xml:space="preserve"> </v>
      </c>
      <c r="E355"/>
      <c r="F355" s="19">
        <v>42460.610972222225</v>
      </c>
      <c r="G355" s="1">
        <v>42487</v>
      </c>
      <c r="H355">
        <v>9</v>
      </c>
      <c r="I355">
        <v>9</v>
      </c>
      <c r="J355"/>
      <c r="K355"/>
      <c r="L355"/>
      <c r="M355" s="1">
        <v>42485</v>
      </c>
      <c r="N355" t="s">
        <v>102</v>
      </c>
      <c r="O355"/>
      <c r="P355"/>
      <c r="Q355"/>
    </row>
    <row r="356" spans="1:17" x14ac:dyDescent="0.3">
      <c r="A356" t="str">
        <f>"16839"</f>
        <v>16839</v>
      </c>
      <c r="B356">
        <v>40014</v>
      </c>
      <c r="C356">
        <v>1</v>
      </c>
      <c r="D356" t="str">
        <f>" "</f>
        <v xml:space="preserve"> </v>
      </c>
      <c r="E356"/>
      <c r="F356" s="19">
        <v>42451.346307870372</v>
      </c>
      <c r="G356" s="1">
        <v>42487</v>
      </c>
      <c r="H356">
        <v>2</v>
      </c>
      <c r="I356">
        <v>2</v>
      </c>
      <c r="J356"/>
      <c r="K356"/>
      <c r="L356"/>
      <c r="M356" s="1">
        <v>42482</v>
      </c>
      <c r="N356" t="s">
        <v>102</v>
      </c>
      <c r="O356"/>
      <c r="P356"/>
      <c r="Q356"/>
    </row>
    <row r="357" spans="1:17" x14ac:dyDescent="0.3">
      <c r="A357" t="str">
        <f>"16838"</f>
        <v>16838</v>
      </c>
      <c r="B357">
        <v>40127</v>
      </c>
      <c r="C357">
        <v>1</v>
      </c>
      <c r="D357" t="str">
        <f>" "</f>
        <v xml:space="preserve"> </v>
      </c>
      <c r="E357"/>
      <c r="F357" s="19">
        <v>42450.662037037036</v>
      </c>
      <c r="G357" s="1">
        <v>42487</v>
      </c>
      <c r="H357">
        <v>1</v>
      </c>
      <c r="I357">
        <v>1</v>
      </c>
      <c r="J357"/>
      <c r="K357"/>
      <c r="L357"/>
      <c r="M357" s="1">
        <v>42482</v>
      </c>
      <c r="N357" t="s">
        <v>102</v>
      </c>
      <c r="O357"/>
      <c r="P357"/>
      <c r="Q357"/>
    </row>
    <row r="358" spans="1:17" x14ac:dyDescent="0.3">
      <c r="A358" t="str">
        <f>"16835"</f>
        <v>16835</v>
      </c>
      <c r="B358">
        <v>40240</v>
      </c>
      <c r="C358">
        <v>1</v>
      </c>
      <c r="D358" t="str">
        <f>" "</f>
        <v xml:space="preserve"> </v>
      </c>
      <c r="E358"/>
      <c r="F358" s="19">
        <v>42450.461770833332</v>
      </c>
      <c r="G358" s="1">
        <v>42487</v>
      </c>
      <c r="H358">
        <v>4</v>
      </c>
      <c r="I358">
        <v>4</v>
      </c>
      <c r="J358"/>
      <c r="K358"/>
      <c r="L358"/>
      <c r="M358" s="1">
        <v>42478</v>
      </c>
      <c r="N358" t="s">
        <v>102</v>
      </c>
      <c r="O358"/>
      <c r="P358"/>
      <c r="Q358"/>
    </row>
    <row r="359" spans="1:17" x14ac:dyDescent="0.3">
      <c r="A359" t="str">
        <f>"16829"</f>
        <v>16829</v>
      </c>
      <c r="B359">
        <v>40353</v>
      </c>
      <c r="C359">
        <v>1</v>
      </c>
      <c r="D359" t="str">
        <f>" "</f>
        <v xml:space="preserve"> </v>
      </c>
      <c r="E359"/>
      <c r="F359" s="19">
        <v>42446.345196759263</v>
      </c>
      <c r="G359" s="1">
        <v>42487</v>
      </c>
      <c r="H359">
        <v>3</v>
      </c>
      <c r="I359">
        <v>3</v>
      </c>
      <c r="J359"/>
      <c r="K359"/>
      <c r="L359"/>
      <c r="M359" s="1">
        <v>42482</v>
      </c>
      <c r="N359" t="s">
        <v>102</v>
      </c>
      <c r="O359"/>
      <c r="P359"/>
      <c r="Q359"/>
    </row>
    <row r="360" spans="1:17" x14ac:dyDescent="0.3">
      <c r="A360" t="str">
        <f>"16825"</f>
        <v>16825</v>
      </c>
      <c r="B360">
        <v>40466</v>
      </c>
      <c r="C360">
        <v>1</v>
      </c>
      <c r="D360" t="str">
        <f>" "</f>
        <v xml:space="preserve"> </v>
      </c>
      <c r="E360"/>
      <c r="F360" s="19">
        <v>42445.369895833333</v>
      </c>
      <c r="G360" s="1">
        <v>42487</v>
      </c>
      <c r="H360">
        <v>10</v>
      </c>
      <c r="I360">
        <v>10</v>
      </c>
      <c r="J360"/>
      <c r="K360"/>
      <c r="L360"/>
      <c r="M360" s="1">
        <v>42482</v>
      </c>
      <c r="N360" t="s">
        <v>102</v>
      </c>
      <c r="O360"/>
      <c r="P360"/>
      <c r="Q360"/>
    </row>
    <row r="361" spans="1:17" x14ac:dyDescent="0.3">
      <c r="A361" t="str">
        <f>"16811"</f>
        <v>16811</v>
      </c>
      <c r="B361">
        <v>40579</v>
      </c>
      <c r="C361">
        <v>1</v>
      </c>
      <c r="D361" t="str">
        <f>" "</f>
        <v xml:space="preserve"> </v>
      </c>
      <c r="E361"/>
      <c r="F361" s="19">
        <v>42436.601099537038</v>
      </c>
      <c r="G361" s="1">
        <v>42487</v>
      </c>
      <c r="H361">
        <v>2</v>
      </c>
      <c r="I361">
        <v>2</v>
      </c>
      <c r="J361"/>
      <c r="K361"/>
      <c r="L361"/>
      <c r="M361" s="1">
        <v>42482</v>
      </c>
      <c r="N361" t="s">
        <v>102</v>
      </c>
      <c r="O361"/>
      <c r="P361"/>
      <c r="Q361"/>
    </row>
    <row r="362" spans="1:17" x14ac:dyDescent="0.3">
      <c r="A362" t="str">
        <f>"16912"</f>
        <v>16912</v>
      </c>
      <c r="B362">
        <v>40692</v>
      </c>
      <c r="C362">
        <v>1</v>
      </c>
      <c r="D362" t="str">
        <f>" "</f>
        <v xml:space="preserve"> </v>
      </c>
      <c r="E362"/>
      <c r="F362" s="19">
        <v>42473.660173611112</v>
      </c>
      <c r="G362" s="1">
        <v>42488</v>
      </c>
      <c r="H362">
        <v>2</v>
      </c>
      <c r="I362">
        <v>2</v>
      </c>
      <c r="J362"/>
      <c r="K362"/>
      <c r="L362"/>
      <c r="M362"/>
      <c r="N362" t="s">
        <v>102</v>
      </c>
      <c r="O362"/>
      <c r="P362"/>
      <c r="Q362"/>
    </row>
    <row r="363" spans="1:17" x14ac:dyDescent="0.3">
      <c r="A363" t="str">
        <f>"16910"</f>
        <v>16910</v>
      </c>
      <c r="B363">
        <v>40805</v>
      </c>
      <c r="C363">
        <v>1</v>
      </c>
      <c r="D363" t="str">
        <f>" "</f>
        <v xml:space="preserve"> </v>
      </c>
      <c r="E363"/>
      <c r="F363" s="19">
        <v>42473.626840277779</v>
      </c>
      <c r="G363" s="1">
        <v>42488</v>
      </c>
      <c r="H363">
        <v>2</v>
      </c>
      <c r="I363">
        <v>2</v>
      </c>
      <c r="J363"/>
      <c r="K363"/>
      <c r="L363"/>
      <c r="M363"/>
      <c r="N363" t="s">
        <v>102</v>
      </c>
      <c r="O363"/>
      <c r="P363"/>
      <c r="Q363"/>
    </row>
    <row r="364" spans="1:17" x14ac:dyDescent="0.3">
      <c r="A364" t="str">
        <f>"16908"</f>
        <v>16908</v>
      </c>
      <c r="B364">
        <v>40918</v>
      </c>
      <c r="C364">
        <v>1</v>
      </c>
      <c r="D364" t="str">
        <f>" "</f>
        <v xml:space="preserve"> </v>
      </c>
      <c r="E364"/>
      <c r="F364" s="19">
        <v>42473.587395833332</v>
      </c>
      <c r="G364" s="1">
        <v>42488</v>
      </c>
      <c r="H364">
        <v>2</v>
      </c>
      <c r="I364">
        <v>2</v>
      </c>
      <c r="J364"/>
      <c r="K364"/>
      <c r="L364"/>
      <c r="M364" s="1">
        <v>42489</v>
      </c>
      <c r="N364" t="s">
        <v>102</v>
      </c>
      <c r="O364"/>
      <c r="P364"/>
      <c r="Q364"/>
    </row>
    <row r="365" spans="1:17" x14ac:dyDescent="0.3">
      <c r="A365" t="str">
        <f>"16901"</f>
        <v>16901</v>
      </c>
      <c r="B365">
        <v>41031</v>
      </c>
      <c r="C365">
        <v>1</v>
      </c>
      <c r="D365" t="str">
        <f>" "</f>
        <v xml:space="preserve"> </v>
      </c>
      <c r="E365"/>
      <c r="F365" s="19">
        <v>42473.391157407408</v>
      </c>
      <c r="G365" s="1">
        <v>42488</v>
      </c>
      <c r="H365">
        <v>1</v>
      </c>
      <c r="I365">
        <v>1</v>
      </c>
      <c r="J365"/>
      <c r="K365"/>
      <c r="L365"/>
      <c r="M365" s="1">
        <v>42489</v>
      </c>
      <c r="N365" t="s">
        <v>102</v>
      </c>
      <c r="O365"/>
      <c r="P365"/>
      <c r="Q365"/>
    </row>
    <row r="366" spans="1:17" x14ac:dyDescent="0.3">
      <c r="A366" t="str">
        <f>"16894"</f>
        <v>16894</v>
      </c>
      <c r="B366">
        <v>41144</v>
      </c>
      <c r="C366">
        <v>1</v>
      </c>
      <c r="D366" t="str">
        <f>" "</f>
        <v xml:space="preserve"> </v>
      </c>
      <c r="E366"/>
      <c r="F366" s="19">
        <v>42472.469537037039</v>
      </c>
      <c r="G366" s="1">
        <v>42488</v>
      </c>
      <c r="H366">
        <v>1</v>
      </c>
      <c r="I366">
        <v>1</v>
      </c>
      <c r="J366"/>
      <c r="K366"/>
      <c r="L366"/>
      <c r="M366" s="1">
        <v>42486</v>
      </c>
      <c r="N366" t="s">
        <v>102</v>
      </c>
      <c r="O366"/>
      <c r="P366"/>
      <c r="Q366"/>
    </row>
    <row r="367" spans="1:17" x14ac:dyDescent="0.3">
      <c r="A367" t="str">
        <f>"16873"</f>
        <v>16873</v>
      </c>
      <c r="B367">
        <v>41257</v>
      </c>
      <c r="C367">
        <v>1</v>
      </c>
      <c r="D367" t="str">
        <f>" "</f>
        <v xml:space="preserve"> </v>
      </c>
      <c r="E367"/>
      <c r="F367" s="19">
        <v>42467.340104166666</v>
      </c>
      <c r="G367" s="1">
        <v>42488</v>
      </c>
      <c r="H367">
        <v>2</v>
      </c>
      <c r="I367">
        <v>2</v>
      </c>
      <c r="J367"/>
      <c r="K367"/>
      <c r="L367"/>
      <c r="M367" s="1">
        <v>42507</v>
      </c>
      <c r="N367" t="s">
        <v>102</v>
      </c>
      <c r="O367"/>
      <c r="P367"/>
      <c r="Q367"/>
    </row>
    <row r="368" spans="1:17" x14ac:dyDescent="0.3">
      <c r="A368" t="str">
        <f>"16873"</f>
        <v>16873</v>
      </c>
      <c r="B368">
        <v>41370</v>
      </c>
      <c r="C368">
        <v>2</v>
      </c>
      <c r="D368" t="str">
        <f>" "</f>
        <v xml:space="preserve"> </v>
      </c>
      <c r="E368"/>
      <c r="F368" s="19">
        <v>42467.340104166666</v>
      </c>
      <c r="G368" s="1">
        <v>42488</v>
      </c>
      <c r="H368">
        <v>1</v>
      </c>
      <c r="I368">
        <v>1</v>
      </c>
      <c r="J368"/>
      <c r="K368"/>
      <c r="L368"/>
      <c r="M368" s="1">
        <v>42507</v>
      </c>
      <c r="N368" t="s">
        <v>102</v>
      </c>
      <c r="O368"/>
      <c r="P368"/>
      <c r="Q368"/>
    </row>
    <row r="369" spans="1:17" x14ac:dyDescent="0.3">
      <c r="A369" t="str">
        <f>"16847"</f>
        <v>16847</v>
      </c>
      <c r="B369">
        <v>41483</v>
      </c>
      <c r="C369">
        <v>1</v>
      </c>
      <c r="D369" t="str">
        <f>" "</f>
        <v xml:space="preserve"> </v>
      </c>
      <c r="E369"/>
      <c r="F369" s="19">
        <v>42453.350347222222</v>
      </c>
      <c r="G369" s="1">
        <v>42488</v>
      </c>
      <c r="H369">
        <v>2</v>
      </c>
      <c r="I369">
        <v>2</v>
      </c>
      <c r="J369"/>
      <c r="K369"/>
      <c r="L369"/>
      <c r="M369" s="1">
        <v>42489</v>
      </c>
      <c r="N369" t="s">
        <v>102</v>
      </c>
      <c r="O369"/>
      <c r="P369"/>
      <c r="Q369"/>
    </row>
    <row r="370" spans="1:17" x14ac:dyDescent="0.3">
      <c r="A370" t="str">
        <f>"16847"</f>
        <v>16847</v>
      </c>
      <c r="B370">
        <v>41596</v>
      </c>
      <c r="C370">
        <v>2</v>
      </c>
      <c r="D370" t="str">
        <f>" "</f>
        <v xml:space="preserve"> </v>
      </c>
      <c r="E370"/>
      <c r="F370" s="19">
        <v>42453.350347222222</v>
      </c>
      <c r="G370" s="1">
        <v>42488</v>
      </c>
      <c r="H370">
        <v>2</v>
      </c>
      <c r="I370">
        <v>2</v>
      </c>
      <c r="J370"/>
      <c r="K370"/>
      <c r="L370"/>
      <c r="M370" s="1">
        <v>42489</v>
      </c>
      <c r="N370" t="s">
        <v>102</v>
      </c>
      <c r="O370"/>
      <c r="P370"/>
      <c r="Q370"/>
    </row>
    <row r="371" spans="1:17" x14ac:dyDescent="0.3">
      <c r="A371" t="str">
        <f>"16847"</f>
        <v>16847</v>
      </c>
      <c r="B371">
        <v>41709</v>
      </c>
      <c r="C371">
        <v>3</v>
      </c>
      <c r="D371" t="str">
        <f>" "</f>
        <v xml:space="preserve"> </v>
      </c>
      <c r="E371"/>
      <c r="F371" s="19">
        <v>42453.350347222222</v>
      </c>
      <c r="G371" s="1">
        <v>42488</v>
      </c>
      <c r="H371">
        <v>6</v>
      </c>
      <c r="I371">
        <v>6</v>
      </c>
      <c r="J371"/>
      <c r="K371"/>
      <c r="L371"/>
      <c r="M371" s="1">
        <v>42489</v>
      </c>
      <c r="N371" t="s">
        <v>102</v>
      </c>
      <c r="O371"/>
      <c r="P371"/>
      <c r="Q371"/>
    </row>
    <row r="372" spans="1:17" x14ac:dyDescent="0.3">
      <c r="A372" t="str">
        <f>"16834"</f>
        <v>16834</v>
      </c>
      <c r="B372">
        <v>41822</v>
      </c>
      <c r="C372">
        <v>1</v>
      </c>
      <c r="D372" t="str">
        <f>" "</f>
        <v xml:space="preserve"> </v>
      </c>
      <c r="E372"/>
      <c r="F372" s="19">
        <v>42450.434513888889</v>
      </c>
      <c r="G372" s="1">
        <v>42488</v>
      </c>
      <c r="H372">
        <v>2</v>
      </c>
      <c r="I372">
        <v>2</v>
      </c>
      <c r="J372"/>
      <c r="K372"/>
      <c r="L372"/>
      <c r="M372" s="1">
        <v>42478</v>
      </c>
      <c r="N372" t="s">
        <v>102</v>
      </c>
      <c r="O372"/>
      <c r="P372"/>
      <c r="Q372"/>
    </row>
    <row r="373" spans="1:17" x14ac:dyDescent="0.3">
      <c r="A373" t="str">
        <f>"16665"</f>
        <v>16665</v>
      </c>
      <c r="B373">
        <v>41935</v>
      </c>
      <c r="C373">
        <v>1</v>
      </c>
      <c r="D373" t="str">
        <f>" "</f>
        <v xml:space="preserve"> </v>
      </c>
      <c r="E373"/>
      <c r="F373" s="19">
        <v>42373.340601851851</v>
      </c>
      <c r="G373" s="1">
        <v>42488</v>
      </c>
      <c r="H373">
        <v>6</v>
      </c>
      <c r="I373">
        <v>6</v>
      </c>
      <c r="J373"/>
      <c r="K373"/>
      <c r="L373"/>
      <c r="M373" s="1">
        <v>42419</v>
      </c>
      <c r="N373" t="s">
        <v>102</v>
      </c>
      <c r="O373"/>
      <c r="P373"/>
      <c r="Q373"/>
    </row>
    <row r="374" spans="1:17" x14ac:dyDescent="0.3">
      <c r="A374" t="str">
        <f>"16966"</f>
        <v>16966</v>
      </c>
      <c r="B374">
        <v>42048</v>
      </c>
      <c r="C374">
        <v>2</v>
      </c>
      <c r="D374" t="str">
        <f>" "</f>
        <v xml:space="preserve"> </v>
      </c>
      <c r="E374"/>
      <c r="F374" s="19">
        <v>42500.406898148147</v>
      </c>
      <c r="G374" s="1">
        <v>42489</v>
      </c>
      <c r="H374">
        <v>1</v>
      </c>
      <c r="I374">
        <v>1</v>
      </c>
      <c r="J374"/>
      <c r="K374"/>
      <c r="L374"/>
      <c r="M374" s="1">
        <v>42650</v>
      </c>
      <c r="N374" t="s">
        <v>102</v>
      </c>
      <c r="O374"/>
      <c r="P374"/>
      <c r="Q374"/>
    </row>
    <row r="375" spans="1:17" x14ac:dyDescent="0.3">
      <c r="A375" t="str">
        <f>"16939"</f>
        <v>16939</v>
      </c>
      <c r="B375">
        <v>42161</v>
      </c>
      <c r="C375">
        <v>1</v>
      </c>
      <c r="D375" t="str">
        <f>" "</f>
        <v xml:space="preserve"> </v>
      </c>
      <c r="E375"/>
      <c r="F375" s="19">
        <v>42488.335509259261</v>
      </c>
      <c r="G375" s="1">
        <v>42489</v>
      </c>
      <c r="H375">
        <v>1</v>
      </c>
      <c r="I375">
        <v>1</v>
      </c>
      <c r="J375"/>
      <c r="K375"/>
      <c r="L375"/>
      <c r="M375" s="1">
        <v>42488</v>
      </c>
      <c r="N375" t="s">
        <v>102</v>
      </c>
      <c r="O375"/>
      <c r="P375"/>
      <c r="Q375"/>
    </row>
    <row r="376" spans="1:17" x14ac:dyDescent="0.3">
      <c r="A376" t="str">
        <f>"16939"</f>
        <v>16939</v>
      </c>
      <c r="B376">
        <v>42274</v>
      </c>
      <c r="C376">
        <v>2</v>
      </c>
      <c r="D376" t="str">
        <f>" "</f>
        <v xml:space="preserve"> </v>
      </c>
      <c r="E376"/>
      <c r="F376" s="19">
        <v>42488.335509259261</v>
      </c>
      <c r="G376" s="1">
        <v>42489</v>
      </c>
      <c r="H376">
        <v>1</v>
      </c>
      <c r="I376">
        <v>1</v>
      </c>
      <c r="J376"/>
      <c r="K376"/>
      <c r="L376"/>
      <c r="M376" s="1">
        <v>42489</v>
      </c>
      <c r="N376" t="s">
        <v>102</v>
      </c>
      <c r="O376"/>
      <c r="P376"/>
      <c r="Q376"/>
    </row>
    <row r="377" spans="1:17" x14ac:dyDescent="0.3">
      <c r="A377" t="str">
        <f>"16938"</f>
        <v>16938</v>
      </c>
      <c r="B377">
        <v>42387</v>
      </c>
      <c r="C377">
        <v>1</v>
      </c>
      <c r="D377" t="str">
        <f>" "</f>
        <v xml:space="preserve"> </v>
      </c>
      <c r="E377"/>
      <c r="F377" s="19">
        <v>42488.314606481479</v>
      </c>
      <c r="G377" s="1">
        <v>42489</v>
      </c>
      <c r="H377">
        <v>1</v>
      </c>
      <c r="I377">
        <v>1</v>
      </c>
      <c r="J377"/>
      <c r="K377"/>
      <c r="L377"/>
      <c r="M377" s="1">
        <v>42488</v>
      </c>
      <c r="N377" t="s">
        <v>102</v>
      </c>
      <c r="O377"/>
      <c r="P377"/>
      <c r="Q377"/>
    </row>
    <row r="378" spans="1:17" x14ac:dyDescent="0.3">
      <c r="A378" t="str">
        <f>"16901"</f>
        <v>16901</v>
      </c>
      <c r="B378">
        <v>42500</v>
      </c>
      <c r="C378">
        <v>2</v>
      </c>
      <c r="D378" t="str">
        <f>" "</f>
        <v xml:space="preserve"> </v>
      </c>
      <c r="E378"/>
      <c r="F378" s="19">
        <v>42473.391157407408</v>
      </c>
      <c r="G378" s="1">
        <v>42489</v>
      </c>
      <c r="H378">
        <v>1</v>
      </c>
      <c r="I378">
        <v>1</v>
      </c>
      <c r="J378"/>
      <c r="K378"/>
      <c r="L378"/>
      <c r="M378" s="1">
        <v>42489</v>
      </c>
      <c r="N378" t="s">
        <v>102</v>
      </c>
      <c r="O378"/>
      <c r="P378"/>
      <c r="Q378"/>
    </row>
    <row r="379" spans="1:17" x14ac:dyDescent="0.3">
      <c r="A379" t="str">
        <f>"16875"</f>
        <v>16875</v>
      </c>
      <c r="B379">
        <v>42613</v>
      </c>
      <c r="C379">
        <v>1</v>
      </c>
      <c r="D379" t="str">
        <f>" "</f>
        <v xml:space="preserve"> </v>
      </c>
      <c r="E379"/>
      <c r="F379" s="19">
        <v>42467.527581018519</v>
      </c>
      <c r="G379" s="1">
        <v>42489</v>
      </c>
      <c r="H379">
        <v>1</v>
      </c>
      <c r="I379">
        <v>1</v>
      </c>
      <c r="J379"/>
      <c r="K379"/>
      <c r="L379"/>
      <c r="M379" s="1">
        <v>42489</v>
      </c>
      <c r="N379" t="s">
        <v>102</v>
      </c>
      <c r="O379"/>
      <c r="P379"/>
      <c r="Q379"/>
    </row>
    <row r="380" spans="1:17" x14ac:dyDescent="0.3">
      <c r="A380" t="str">
        <f>"16874"</f>
        <v>16874</v>
      </c>
      <c r="B380">
        <v>42726</v>
      </c>
      <c r="C380">
        <v>1</v>
      </c>
      <c r="D380" t="str">
        <f>" "</f>
        <v xml:space="preserve"> </v>
      </c>
      <c r="E380"/>
      <c r="F380" s="19">
        <v>42468.339212962965</v>
      </c>
      <c r="G380" s="1">
        <v>42489</v>
      </c>
      <c r="H380">
        <v>1</v>
      </c>
      <c r="I380">
        <v>1</v>
      </c>
      <c r="J380"/>
      <c r="K380"/>
      <c r="L380"/>
      <c r="M380" s="1">
        <v>42480</v>
      </c>
      <c r="N380" t="s">
        <v>102</v>
      </c>
      <c r="O380"/>
      <c r="P380"/>
      <c r="Q380"/>
    </row>
    <row r="381" spans="1:17" x14ac:dyDescent="0.3">
      <c r="A381" t="str">
        <f>"16874"</f>
        <v>16874</v>
      </c>
      <c r="B381">
        <v>42839</v>
      </c>
      <c r="C381">
        <v>2</v>
      </c>
      <c r="D381" t="str">
        <f>" "</f>
        <v xml:space="preserve"> </v>
      </c>
      <c r="E381"/>
      <c r="F381" s="19">
        <v>42468.339212962965</v>
      </c>
      <c r="G381" s="1">
        <v>42489</v>
      </c>
      <c r="H381">
        <v>1</v>
      </c>
      <c r="I381">
        <v>1</v>
      </c>
      <c r="J381"/>
      <c r="K381"/>
      <c r="L381"/>
      <c r="M381" s="1">
        <v>42480</v>
      </c>
      <c r="N381" t="s">
        <v>102</v>
      </c>
      <c r="O381"/>
      <c r="P381"/>
      <c r="Q381"/>
    </row>
    <row r="382" spans="1:17" x14ac:dyDescent="0.3">
      <c r="A382" t="str">
        <f>"16827"</f>
        <v>16827</v>
      </c>
      <c r="B382">
        <v>42952</v>
      </c>
      <c r="C382">
        <v>1</v>
      </c>
      <c r="D382" t="str">
        <f>" "</f>
        <v xml:space="preserve"> </v>
      </c>
      <c r="E382"/>
      <c r="F382" s="19">
        <v>42445.460706018515</v>
      </c>
      <c r="G382" s="1">
        <v>42489</v>
      </c>
      <c r="H382">
        <v>5</v>
      </c>
      <c r="I382">
        <v>5</v>
      </c>
      <c r="J382"/>
      <c r="K382"/>
      <c r="L382"/>
      <c r="M382" s="1">
        <v>42482</v>
      </c>
      <c r="N382" t="s">
        <v>102</v>
      </c>
      <c r="O382"/>
      <c r="P382"/>
      <c r="Q382"/>
    </row>
    <row r="383" spans="1:17" x14ac:dyDescent="0.3">
      <c r="A383" t="str">
        <f>"16809"</f>
        <v>16809</v>
      </c>
      <c r="B383">
        <v>43065</v>
      </c>
      <c r="C383">
        <v>1</v>
      </c>
      <c r="D383" t="str">
        <f>" "</f>
        <v xml:space="preserve"> </v>
      </c>
      <c r="E383"/>
      <c r="F383" s="19">
        <v>42436.559710648151</v>
      </c>
      <c r="G383" s="1">
        <v>42489</v>
      </c>
      <c r="H383">
        <v>10</v>
      </c>
      <c r="I383">
        <v>10</v>
      </c>
      <c r="J383"/>
      <c r="K383"/>
      <c r="L383"/>
      <c r="M383" s="1">
        <v>42482</v>
      </c>
      <c r="N383" t="s">
        <v>102</v>
      </c>
      <c r="O383"/>
      <c r="P383"/>
      <c r="Q383"/>
    </row>
    <row r="384" spans="1:17" x14ac:dyDescent="0.3">
      <c r="A384" t="str">
        <f>"16801"</f>
        <v>16801</v>
      </c>
      <c r="B384">
        <v>43178</v>
      </c>
      <c r="C384">
        <v>1</v>
      </c>
      <c r="D384" t="str">
        <f>" "</f>
        <v xml:space="preserve"> </v>
      </c>
      <c r="E384"/>
      <c r="F384" s="19">
        <v>42432.345335648148</v>
      </c>
      <c r="G384" s="1">
        <v>42489</v>
      </c>
      <c r="H384">
        <v>3</v>
      </c>
      <c r="I384">
        <v>3</v>
      </c>
      <c r="J384"/>
      <c r="K384"/>
      <c r="L384"/>
      <c r="M384" s="1">
        <v>42478</v>
      </c>
      <c r="N384" t="s">
        <v>102</v>
      </c>
      <c r="O384"/>
      <c r="P384"/>
      <c r="Q384"/>
    </row>
    <row r="385" spans="1:17" x14ac:dyDescent="0.3">
      <c r="A385" t="str">
        <f>"16801"</f>
        <v>16801</v>
      </c>
      <c r="B385">
        <v>43291</v>
      </c>
      <c r="C385">
        <v>2</v>
      </c>
      <c r="D385" t="str">
        <f>" "</f>
        <v xml:space="preserve"> </v>
      </c>
      <c r="E385"/>
      <c r="F385" s="19">
        <v>42432.345335648148</v>
      </c>
      <c r="G385" s="1">
        <v>42489</v>
      </c>
      <c r="H385">
        <v>3</v>
      </c>
      <c r="I385">
        <v>3</v>
      </c>
      <c r="J385"/>
      <c r="K385"/>
      <c r="L385"/>
      <c r="M385" s="1">
        <v>42478</v>
      </c>
      <c r="N385" t="s">
        <v>102</v>
      </c>
      <c r="O385"/>
      <c r="P385"/>
      <c r="Q385"/>
    </row>
    <row r="386" spans="1:17" x14ac:dyDescent="0.3">
      <c r="A386" t="str">
        <f>"16801"</f>
        <v>16801</v>
      </c>
      <c r="B386">
        <v>43404</v>
      </c>
      <c r="C386">
        <v>3</v>
      </c>
      <c r="D386" t="str">
        <f>" "</f>
        <v xml:space="preserve"> </v>
      </c>
      <c r="E386"/>
      <c r="F386" s="19">
        <v>42432.345335648148</v>
      </c>
      <c r="G386" s="1">
        <v>42489</v>
      </c>
      <c r="H386">
        <v>3</v>
      </c>
      <c r="I386">
        <v>3</v>
      </c>
      <c r="J386"/>
      <c r="K386"/>
      <c r="L386"/>
      <c r="M386" s="1">
        <v>42478</v>
      </c>
      <c r="N386" t="s">
        <v>102</v>
      </c>
      <c r="O386"/>
      <c r="P386"/>
      <c r="Q386"/>
    </row>
    <row r="387" spans="1:17" x14ac:dyDescent="0.3">
      <c r="A387" t="str">
        <f>"16801"</f>
        <v>16801</v>
      </c>
      <c r="B387">
        <v>43517</v>
      </c>
      <c r="C387">
        <v>4</v>
      </c>
      <c r="D387" t="str">
        <f>" "</f>
        <v xml:space="preserve"> </v>
      </c>
      <c r="E387"/>
      <c r="F387" s="19">
        <v>42432.345335648148</v>
      </c>
      <c r="G387" s="1">
        <v>42489</v>
      </c>
      <c r="H387">
        <v>3</v>
      </c>
      <c r="I387">
        <v>3</v>
      </c>
      <c r="J387"/>
      <c r="K387"/>
      <c r="L387"/>
      <c r="M387" s="1">
        <v>42478</v>
      </c>
      <c r="N387" t="s">
        <v>102</v>
      </c>
      <c r="O387"/>
      <c r="P387"/>
      <c r="Q387"/>
    </row>
    <row r="388" spans="1:17" x14ac:dyDescent="0.3">
      <c r="A388" t="str">
        <f>"16801"</f>
        <v>16801</v>
      </c>
      <c r="B388">
        <v>43630</v>
      </c>
      <c r="C388">
        <v>5</v>
      </c>
      <c r="D388" t="str">
        <f>" "</f>
        <v xml:space="preserve"> </v>
      </c>
      <c r="E388"/>
      <c r="F388" s="19">
        <v>42432.345335648148</v>
      </c>
      <c r="G388" s="1">
        <v>42489</v>
      </c>
      <c r="H388">
        <v>6</v>
      </c>
      <c r="I388">
        <v>6</v>
      </c>
      <c r="J388"/>
      <c r="K388"/>
      <c r="L388"/>
      <c r="M388" s="1">
        <v>42478</v>
      </c>
      <c r="N388" t="s">
        <v>102</v>
      </c>
      <c r="O388"/>
      <c r="P388"/>
      <c r="Q388"/>
    </row>
    <row r="389" spans="1:17" x14ac:dyDescent="0.3">
      <c r="A389" t="str">
        <f>"16801"</f>
        <v>16801</v>
      </c>
      <c r="B389">
        <v>43743</v>
      </c>
      <c r="C389">
        <v>6</v>
      </c>
      <c r="D389" t="str">
        <f>" "</f>
        <v xml:space="preserve"> </v>
      </c>
      <c r="E389"/>
      <c r="F389" s="19">
        <v>42432.345335648148</v>
      </c>
      <c r="G389" s="1">
        <v>42489</v>
      </c>
      <c r="H389">
        <v>1</v>
      </c>
      <c r="I389">
        <v>1</v>
      </c>
      <c r="J389"/>
      <c r="K389"/>
      <c r="L389"/>
      <c r="M389" s="1">
        <v>42478</v>
      </c>
      <c r="N389" t="s">
        <v>102</v>
      </c>
      <c r="O389"/>
      <c r="P389"/>
      <c r="Q389"/>
    </row>
    <row r="390" spans="1:17" x14ac:dyDescent="0.3">
      <c r="A390" t="str">
        <f>"16723"</f>
        <v>16723</v>
      </c>
      <c r="B390">
        <v>43856</v>
      </c>
      <c r="C390">
        <v>1</v>
      </c>
      <c r="D390" t="str">
        <f>" "</f>
        <v xml:space="preserve"> </v>
      </c>
      <c r="E390"/>
      <c r="F390" s="19">
        <v>42396.641585648147</v>
      </c>
      <c r="G390" s="1">
        <v>42489</v>
      </c>
      <c r="H390">
        <v>1</v>
      </c>
      <c r="I390">
        <v>1</v>
      </c>
      <c r="J390"/>
      <c r="K390"/>
      <c r="L390"/>
      <c r="M390" s="1">
        <v>42507</v>
      </c>
      <c r="N390" t="s">
        <v>102</v>
      </c>
      <c r="O390"/>
      <c r="P390"/>
      <c r="Q390"/>
    </row>
    <row r="391" spans="1:17" x14ac:dyDescent="0.3">
      <c r="A391" t="str">
        <f>"16368"</f>
        <v>16368</v>
      </c>
      <c r="B391">
        <v>43969</v>
      </c>
      <c r="C391">
        <v>3</v>
      </c>
      <c r="D391" t="str">
        <f>" "</f>
        <v xml:space="preserve"> </v>
      </c>
      <c r="E391"/>
      <c r="F391" s="19">
        <v>42206.553055555552</v>
      </c>
      <c r="G391" s="1">
        <v>42489</v>
      </c>
      <c r="H391">
        <v>5</v>
      </c>
      <c r="I391">
        <v>5</v>
      </c>
      <c r="J391"/>
      <c r="K391"/>
      <c r="L391"/>
      <c r="M391" s="1">
        <v>42430</v>
      </c>
      <c r="N391" t="s">
        <v>102</v>
      </c>
      <c r="O391"/>
      <c r="P391"/>
      <c r="Q391"/>
    </row>
    <row r="392" spans="1:17" x14ac:dyDescent="0.3">
      <c r="A392" t="str">
        <f>"16948"</f>
        <v>16948</v>
      </c>
      <c r="B392">
        <v>44082</v>
      </c>
      <c r="C392">
        <v>1</v>
      </c>
      <c r="D392" t="str">
        <f>" "</f>
        <v xml:space="preserve"> </v>
      </c>
      <c r="E392"/>
      <c r="F392" s="19">
        <v>42489.402592592596</v>
      </c>
      <c r="G392" s="1">
        <v>42492</v>
      </c>
      <c r="H392">
        <v>1</v>
      </c>
      <c r="I392">
        <v>1</v>
      </c>
      <c r="J392"/>
      <c r="K392"/>
      <c r="L392"/>
      <c r="M392" s="1">
        <v>42493</v>
      </c>
      <c r="N392" t="s">
        <v>102</v>
      </c>
      <c r="O392"/>
      <c r="P392"/>
      <c r="Q392"/>
    </row>
    <row r="393" spans="1:17" x14ac:dyDescent="0.3">
      <c r="A393" t="str">
        <f>"16922"</f>
        <v>16922</v>
      </c>
      <c r="B393">
        <v>44195</v>
      </c>
      <c r="C393">
        <v>1</v>
      </c>
      <c r="D393" t="str">
        <f>" "</f>
        <v xml:space="preserve"> </v>
      </c>
      <c r="E393"/>
      <c r="F393" s="19">
        <v>42479.610520833332</v>
      </c>
      <c r="G393" s="1">
        <v>42492</v>
      </c>
      <c r="H393">
        <v>1</v>
      </c>
      <c r="I393">
        <v>1</v>
      </c>
      <c r="J393"/>
      <c r="K393"/>
      <c r="L393"/>
      <c r="M393" s="1">
        <v>42502</v>
      </c>
      <c r="N393" t="s">
        <v>102</v>
      </c>
      <c r="O393"/>
      <c r="P393"/>
      <c r="Q393"/>
    </row>
    <row r="394" spans="1:17" x14ac:dyDescent="0.3">
      <c r="A394" t="str">
        <f>"16904"</f>
        <v>16904</v>
      </c>
      <c r="B394">
        <v>44308</v>
      </c>
      <c r="C394">
        <v>1</v>
      </c>
      <c r="D394" t="str">
        <f>" "</f>
        <v xml:space="preserve"> </v>
      </c>
      <c r="E394"/>
      <c r="F394" s="19">
        <v>42473.46947916667</v>
      </c>
      <c r="G394" s="1">
        <v>42492</v>
      </c>
      <c r="H394">
        <v>2</v>
      </c>
      <c r="I394">
        <v>2</v>
      </c>
      <c r="J394"/>
      <c r="K394"/>
      <c r="L394"/>
      <c r="M394" s="1">
        <v>42488</v>
      </c>
      <c r="N394" t="s">
        <v>102</v>
      </c>
      <c r="O394"/>
      <c r="P394"/>
      <c r="Q394"/>
    </row>
    <row r="395" spans="1:17" x14ac:dyDescent="0.3">
      <c r="A395" t="str">
        <f>"16904"</f>
        <v>16904</v>
      </c>
      <c r="B395">
        <v>44421</v>
      </c>
      <c r="C395">
        <v>2</v>
      </c>
      <c r="D395" t="str">
        <f>" "</f>
        <v xml:space="preserve"> </v>
      </c>
      <c r="E395"/>
      <c r="F395" s="19">
        <v>42473.46947916667</v>
      </c>
      <c r="G395" s="1">
        <v>42492</v>
      </c>
      <c r="H395">
        <v>2</v>
      </c>
      <c r="I395">
        <v>2</v>
      </c>
      <c r="J395"/>
      <c r="K395"/>
      <c r="L395"/>
      <c r="M395" s="1">
        <v>42488</v>
      </c>
      <c r="N395" t="s">
        <v>102</v>
      </c>
      <c r="O395"/>
      <c r="P395"/>
      <c r="Q395"/>
    </row>
    <row r="396" spans="1:17" x14ac:dyDescent="0.3">
      <c r="A396" t="str">
        <f>"16952"</f>
        <v>16952</v>
      </c>
      <c r="B396">
        <v>44534</v>
      </c>
      <c r="C396">
        <v>1</v>
      </c>
      <c r="D396" t="str">
        <f>" "</f>
        <v xml:space="preserve"> </v>
      </c>
      <c r="E396"/>
      <c r="F396" s="19">
        <v>42493.548333333332</v>
      </c>
      <c r="G396" s="1">
        <v>42493</v>
      </c>
      <c r="H396">
        <v>1</v>
      </c>
      <c r="I396">
        <v>1</v>
      </c>
      <c r="J396"/>
      <c r="K396"/>
      <c r="L396"/>
      <c r="M396" s="1">
        <v>42493</v>
      </c>
      <c r="N396" t="s">
        <v>102</v>
      </c>
      <c r="O396"/>
      <c r="P396"/>
      <c r="Q396"/>
    </row>
    <row r="397" spans="1:17" x14ac:dyDescent="0.3">
      <c r="A397" t="str">
        <f>"16949"</f>
        <v>16949</v>
      </c>
      <c r="B397">
        <v>44647</v>
      </c>
      <c r="C397">
        <v>1</v>
      </c>
      <c r="D397" t="str">
        <f>" "</f>
        <v xml:space="preserve"> </v>
      </c>
      <c r="E397"/>
      <c r="F397" s="19">
        <v>42489.5234837963</v>
      </c>
      <c r="G397" s="1">
        <v>42493</v>
      </c>
      <c r="H397">
        <v>2</v>
      </c>
      <c r="I397">
        <v>2</v>
      </c>
      <c r="J397"/>
      <c r="K397"/>
      <c r="L397"/>
      <c r="M397" s="1">
        <v>42494</v>
      </c>
      <c r="N397" t="s">
        <v>102</v>
      </c>
      <c r="O397"/>
      <c r="P397"/>
      <c r="Q397"/>
    </row>
    <row r="398" spans="1:17" x14ac:dyDescent="0.3">
      <c r="A398" t="str">
        <f>"16743"</f>
        <v>16743</v>
      </c>
      <c r="B398">
        <v>44760</v>
      </c>
      <c r="C398">
        <v>2</v>
      </c>
      <c r="D398" t="str">
        <f>" "</f>
        <v xml:space="preserve"> </v>
      </c>
      <c r="E398"/>
      <c r="F398" s="19">
        <v>42402.371840277781</v>
      </c>
      <c r="G398" s="1">
        <v>42493</v>
      </c>
      <c r="H398">
        <v>1</v>
      </c>
      <c r="I398">
        <v>1</v>
      </c>
      <c r="J398"/>
      <c r="K398"/>
      <c r="L398"/>
      <c r="M398" s="1">
        <v>42510</v>
      </c>
      <c r="N398" t="s">
        <v>102</v>
      </c>
      <c r="O398"/>
      <c r="P398"/>
      <c r="Q398"/>
    </row>
    <row r="399" spans="1:17" x14ac:dyDescent="0.3">
      <c r="A399" t="str">
        <f>"16946"</f>
        <v>16946</v>
      </c>
      <c r="B399">
        <v>44873</v>
      </c>
      <c r="C399">
        <v>1</v>
      </c>
      <c r="D399" t="str">
        <f>" "</f>
        <v xml:space="preserve"> </v>
      </c>
      <c r="E399"/>
      <c r="F399" s="19">
        <v>42488.662453703706</v>
      </c>
      <c r="G399" s="1">
        <v>42494</v>
      </c>
      <c r="H399">
        <v>1</v>
      </c>
      <c r="I399">
        <v>1</v>
      </c>
      <c r="J399"/>
      <c r="K399"/>
      <c r="L399"/>
      <c r="M399" s="1">
        <v>42493</v>
      </c>
      <c r="N399" t="s">
        <v>102</v>
      </c>
      <c r="O399"/>
      <c r="P399"/>
      <c r="Q399"/>
    </row>
    <row r="400" spans="1:17" x14ac:dyDescent="0.3">
      <c r="A400" t="str">
        <f>"16920"</f>
        <v>16920</v>
      </c>
      <c r="B400">
        <v>44986</v>
      </c>
      <c r="C400">
        <v>1</v>
      </c>
      <c r="D400" t="str">
        <f>" "</f>
        <v xml:space="preserve"> </v>
      </c>
      <c r="E400"/>
      <c r="F400" s="19">
        <v>42479.457743055558</v>
      </c>
      <c r="G400" s="1">
        <v>42494</v>
      </c>
      <c r="H400">
        <v>1</v>
      </c>
      <c r="I400">
        <v>1</v>
      </c>
      <c r="J400"/>
      <c r="K400"/>
      <c r="L400"/>
      <c r="M400" s="1">
        <v>42501</v>
      </c>
      <c r="N400" t="s">
        <v>102</v>
      </c>
      <c r="O400"/>
      <c r="P400"/>
      <c r="Q400"/>
    </row>
    <row r="401" spans="1:17" x14ac:dyDescent="0.3">
      <c r="A401" t="str">
        <f>"16953"</f>
        <v>16953</v>
      </c>
      <c r="B401">
        <v>45099</v>
      </c>
      <c r="C401">
        <v>1</v>
      </c>
      <c r="D401" t="str">
        <f>" "</f>
        <v xml:space="preserve"> </v>
      </c>
      <c r="E401"/>
      <c r="F401" s="19">
        <v>42493.564317129632</v>
      </c>
      <c r="G401" s="1">
        <v>42499</v>
      </c>
      <c r="H401">
        <v>1</v>
      </c>
      <c r="I401">
        <v>1</v>
      </c>
      <c r="J401"/>
      <c r="K401"/>
      <c r="L401"/>
      <c r="M401" s="1">
        <v>42503</v>
      </c>
      <c r="N401" t="s">
        <v>102</v>
      </c>
      <c r="O401"/>
      <c r="P401"/>
      <c r="Q401"/>
    </row>
    <row r="402" spans="1:17" x14ac:dyDescent="0.3">
      <c r="A402" t="str">
        <f>"16953"</f>
        <v>16953</v>
      </c>
      <c r="B402">
        <v>45212</v>
      </c>
      <c r="C402">
        <v>2</v>
      </c>
      <c r="D402" t="str">
        <f>" "</f>
        <v xml:space="preserve"> </v>
      </c>
      <c r="E402"/>
      <c r="F402" s="19">
        <v>42493.564317129632</v>
      </c>
      <c r="G402" s="1">
        <v>42500</v>
      </c>
      <c r="H402">
        <v>1</v>
      </c>
      <c r="I402">
        <v>1</v>
      </c>
      <c r="J402"/>
      <c r="K402"/>
      <c r="L402"/>
      <c r="M402" s="1">
        <v>42503</v>
      </c>
      <c r="N402" t="s">
        <v>102</v>
      </c>
      <c r="O402"/>
      <c r="P402"/>
      <c r="Q402"/>
    </row>
    <row r="403" spans="1:17" x14ac:dyDescent="0.3">
      <c r="A403" t="str">
        <f>"16941"</f>
        <v>16941</v>
      </c>
      <c r="B403">
        <v>45325</v>
      </c>
      <c r="C403">
        <v>1</v>
      </c>
      <c r="D403" t="str">
        <f>" "</f>
        <v xml:space="preserve"> </v>
      </c>
      <c r="E403"/>
      <c r="F403" s="19">
        <v>42488.36446759259</v>
      </c>
      <c r="G403" s="1">
        <v>42500</v>
      </c>
      <c r="H403">
        <v>1</v>
      </c>
      <c r="I403">
        <v>1</v>
      </c>
      <c r="J403"/>
      <c r="K403"/>
      <c r="L403"/>
      <c r="M403" s="1">
        <v>42510</v>
      </c>
      <c r="N403" t="s">
        <v>102</v>
      </c>
      <c r="O403"/>
      <c r="P403"/>
      <c r="Q403"/>
    </row>
    <row r="404" spans="1:17" x14ac:dyDescent="0.3">
      <c r="A404" t="str">
        <f>"16899"</f>
        <v>16899</v>
      </c>
      <c r="B404">
        <v>45438</v>
      </c>
      <c r="C404">
        <v>1</v>
      </c>
      <c r="D404" t="str">
        <f>" "</f>
        <v xml:space="preserve"> </v>
      </c>
      <c r="E404"/>
      <c r="F404" s="19">
        <v>42473.32335648148</v>
      </c>
      <c r="G404" s="1">
        <v>42500</v>
      </c>
      <c r="H404">
        <v>2</v>
      </c>
      <c r="I404">
        <v>2</v>
      </c>
      <c r="J404"/>
      <c r="K404"/>
      <c r="L404"/>
      <c r="M404" s="1">
        <v>42489</v>
      </c>
      <c r="N404" t="s">
        <v>102</v>
      </c>
      <c r="O404"/>
      <c r="P404"/>
      <c r="Q404"/>
    </row>
    <row r="405" spans="1:17" x14ac:dyDescent="0.3">
      <c r="A405" t="str">
        <f>"16842"</f>
        <v>16842</v>
      </c>
      <c r="B405">
        <v>45551</v>
      </c>
      <c r="C405">
        <v>1</v>
      </c>
      <c r="D405" t="str">
        <f>" "</f>
        <v xml:space="preserve"> </v>
      </c>
      <c r="E405"/>
      <c r="F405" s="19">
        <v>42451.592974537038</v>
      </c>
      <c r="G405" s="1">
        <v>42500</v>
      </c>
      <c r="H405">
        <v>30</v>
      </c>
      <c r="I405">
        <v>30</v>
      </c>
      <c r="J405"/>
      <c r="K405"/>
      <c r="L405"/>
      <c r="M405" s="1">
        <v>42489</v>
      </c>
      <c r="N405" t="s">
        <v>102</v>
      </c>
      <c r="O405"/>
      <c r="P405"/>
      <c r="Q405"/>
    </row>
    <row r="406" spans="1:17" x14ac:dyDescent="0.3">
      <c r="A406" t="str">
        <f>"16927"</f>
        <v>16927</v>
      </c>
      <c r="B406">
        <v>45664</v>
      </c>
      <c r="C406">
        <v>1</v>
      </c>
      <c r="D406" t="str">
        <f>" "</f>
        <v xml:space="preserve"> </v>
      </c>
      <c r="E406"/>
      <c r="F406" s="19">
        <v>42482.387152777781</v>
      </c>
      <c r="G406" s="1">
        <v>42501</v>
      </c>
      <c r="H406">
        <v>1</v>
      </c>
      <c r="I406">
        <v>1</v>
      </c>
      <c r="J406"/>
      <c r="K406"/>
      <c r="L406"/>
      <c r="M406" s="1">
        <v>42499</v>
      </c>
      <c r="N406" t="s">
        <v>102</v>
      </c>
      <c r="O406"/>
      <c r="P406"/>
      <c r="Q406"/>
    </row>
    <row r="407" spans="1:17" x14ac:dyDescent="0.3">
      <c r="A407" t="str">
        <f>"16921"</f>
        <v>16921</v>
      </c>
      <c r="B407">
        <v>45777</v>
      </c>
      <c r="C407">
        <v>1</v>
      </c>
      <c r="D407" t="str">
        <f>" "</f>
        <v xml:space="preserve"> </v>
      </c>
      <c r="E407"/>
      <c r="F407" s="19">
        <v>42479.494490740741</v>
      </c>
      <c r="G407" s="1">
        <v>42502</v>
      </c>
      <c r="H407">
        <v>1</v>
      </c>
      <c r="I407">
        <v>1</v>
      </c>
      <c r="J407"/>
      <c r="K407"/>
      <c r="L407"/>
      <c r="M407" s="1">
        <v>42503</v>
      </c>
      <c r="N407" t="s">
        <v>102</v>
      </c>
      <c r="O407"/>
      <c r="P407"/>
      <c r="Q407"/>
    </row>
    <row r="408" spans="1:17" x14ac:dyDescent="0.3">
      <c r="A408" t="str">
        <f>"16660"</f>
        <v>16660</v>
      </c>
      <c r="B408">
        <v>45890</v>
      </c>
      <c r="C408">
        <v>1</v>
      </c>
      <c r="D408" t="str">
        <f>" "</f>
        <v xml:space="preserve"> </v>
      </c>
      <c r="E408"/>
      <c r="F408" s="19">
        <v>42361.549814814818</v>
      </c>
      <c r="G408" s="1">
        <v>42502</v>
      </c>
      <c r="H408">
        <v>10</v>
      </c>
      <c r="I408">
        <v>1</v>
      </c>
      <c r="J408"/>
      <c r="K408"/>
      <c r="L408"/>
      <c r="M408" s="1">
        <v>42447</v>
      </c>
      <c r="N408" t="s">
        <v>102</v>
      </c>
      <c r="O408"/>
      <c r="P408"/>
      <c r="Q408"/>
    </row>
    <row r="409" spans="1:17" x14ac:dyDescent="0.3">
      <c r="A409" t="str">
        <f>"16940"</f>
        <v>16940</v>
      </c>
      <c r="B409">
        <v>46003</v>
      </c>
      <c r="C409">
        <v>1</v>
      </c>
      <c r="D409" t="str">
        <f>" "</f>
        <v xml:space="preserve"> </v>
      </c>
      <c r="E409"/>
      <c r="F409" s="19">
        <v>42488.350729166668</v>
      </c>
      <c r="G409" s="1">
        <v>42503</v>
      </c>
      <c r="H409">
        <v>4</v>
      </c>
      <c r="I409">
        <v>4</v>
      </c>
      <c r="J409"/>
      <c r="K409"/>
      <c r="L409"/>
      <c r="M409" s="1">
        <v>42502</v>
      </c>
      <c r="N409" t="s">
        <v>102</v>
      </c>
      <c r="O409"/>
      <c r="P409"/>
      <c r="Q409"/>
    </row>
    <row r="410" spans="1:17" x14ac:dyDescent="0.3">
      <c r="A410" t="str">
        <f>"16975"</f>
        <v>16975</v>
      </c>
      <c r="B410">
        <v>46116</v>
      </c>
      <c r="C410">
        <v>1</v>
      </c>
      <c r="D410" t="str">
        <f>" "</f>
        <v xml:space="preserve"> </v>
      </c>
      <c r="E410"/>
      <c r="F410" s="19">
        <v>42507.596909722219</v>
      </c>
      <c r="G410" s="1">
        <v>42507</v>
      </c>
      <c r="H410">
        <v>1</v>
      </c>
      <c r="I410">
        <v>1</v>
      </c>
      <c r="J410"/>
      <c r="K410"/>
      <c r="L410"/>
      <c r="M410" s="1">
        <v>42507</v>
      </c>
      <c r="N410" t="s">
        <v>102</v>
      </c>
      <c r="O410"/>
      <c r="P410"/>
      <c r="Q410"/>
    </row>
    <row r="411" spans="1:17" x14ac:dyDescent="0.3">
      <c r="A411" t="str">
        <f>"16947"</f>
        <v>16947</v>
      </c>
      <c r="B411">
        <v>46229</v>
      </c>
      <c r="C411">
        <v>1</v>
      </c>
      <c r="D411" t="str">
        <f>" "</f>
        <v xml:space="preserve"> </v>
      </c>
      <c r="E411"/>
      <c r="F411" s="19">
        <v>42489.368437500001</v>
      </c>
      <c r="G411" s="1">
        <v>42507</v>
      </c>
      <c r="H411">
        <v>2</v>
      </c>
      <c r="I411">
        <v>2</v>
      </c>
      <c r="J411"/>
      <c r="K411"/>
      <c r="L411"/>
      <c r="M411" s="1">
        <v>42507</v>
      </c>
      <c r="N411" t="s">
        <v>102</v>
      </c>
      <c r="O411"/>
      <c r="P411"/>
      <c r="Q411"/>
    </row>
    <row r="412" spans="1:17" x14ac:dyDescent="0.3">
      <c r="A412" t="str">
        <f>"16947"</f>
        <v>16947</v>
      </c>
      <c r="B412">
        <v>46342</v>
      </c>
      <c r="C412">
        <v>2</v>
      </c>
      <c r="D412" t="str">
        <f>" "</f>
        <v xml:space="preserve"> </v>
      </c>
      <c r="E412"/>
      <c r="F412" s="19">
        <v>42489.368437500001</v>
      </c>
      <c r="G412" s="1">
        <v>42507</v>
      </c>
      <c r="H412">
        <v>2</v>
      </c>
      <c r="I412">
        <v>2</v>
      </c>
      <c r="J412"/>
      <c r="K412"/>
      <c r="L412"/>
      <c r="M412" s="1">
        <v>42507</v>
      </c>
      <c r="N412" t="s">
        <v>102</v>
      </c>
      <c r="O412"/>
      <c r="P412"/>
      <c r="Q412"/>
    </row>
    <row r="413" spans="1:17" x14ac:dyDescent="0.3">
      <c r="A413" t="str">
        <f>"16947"</f>
        <v>16947</v>
      </c>
      <c r="B413">
        <v>46455</v>
      </c>
      <c r="C413">
        <v>3</v>
      </c>
      <c r="D413" t="str">
        <f>" "</f>
        <v xml:space="preserve"> </v>
      </c>
      <c r="E413"/>
      <c r="F413" s="19">
        <v>42489.368437500001</v>
      </c>
      <c r="G413" s="1">
        <v>42507</v>
      </c>
      <c r="H413">
        <v>10</v>
      </c>
      <c r="I413">
        <v>10</v>
      </c>
      <c r="J413"/>
      <c r="K413"/>
      <c r="L413"/>
      <c r="M413" s="1">
        <v>42507</v>
      </c>
      <c r="N413" t="s">
        <v>102</v>
      </c>
      <c r="O413"/>
      <c r="P413"/>
      <c r="Q413"/>
    </row>
    <row r="414" spans="1:17" x14ac:dyDescent="0.3">
      <c r="A414" t="str">
        <f>"16884"</f>
        <v>16884</v>
      </c>
      <c r="B414">
        <v>46568</v>
      </c>
      <c r="C414">
        <v>1</v>
      </c>
      <c r="D414" t="str">
        <f>" "</f>
        <v xml:space="preserve"> </v>
      </c>
      <c r="E414"/>
      <c r="F414" s="19">
        <v>42471.57440972222</v>
      </c>
      <c r="G414" s="1">
        <v>42507</v>
      </c>
      <c r="H414">
        <v>4</v>
      </c>
      <c r="I414">
        <v>4</v>
      </c>
      <c r="J414"/>
      <c r="K414"/>
      <c r="L414"/>
      <c r="M414"/>
      <c r="N414" t="s">
        <v>102</v>
      </c>
      <c r="O414"/>
      <c r="P414"/>
      <c r="Q414"/>
    </row>
    <row r="415" spans="1:17" x14ac:dyDescent="0.3">
      <c r="A415" t="str">
        <f>"16976"</f>
        <v>16976</v>
      </c>
      <c r="B415">
        <v>46681</v>
      </c>
      <c r="C415">
        <v>1</v>
      </c>
      <c r="D415" t="str">
        <f>" "</f>
        <v xml:space="preserve"> </v>
      </c>
      <c r="E415"/>
      <c r="F415" s="19">
        <v>42508.39435185185</v>
      </c>
      <c r="G415" s="1">
        <v>42508</v>
      </c>
      <c r="H415">
        <v>1</v>
      </c>
      <c r="I415">
        <v>1</v>
      </c>
      <c r="J415"/>
      <c r="K415"/>
      <c r="L415"/>
      <c r="M415" s="1">
        <v>42508</v>
      </c>
      <c r="N415" t="s">
        <v>102</v>
      </c>
      <c r="O415"/>
      <c r="P415"/>
      <c r="Q415"/>
    </row>
    <row r="416" spans="1:17" x14ac:dyDescent="0.3">
      <c r="A416" t="str">
        <f>"16954"</f>
        <v>16954</v>
      </c>
      <c r="B416">
        <v>46794</v>
      </c>
      <c r="C416">
        <v>1</v>
      </c>
      <c r="D416" t="str">
        <f>" "</f>
        <v xml:space="preserve"> </v>
      </c>
      <c r="E416"/>
      <c r="F416" s="19">
        <v>42494.533391203702</v>
      </c>
      <c r="G416" s="1">
        <v>42508</v>
      </c>
      <c r="H416">
        <v>1</v>
      </c>
      <c r="I416">
        <v>1</v>
      </c>
      <c r="J416"/>
      <c r="K416"/>
      <c r="L416"/>
      <c r="M416" s="1">
        <v>42503</v>
      </c>
      <c r="N416" t="s">
        <v>102</v>
      </c>
      <c r="O416"/>
      <c r="P416"/>
      <c r="Q416"/>
    </row>
    <row r="417" spans="1:17" x14ac:dyDescent="0.3">
      <c r="A417" t="str">
        <f>"16892"</f>
        <v>16892</v>
      </c>
      <c r="B417">
        <v>46907</v>
      </c>
      <c r="C417">
        <v>1</v>
      </c>
      <c r="D417" t="str">
        <f>" "</f>
        <v xml:space="preserve"> </v>
      </c>
      <c r="E417"/>
      <c r="F417" s="19">
        <v>42472.401504629626</v>
      </c>
      <c r="G417" s="1">
        <v>42508</v>
      </c>
      <c r="H417">
        <v>1</v>
      </c>
      <c r="I417">
        <v>1</v>
      </c>
      <c r="J417"/>
      <c r="K417"/>
      <c r="L417"/>
      <c r="M417" s="1">
        <v>42503</v>
      </c>
      <c r="N417" t="s">
        <v>102</v>
      </c>
      <c r="O417"/>
      <c r="P417"/>
      <c r="Q417"/>
    </row>
    <row r="418" spans="1:17" x14ac:dyDescent="0.3">
      <c r="A418" t="str">
        <f>"16891"</f>
        <v>16891</v>
      </c>
      <c r="B418">
        <v>47020</v>
      </c>
      <c r="C418">
        <v>1</v>
      </c>
      <c r="D418" t="str">
        <f>" "</f>
        <v xml:space="preserve"> </v>
      </c>
      <c r="E418"/>
      <c r="F418" s="19">
        <v>42472.378784722219</v>
      </c>
      <c r="G418" s="1">
        <v>42508</v>
      </c>
      <c r="H418">
        <v>1</v>
      </c>
      <c r="I418">
        <v>1</v>
      </c>
      <c r="J418"/>
      <c r="K418"/>
      <c r="L418"/>
      <c r="M418" s="1">
        <v>42503</v>
      </c>
      <c r="N418" t="s">
        <v>102</v>
      </c>
      <c r="O418"/>
      <c r="P418"/>
      <c r="Q418"/>
    </row>
    <row r="419" spans="1:17" x14ac:dyDescent="0.3">
      <c r="A419" t="str">
        <f>"16889"</f>
        <v>16889</v>
      </c>
      <c r="B419">
        <v>47133</v>
      </c>
      <c r="C419">
        <v>1</v>
      </c>
      <c r="D419" t="str">
        <f>" "</f>
        <v xml:space="preserve"> </v>
      </c>
      <c r="E419"/>
      <c r="F419" s="19">
        <v>42472.336238425924</v>
      </c>
      <c r="G419" s="1">
        <v>42508</v>
      </c>
      <c r="H419">
        <v>1</v>
      </c>
      <c r="I419">
        <v>1</v>
      </c>
      <c r="J419"/>
      <c r="K419"/>
      <c r="L419"/>
      <c r="M419" s="1">
        <v>42503</v>
      </c>
      <c r="N419" t="s">
        <v>102</v>
      </c>
      <c r="O419"/>
      <c r="P419"/>
      <c r="Q419"/>
    </row>
    <row r="420" spans="1:17" x14ac:dyDescent="0.3">
      <c r="A420" t="str">
        <f>"16887"</f>
        <v>16887</v>
      </c>
      <c r="B420">
        <v>47246</v>
      </c>
      <c r="C420">
        <v>1</v>
      </c>
      <c r="D420" t="str">
        <f>" "</f>
        <v xml:space="preserve"> </v>
      </c>
      <c r="E420"/>
      <c r="F420" s="19">
        <v>42471.666979166665</v>
      </c>
      <c r="G420" s="1">
        <v>42508</v>
      </c>
      <c r="H420">
        <v>1</v>
      </c>
      <c r="I420">
        <v>1</v>
      </c>
      <c r="J420"/>
      <c r="K420"/>
      <c r="L420"/>
      <c r="M420" s="1">
        <v>42503</v>
      </c>
      <c r="N420" t="s">
        <v>102</v>
      </c>
      <c r="O420"/>
      <c r="P420"/>
      <c r="Q420"/>
    </row>
    <row r="421" spans="1:17" x14ac:dyDescent="0.3">
      <c r="A421" t="str">
        <f>"16804"</f>
        <v>16804</v>
      </c>
      <c r="B421">
        <v>47359</v>
      </c>
      <c r="C421">
        <v>1</v>
      </c>
      <c r="D421" t="str">
        <f>" "</f>
        <v xml:space="preserve"> </v>
      </c>
      <c r="E421"/>
      <c r="F421" s="19">
        <v>42436.423252314817</v>
      </c>
      <c r="G421" s="1">
        <v>42508</v>
      </c>
      <c r="H421">
        <v>3</v>
      </c>
      <c r="I421">
        <v>3</v>
      </c>
      <c r="J421"/>
      <c r="K421"/>
      <c r="L421"/>
      <c r="M421" s="1">
        <v>42510</v>
      </c>
      <c r="N421" t="s">
        <v>102</v>
      </c>
      <c r="O421"/>
      <c r="P421"/>
      <c r="Q421"/>
    </row>
    <row r="422" spans="1:17" x14ac:dyDescent="0.3">
      <c r="A422" t="str">
        <f>"16804"</f>
        <v>16804</v>
      </c>
      <c r="B422">
        <v>47472</v>
      </c>
      <c r="C422">
        <v>2</v>
      </c>
      <c r="D422" t="str">
        <f>" "</f>
        <v xml:space="preserve"> </v>
      </c>
      <c r="E422"/>
      <c r="F422" s="19">
        <v>42436.423252314817</v>
      </c>
      <c r="G422" s="1">
        <v>42508</v>
      </c>
      <c r="H422">
        <v>3</v>
      </c>
      <c r="I422">
        <v>2</v>
      </c>
      <c r="J422"/>
      <c r="K422"/>
      <c r="L422"/>
      <c r="M422" s="1">
        <v>42510</v>
      </c>
      <c r="N422" t="s">
        <v>102</v>
      </c>
      <c r="O422"/>
      <c r="P422"/>
      <c r="Q422"/>
    </row>
    <row r="423" spans="1:17" x14ac:dyDescent="0.3">
      <c r="A423" t="str">
        <f>"16936"</f>
        <v>16936</v>
      </c>
      <c r="B423">
        <v>47585</v>
      </c>
      <c r="C423">
        <v>1</v>
      </c>
      <c r="D423" t="str">
        <f>" "</f>
        <v xml:space="preserve"> </v>
      </c>
      <c r="E423"/>
      <c r="F423" s="19">
        <v>42487.631215277775</v>
      </c>
      <c r="G423" s="1">
        <v>42509</v>
      </c>
      <c r="H423">
        <v>10</v>
      </c>
      <c r="I423">
        <v>10</v>
      </c>
      <c r="J423"/>
      <c r="K423"/>
      <c r="L423"/>
      <c r="M423" s="1">
        <v>42503</v>
      </c>
      <c r="N423" t="s">
        <v>102</v>
      </c>
      <c r="O423"/>
      <c r="P423"/>
      <c r="Q423"/>
    </row>
    <row r="424" spans="1:17" x14ac:dyDescent="0.3">
      <c r="A424" t="str">
        <f>"16982"</f>
        <v>16982</v>
      </c>
      <c r="B424">
        <v>47698</v>
      </c>
      <c r="C424">
        <v>1</v>
      </c>
      <c r="D424" t="str">
        <f>" "</f>
        <v xml:space="preserve"> </v>
      </c>
      <c r="E424"/>
      <c r="F424" s="19">
        <v>42509.41778935185</v>
      </c>
      <c r="G424" s="1">
        <v>42510</v>
      </c>
      <c r="H424">
        <v>1</v>
      </c>
      <c r="I424">
        <v>1</v>
      </c>
      <c r="J424"/>
      <c r="K424"/>
      <c r="L424"/>
      <c r="M424" s="1">
        <v>42514</v>
      </c>
      <c r="N424" t="s">
        <v>102</v>
      </c>
      <c r="O424"/>
      <c r="P424"/>
      <c r="Q424"/>
    </row>
    <row r="425" spans="1:17" x14ac:dyDescent="0.3">
      <c r="A425" t="str">
        <f>"16933"</f>
        <v>16933</v>
      </c>
      <c r="B425">
        <v>47811</v>
      </c>
      <c r="C425">
        <v>1</v>
      </c>
      <c r="D425" t="str">
        <f>" "</f>
        <v xml:space="preserve"> </v>
      </c>
      <c r="E425"/>
      <c r="F425" s="19">
        <v>42487.565081018518</v>
      </c>
      <c r="G425" s="1">
        <v>42510</v>
      </c>
      <c r="H425">
        <v>5</v>
      </c>
      <c r="I425">
        <v>5</v>
      </c>
      <c r="J425"/>
      <c r="K425"/>
      <c r="L425"/>
      <c r="M425" s="1">
        <v>42503</v>
      </c>
      <c r="N425" t="s">
        <v>102</v>
      </c>
      <c r="O425"/>
      <c r="P425"/>
      <c r="Q425"/>
    </row>
    <row r="426" spans="1:17" x14ac:dyDescent="0.3">
      <c r="A426" t="str">
        <f>"16869"</f>
        <v>16869</v>
      </c>
      <c r="B426">
        <v>47924</v>
      </c>
      <c r="C426">
        <v>1</v>
      </c>
      <c r="D426" t="str">
        <f>" "</f>
        <v xml:space="preserve"> </v>
      </c>
      <c r="E426"/>
      <c r="F426" s="19">
        <v>42466.444143518522</v>
      </c>
      <c r="G426" s="1">
        <v>42510</v>
      </c>
      <c r="H426">
        <v>4</v>
      </c>
      <c r="I426">
        <v>4</v>
      </c>
      <c r="J426"/>
      <c r="K426"/>
      <c r="L426"/>
      <c r="M426" s="1">
        <v>42508</v>
      </c>
      <c r="N426" t="s">
        <v>102</v>
      </c>
      <c r="O426"/>
      <c r="P426"/>
      <c r="Q426"/>
    </row>
    <row r="427" spans="1:17" x14ac:dyDescent="0.3">
      <c r="A427" t="str">
        <f>"16869"</f>
        <v>16869</v>
      </c>
      <c r="B427">
        <v>48037</v>
      </c>
      <c r="C427">
        <v>2</v>
      </c>
      <c r="D427" t="str">
        <f>" "</f>
        <v xml:space="preserve"> </v>
      </c>
      <c r="E427"/>
      <c r="F427" s="19">
        <v>42466.444143518522</v>
      </c>
      <c r="G427" s="1">
        <v>42510</v>
      </c>
      <c r="H427">
        <v>2</v>
      </c>
      <c r="I427">
        <v>2</v>
      </c>
      <c r="J427"/>
      <c r="K427"/>
      <c r="L427"/>
      <c r="M427" s="1">
        <v>42508</v>
      </c>
      <c r="N427" t="s">
        <v>102</v>
      </c>
      <c r="O427"/>
      <c r="P427"/>
      <c r="Q427"/>
    </row>
    <row r="428" spans="1:17" x14ac:dyDescent="0.3">
      <c r="A428" t="str">
        <f>"16869"</f>
        <v>16869</v>
      </c>
      <c r="B428">
        <v>48150</v>
      </c>
      <c r="C428">
        <v>3</v>
      </c>
      <c r="D428" t="str">
        <f>" "</f>
        <v xml:space="preserve"> </v>
      </c>
      <c r="E428"/>
      <c r="F428" s="19">
        <v>42466.444143518522</v>
      </c>
      <c r="G428" s="1">
        <v>42510</v>
      </c>
      <c r="H428">
        <v>1</v>
      </c>
      <c r="I428">
        <v>1</v>
      </c>
      <c r="J428"/>
      <c r="K428"/>
      <c r="L428"/>
      <c r="M428" s="1">
        <v>42508</v>
      </c>
      <c r="N428" t="s">
        <v>102</v>
      </c>
      <c r="O428"/>
      <c r="P428"/>
      <c r="Q428"/>
    </row>
    <row r="429" spans="1:17" x14ac:dyDescent="0.3">
      <c r="A429" t="str">
        <f>"16869"</f>
        <v>16869</v>
      </c>
      <c r="B429">
        <v>48263</v>
      </c>
      <c r="C429">
        <v>4</v>
      </c>
      <c r="D429" t="str">
        <f>" "</f>
        <v xml:space="preserve"> </v>
      </c>
      <c r="E429"/>
      <c r="F429" s="19">
        <v>42466.444143518522</v>
      </c>
      <c r="G429" s="1">
        <v>42510</v>
      </c>
      <c r="H429">
        <v>1</v>
      </c>
      <c r="I429">
        <v>1</v>
      </c>
      <c r="J429"/>
      <c r="K429"/>
      <c r="L429"/>
      <c r="M429" s="1">
        <v>42508</v>
      </c>
      <c r="N429" t="s">
        <v>102</v>
      </c>
      <c r="O429"/>
      <c r="P429"/>
      <c r="Q429"/>
    </row>
    <row r="430" spans="1:17" x14ac:dyDescent="0.3">
      <c r="A430" t="str">
        <f>"16869"</f>
        <v>16869</v>
      </c>
      <c r="B430">
        <v>48376</v>
      </c>
      <c r="C430">
        <v>5</v>
      </c>
      <c r="D430" t="str">
        <f>" "</f>
        <v xml:space="preserve"> </v>
      </c>
      <c r="E430"/>
      <c r="F430" s="19">
        <v>42466.444143518522</v>
      </c>
      <c r="G430" s="1">
        <v>42510</v>
      </c>
      <c r="H430">
        <v>1</v>
      </c>
      <c r="I430">
        <v>1</v>
      </c>
      <c r="J430"/>
      <c r="K430"/>
      <c r="L430"/>
      <c r="M430" s="1">
        <v>42508</v>
      </c>
      <c r="N430" t="s">
        <v>102</v>
      </c>
      <c r="O430"/>
      <c r="P430"/>
      <c r="Q430"/>
    </row>
    <row r="431" spans="1:17" x14ac:dyDescent="0.3">
      <c r="A431" t="str">
        <f>"16869"</f>
        <v>16869</v>
      </c>
      <c r="B431">
        <v>48489</v>
      </c>
      <c r="C431">
        <v>6</v>
      </c>
      <c r="D431" t="str">
        <f>" "</f>
        <v xml:space="preserve"> </v>
      </c>
      <c r="E431"/>
      <c r="F431" s="19">
        <v>42466.444143518522</v>
      </c>
      <c r="G431" s="1">
        <v>42510</v>
      </c>
      <c r="H431">
        <v>4</v>
      </c>
      <c r="I431">
        <v>4</v>
      </c>
      <c r="J431"/>
      <c r="K431"/>
      <c r="L431"/>
      <c r="M431" s="1">
        <v>42508</v>
      </c>
      <c r="N431" t="s">
        <v>102</v>
      </c>
      <c r="O431"/>
      <c r="P431"/>
      <c r="Q431"/>
    </row>
    <row r="432" spans="1:17" x14ac:dyDescent="0.3">
      <c r="A432" t="str">
        <f>"16869"</f>
        <v>16869</v>
      </c>
      <c r="B432">
        <v>48602</v>
      </c>
      <c r="C432">
        <v>7</v>
      </c>
      <c r="D432" t="str">
        <f>" "</f>
        <v xml:space="preserve"> </v>
      </c>
      <c r="E432"/>
      <c r="F432" s="19">
        <v>42466.444143518522</v>
      </c>
      <c r="G432" s="1">
        <v>42510</v>
      </c>
      <c r="H432">
        <v>1</v>
      </c>
      <c r="I432">
        <v>1</v>
      </c>
      <c r="J432"/>
      <c r="K432"/>
      <c r="L432"/>
      <c r="M432" s="1">
        <v>42508</v>
      </c>
      <c r="N432" t="s">
        <v>102</v>
      </c>
      <c r="O432"/>
      <c r="P432"/>
      <c r="Q432"/>
    </row>
    <row r="433" spans="1:17" x14ac:dyDescent="0.3">
      <c r="A433" t="str">
        <f>"16974"</f>
        <v>16974</v>
      </c>
      <c r="B433">
        <v>48715</v>
      </c>
      <c r="C433">
        <v>1</v>
      </c>
      <c r="D433" t="str">
        <f>" "</f>
        <v xml:space="preserve"> </v>
      </c>
      <c r="E433"/>
      <c r="F433" s="19">
        <v>42507.406840277778</v>
      </c>
      <c r="G433" s="1">
        <v>42514</v>
      </c>
      <c r="H433">
        <v>1</v>
      </c>
      <c r="I433">
        <v>1</v>
      </c>
      <c r="J433"/>
      <c r="K433"/>
      <c r="L433"/>
      <c r="M433" s="1">
        <v>42508</v>
      </c>
      <c r="N433" t="s">
        <v>102</v>
      </c>
      <c r="O433"/>
      <c r="P433"/>
      <c r="Q433"/>
    </row>
    <row r="434" spans="1:17" x14ac:dyDescent="0.3">
      <c r="A434" t="str">
        <f>"16932"</f>
        <v>16932</v>
      </c>
      <c r="B434">
        <v>48828</v>
      </c>
      <c r="C434">
        <v>1</v>
      </c>
      <c r="D434" t="str">
        <f>" "</f>
        <v xml:space="preserve"> </v>
      </c>
      <c r="E434"/>
      <c r="F434" s="19">
        <v>42487.488449074073</v>
      </c>
      <c r="G434" s="1">
        <v>42514</v>
      </c>
      <c r="H434">
        <v>15</v>
      </c>
      <c r="I434">
        <v>5</v>
      </c>
      <c r="J434"/>
      <c r="K434"/>
      <c r="L434"/>
      <c r="M434" s="1">
        <v>42517</v>
      </c>
      <c r="N434" t="s">
        <v>102</v>
      </c>
      <c r="O434"/>
      <c r="P434"/>
      <c r="Q434"/>
    </row>
    <row r="435" spans="1:17" x14ac:dyDescent="0.3">
      <c r="A435" t="str">
        <f>"16858"</f>
        <v>16858</v>
      </c>
      <c r="B435">
        <v>48941</v>
      </c>
      <c r="C435">
        <v>1</v>
      </c>
      <c r="D435" t="str">
        <f>" "</f>
        <v xml:space="preserve"> </v>
      </c>
      <c r="E435"/>
      <c r="F435" s="19">
        <v>42459.751030092593</v>
      </c>
      <c r="G435" s="1">
        <v>42514</v>
      </c>
      <c r="H435">
        <v>1</v>
      </c>
      <c r="I435">
        <v>1</v>
      </c>
      <c r="J435"/>
      <c r="K435"/>
      <c r="L435"/>
      <c r="M435" s="1">
        <v>42492</v>
      </c>
      <c r="N435" t="s">
        <v>102</v>
      </c>
      <c r="O435"/>
      <c r="P435"/>
      <c r="Q435"/>
    </row>
    <row r="436" spans="1:17" x14ac:dyDescent="0.3">
      <c r="A436" t="str">
        <f>"16858"</f>
        <v>16858</v>
      </c>
      <c r="B436">
        <v>49054</v>
      </c>
      <c r="C436">
        <v>3</v>
      </c>
      <c r="D436" t="str">
        <f>" "</f>
        <v xml:space="preserve"> </v>
      </c>
      <c r="E436"/>
      <c r="F436" s="19">
        <v>42460.338993055557</v>
      </c>
      <c r="G436" s="1">
        <v>42514</v>
      </c>
      <c r="H436">
        <v>1</v>
      </c>
      <c r="I436">
        <v>1</v>
      </c>
      <c r="J436"/>
      <c r="K436"/>
      <c r="L436"/>
      <c r="M436" s="1">
        <v>42492</v>
      </c>
      <c r="N436" t="s">
        <v>102</v>
      </c>
      <c r="O436"/>
      <c r="P436"/>
      <c r="Q436"/>
    </row>
    <row r="437" spans="1:17" x14ac:dyDescent="0.3">
      <c r="A437" t="str">
        <f>"9989"</f>
        <v>9989</v>
      </c>
      <c r="B437">
        <v>49167</v>
      </c>
      <c r="C437">
        <v>1</v>
      </c>
      <c r="D437" t="str">
        <f>"SO"</f>
        <v>SO</v>
      </c>
      <c r="E437"/>
      <c r="F437" s="19">
        <v>39587.315694444442</v>
      </c>
      <c r="G437"/>
      <c r="H437">
        <v>1</v>
      </c>
      <c r="I437">
        <v>0</v>
      </c>
      <c r="J437"/>
      <c r="K437"/>
      <c r="L437"/>
      <c r="M437" s="1">
        <v>39813</v>
      </c>
      <c r="N437" t="s">
        <v>102</v>
      </c>
      <c r="O437"/>
      <c r="P437"/>
      <c r="Q437"/>
    </row>
    <row r="438" spans="1:17" x14ac:dyDescent="0.3">
      <c r="A438" t="str">
        <f>"9979"</f>
        <v>9979</v>
      </c>
      <c r="B438">
        <v>49280</v>
      </c>
      <c r="C438">
        <v>1</v>
      </c>
      <c r="D438" t="str">
        <f>"SO"</f>
        <v>SO</v>
      </c>
      <c r="E438"/>
      <c r="F438" s="19">
        <v>39582.412789351853</v>
      </c>
      <c r="G438"/>
      <c r="H438">
        <v>35</v>
      </c>
      <c r="I438">
        <v>0</v>
      </c>
      <c r="J438"/>
      <c r="K438"/>
      <c r="L438"/>
      <c r="M438"/>
      <c r="N438" t="s">
        <v>102</v>
      </c>
      <c r="O438"/>
      <c r="P438"/>
      <c r="Q438"/>
    </row>
    <row r="439" spans="1:17" x14ac:dyDescent="0.3">
      <c r="A439" t="str">
        <f>"9775"</f>
        <v>9775</v>
      </c>
      <c r="B439">
        <v>49393</v>
      </c>
      <c r="C439">
        <v>33</v>
      </c>
      <c r="D439" t="str">
        <f>"SO"</f>
        <v>SO</v>
      </c>
      <c r="E439"/>
      <c r="F439" s="19">
        <v>39596.625277777777</v>
      </c>
      <c r="G439"/>
      <c r="H439">
        <v>1</v>
      </c>
      <c r="I439">
        <v>0</v>
      </c>
      <c r="J439"/>
      <c r="K439"/>
      <c r="L439"/>
      <c r="M439"/>
      <c r="N439" t="s">
        <v>102</v>
      </c>
      <c r="O439"/>
      <c r="P439"/>
      <c r="Q439"/>
    </row>
    <row r="440" spans="1:17" x14ac:dyDescent="0.3">
      <c r="A440" t="str">
        <f>"9775"</f>
        <v>9775</v>
      </c>
      <c r="B440">
        <v>49506</v>
      </c>
      <c r="C440">
        <v>34</v>
      </c>
      <c r="D440" t="str">
        <f>"SO"</f>
        <v>SO</v>
      </c>
      <c r="E440"/>
      <c r="F440" s="19">
        <v>39596.625277777777</v>
      </c>
      <c r="G440"/>
      <c r="H440">
        <v>1</v>
      </c>
      <c r="I440">
        <v>0</v>
      </c>
      <c r="J440"/>
      <c r="K440"/>
      <c r="L440"/>
      <c r="M440"/>
      <c r="N440" t="s">
        <v>102</v>
      </c>
      <c r="O440"/>
      <c r="P440"/>
      <c r="Q440"/>
    </row>
    <row r="441" spans="1:17" x14ac:dyDescent="0.3">
      <c r="A441" t="str">
        <f>"9729"</f>
        <v>9729</v>
      </c>
      <c r="B441">
        <v>49619</v>
      </c>
      <c r="C441">
        <v>1</v>
      </c>
      <c r="D441" t="str">
        <f>"SO"</f>
        <v>SO</v>
      </c>
      <c r="E441"/>
      <c r="F441" s="19">
        <v>39499.400277777779</v>
      </c>
      <c r="G441"/>
      <c r="H441">
        <v>1</v>
      </c>
      <c r="I441">
        <v>0</v>
      </c>
      <c r="J441"/>
      <c r="K441"/>
      <c r="L441"/>
      <c r="M441" s="1">
        <v>39541</v>
      </c>
      <c r="N441" t="s">
        <v>102</v>
      </c>
      <c r="O441"/>
      <c r="P441"/>
      <c r="Q441"/>
    </row>
    <row r="442" spans="1:17" x14ac:dyDescent="0.3">
      <c r="A442" t="str">
        <f>"9674"</f>
        <v>9674</v>
      </c>
      <c r="B442">
        <v>49732</v>
      </c>
      <c r="C442">
        <v>1</v>
      </c>
      <c r="D442" t="str">
        <f>"SO"</f>
        <v>SO</v>
      </c>
      <c r="E442"/>
      <c r="F442" s="19">
        <v>39476.490810185183</v>
      </c>
      <c r="G442"/>
      <c r="H442">
        <v>1</v>
      </c>
      <c r="I442">
        <v>0</v>
      </c>
      <c r="J442"/>
      <c r="K442"/>
      <c r="L442"/>
      <c r="M442" s="1">
        <v>39813</v>
      </c>
      <c r="N442" t="s">
        <v>102</v>
      </c>
      <c r="O442"/>
      <c r="P442"/>
      <c r="Q442"/>
    </row>
    <row r="443" spans="1:17" x14ac:dyDescent="0.3">
      <c r="A443" t="str">
        <f>"9673"</f>
        <v>9673</v>
      </c>
      <c r="B443">
        <v>49845</v>
      </c>
      <c r="C443">
        <v>1</v>
      </c>
      <c r="D443" t="str">
        <f>"SO"</f>
        <v>SO</v>
      </c>
      <c r="E443"/>
      <c r="F443" s="19">
        <v>39476.447337962964</v>
      </c>
      <c r="G443"/>
      <c r="H443">
        <v>1</v>
      </c>
      <c r="I443">
        <v>0</v>
      </c>
      <c r="J443"/>
      <c r="K443"/>
      <c r="L443"/>
      <c r="M443" s="1">
        <v>39813</v>
      </c>
      <c r="N443" t="s">
        <v>102</v>
      </c>
      <c r="O443"/>
      <c r="P443"/>
      <c r="Q443"/>
    </row>
    <row r="444" spans="1:17" x14ac:dyDescent="0.3">
      <c r="A444" t="str">
        <f>"9650"</f>
        <v>9650</v>
      </c>
      <c r="B444">
        <v>49958</v>
      </c>
      <c r="C444">
        <v>1</v>
      </c>
      <c r="D444" t="str">
        <f>"SO"</f>
        <v>SO</v>
      </c>
      <c r="E444"/>
      <c r="F444" s="19">
        <v>39469.642928240741</v>
      </c>
      <c r="G444"/>
      <c r="H444">
        <v>1</v>
      </c>
      <c r="I444">
        <v>0</v>
      </c>
      <c r="J444"/>
      <c r="K444"/>
      <c r="L444"/>
      <c r="M444" s="1">
        <v>39813</v>
      </c>
      <c r="N444" t="s">
        <v>102</v>
      </c>
      <c r="O444"/>
      <c r="P444"/>
      <c r="Q444"/>
    </row>
    <row r="445" spans="1:17" x14ac:dyDescent="0.3">
      <c r="A445" t="str">
        <f>"9649"</f>
        <v>9649</v>
      </c>
      <c r="B445">
        <v>50071</v>
      </c>
      <c r="C445">
        <v>1</v>
      </c>
      <c r="D445" t="str">
        <f>"SO"</f>
        <v>SO</v>
      </c>
      <c r="E445"/>
      <c r="F445" s="19">
        <v>39469.639351851853</v>
      </c>
      <c r="G445"/>
      <c r="H445">
        <v>1</v>
      </c>
      <c r="I445">
        <v>0</v>
      </c>
      <c r="J445"/>
      <c r="K445"/>
      <c r="L445"/>
      <c r="M445" s="1">
        <v>39813</v>
      </c>
      <c r="N445" t="s">
        <v>102</v>
      </c>
      <c r="O445"/>
      <c r="P445"/>
      <c r="Q445"/>
    </row>
    <row r="446" spans="1:17" x14ac:dyDescent="0.3">
      <c r="A446" t="str">
        <f>"9648"</f>
        <v>9648</v>
      </c>
      <c r="B446">
        <v>50184</v>
      </c>
      <c r="C446">
        <v>1</v>
      </c>
      <c r="D446" t="str">
        <f>"SO"</f>
        <v>SO</v>
      </c>
      <c r="E446"/>
      <c r="F446" s="19">
        <v>39469.63490740741</v>
      </c>
      <c r="G446"/>
      <c r="H446">
        <v>1</v>
      </c>
      <c r="I446">
        <v>0</v>
      </c>
      <c r="J446"/>
      <c r="K446"/>
      <c r="L446"/>
      <c r="M446" s="1">
        <v>39813</v>
      </c>
      <c r="N446" t="s">
        <v>102</v>
      </c>
      <c r="O446"/>
      <c r="P446"/>
      <c r="Q446"/>
    </row>
    <row r="447" spans="1:17" x14ac:dyDescent="0.3">
      <c r="A447" t="str">
        <f>"9647"</f>
        <v>9647</v>
      </c>
      <c r="B447">
        <v>50297</v>
      </c>
      <c r="C447">
        <v>1</v>
      </c>
      <c r="D447" t="str">
        <f>"SO"</f>
        <v>SO</v>
      </c>
      <c r="E447"/>
      <c r="F447" s="19">
        <v>39469.630740740744</v>
      </c>
      <c r="G447"/>
      <c r="H447">
        <v>1</v>
      </c>
      <c r="I447">
        <v>0</v>
      </c>
      <c r="J447"/>
      <c r="K447"/>
      <c r="L447"/>
      <c r="M447" s="1">
        <v>39813</v>
      </c>
      <c r="N447" t="s">
        <v>102</v>
      </c>
      <c r="O447"/>
      <c r="P447"/>
      <c r="Q447"/>
    </row>
    <row r="448" spans="1:17" x14ac:dyDescent="0.3">
      <c r="A448" t="str">
        <f>"9646"</f>
        <v>9646</v>
      </c>
      <c r="B448">
        <v>50410</v>
      </c>
      <c r="C448">
        <v>1</v>
      </c>
      <c r="D448" t="str">
        <f>"SO"</f>
        <v>SO</v>
      </c>
      <c r="E448"/>
      <c r="F448" s="19">
        <v>39469.626157407409</v>
      </c>
      <c r="G448"/>
      <c r="H448">
        <v>1</v>
      </c>
      <c r="I448">
        <v>0</v>
      </c>
      <c r="J448"/>
      <c r="K448"/>
      <c r="L448"/>
      <c r="M448" s="1">
        <v>39813</v>
      </c>
      <c r="N448" t="s">
        <v>102</v>
      </c>
      <c r="O448"/>
      <c r="P448"/>
      <c r="Q448"/>
    </row>
    <row r="449" spans="1:17" x14ac:dyDescent="0.3">
      <c r="A449" t="str">
        <f>"9645"</f>
        <v>9645</v>
      </c>
      <c r="B449">
        <v>50523</v>
      </c>
      <c r="C449">
        <v>1</v>
      </c>
      <c r="D449" t="str">
        <f>"SO"</f>
        <v>SO</v>
      </c>
      <c r="E449"/>
      <c r="F449" s="19">
        <v>39469.590717592589</v>
      </c>
      <c r="G449"/>
      <c r="H449">
        <v>1</v>
      </c>
      <c r="I449">
        <v>0</v>
      </c>
      <c r="J449"/>
      <c r="K449"/>
      <c r="L449"/>
      <c r="M449" s="1">
        <v>39813</v>
      </c>
      <c r="N449" t="s">
        <v>102</v>
      </c>
      <c r="O449"/>
      <c r="P449"/>
      <c r="Q449"/>
    </row>
    <row r="450" spans="1:17" x14ac:dyDescent="0.3">
      <c r="A450" t="str">
        <f>"9644"</f>
        <v>9644</v>
      </c>
      <c r="B450">
        <v>50636</v>
      </c>
      <c r="C450">
        <v>1</v>
      </c>
      <c r="D450" t="str">
        <f>"SO"</f>
        <v>SO</v>
      </c>
      <c r="E450"/>
      <c r="F450" s="19">
        <v>39469.579618055555</v>
      </c>
      <c r="G450"/>
      <c r="H450">
        <v>1</v>
      </c>
      <c r="I450">
        <v>0</v>
      </c>
      <c r="J450"/>
      <c r="K450"/>
      <c r="L450"/>
      <c r="M450" s="1">
        <v>39813</v>
      </c>
      <c r="N450" t="s">
        <v>102</v>
      </c>
      <c r="O450"/>
      <c r="P450"/>
      <c r="Q450"/>
    </row>
    <row r="451" spans="1:17" x14ac:dyDescent="0.3">
      <c r="A451" t="str">
        <f>"9643"</f>
        <v>9643</v>
      </c>
      <c r="B451">
        <v>50749</v>
      </c>
      <c r="C451">
        <v>1</v>
      </c>
      <c r="D451" t="str">
        <f>"SO"</f>
        <v>SO</v>
      </c>
      <c r="E451"/>
      <c r="F451" s="19">
        <v>39469.575370370374</v>
      </c>
      <c r="G451"/>
      <c r="H451">
        <v>1</v>
      </c>
      <c r="I451">
        <v>0</v>
      </c>
      <c r="J451"/>
      <c r="K451"/>
      <c r="L451"/>
      <c r="M451" s="1">
        <v>39813</v>
      </c>
      <c r="N451" t="s">
        <v>102</v>
      </c>
      <c r="O451"/>
      <c r="P451"/>
      <c r="Q451"/>
    </row>
    <row r="452" spans="1:17" x14ac:dyDescent="0.3">
      <c r="A452" t="str">
        <f>"9642"</f>
        <v>9642</v>
      </c>
      <c r="B452">
        <v>50862</v>
      </c>
      <c r="C452">
        <v>1</v>
      </c>
      <c r="D452" t="str">
        <f>"SO"</f>
        <v>SO</v>
      </c>
      <c r="E452"/>
      <c r="F452" s="19">
        <v>39469.568020833336</v>
      </c>
      <c r="G452"/>
      <c r="H452">
        <v>1</v>
      </c>
      <c r="I452">
        <v>0</v>
      </c>
      <c r="J452"/>
      <c r="K452"/>
      <c r="L452"/>
      <c r="M452" s="1">
        <v>39813</v>
      </c>
      <c r="N452" t="s">
        <v>102</v>
      </c>
      <c r="O452"/>
      <c r="P452"/>
      <c r="Q452"/>
    </row>
    <row r="453" spans="1:17" x14ac:dyDescent="0.3">
      <c r="A453" t="str">
        <f>"9641"</f>
        <v>9641</v>
      </c>
      <c r="B453">
        <v>50975</v>
      </c>
      <c r="C453">
        <v>1</v>
      </c>
      <c r="D453" t="str">
        <f>"SO"</f>
        <v>SO</v>
      </c>
      <c r="E453"/>
      <c r="F453" s="19">
        <v>39469.500543981485</v>
      </c>
      <c r="G453"/>
      <c r="H453">
        <v>1</v>
      </c>
      <c r="I453">
        <v>0</v>
      </c>
      <c r="J453"/>
      <c r="K453"/>
      <c r="L453"/>
      <c r="M453" s="1">
        <v>39813</v>
      </c>
      <c r="N453" t="s">
        <v>102</v>
      </c>
      <c r="O453"/>
      <c r="P453"/>
      <c r="Q453"/>
    </row>
    <row r="454" spans="1:17" x14ac:dyDescent="0.3">
      <c r="A454" t="str">
        <f>"9640"</f>
        <v>9640</v>
      </c>
      <c r="B454">
        <v>51088</v>
      </c>
      <c r="C454">
        <v>1</v>
      </c>
      <c r="D454" t="str">
        <f>"SO"</f>
        <v>SO</v>
      </c>
      <c r="E454"/>
      <c r="F454" s="19">
        <v>39469.494837962964</v>
      </c>
      <c r="G454"/>
      <c r="H454">
        <v>1</v>
      </c>
      <c r="I454">
        <v>0</v>
      </c>
      <c r="J454"/>
      <c r="K454"/>
      <c r="L454"/>
      <c r="M454" s="1">
        <v>39813</v>
      </c>
      <c r="N454" t="s">
        <v>102</v>
      </c>
      <c r="O454"/>
      <c r="P454"/>
      <c r="Q454"/>
    </row>
    <row r="455" spans="1:17" x14ac:dyDescent="0.3">
      <c r="A455" t="str">
        <f>"9639"</f>
        <v>9639</v>
      </c>
      <c r="B455">
        <v>51201</v>
      </c>
      <c r="C455">
        <v>1</v>
      </c>
      <c r="D455" t="str">
        <f>"SO"</f>
        <v>SO</v>
      </c>
      <c r="E455"/>
      <c r="F455" s="19">
        <v>39469.490648148145</v>
      </c>
      <c r="G455"/>
      <c r="H455">
        <v>1</v>
      </c>
      <c r="I455">
        <v>0</v>
      </c>
      <c r="J455"/>
      <c r="K455"/>
      <c r="L455"/>
      <c r="M455" s="1">
        <v>39813</v>
      </c>
      <c r="N455" t="s">
        <v>102</v>
      </c>
      <c r="O455"/>
      <c r="P455"/>
      <c r="Q455"/>
    </row>
    <row r="456" spans="1:17" x14ac:dyDescent="0.3">
      <c r="A456" t="str">
        <f>"9638"</f>
        <v>9638</v>
      </c>
      <c r="B456">
        <v>51314</v>
      </c>
      <c r="C456">
        <v>1</v>
      </c>
      <c r="D456" t="str">
        <f>"SO"</f>
        <v>SO</v>
      </c>
      <c r="E456"/>
      <c r="F456" s="19">
        <v>39469.485671296294</v>
      </c>
      <c r="G456"/>
      <c r="H456">
        <v>1</v>
      </c>
      <c r="I456">
        <v>0</v>
      </c>
      <c r="J456"/>
      <c r="K456"/>
      <c r="L456"/>
      <c r="M456" s="1">
        <v>39813</v>
      </c>
      <c r="N456" t="s">
        <v>102</v>
      </c>
      <c r="O456"/>
      <c r="P456"/>
      <c r="Q456"/>
    </row>
    <row r="457" spans="1:17" x14ac:dyDescent="0.3">
      <c r="A457" t="str">
        <f>"9637"</f>
        <v>9637</v>
      </c>
      <c r="B457">
        <v>51427</v>
      </c>
      <c r="C457">
        <v>1</v>
      </c>
      <c r="D457" t="str">
        <f>"SO"</f>
        <v>SO</v>
      </c>
      <c r="E457"/>
      <c r="F457" s="19">
        <v>39469.481377314813</v>
      </c>
      <c r="G457"/>
      <c r="H457">
        <v>1</v>
      </c>
      <c r="I457">
        <v>0</v>
      </c>
      <c r="J457"/>
      <c r="K457"/>
      <c r="L457"/>
      <c r="M457" s="1">
        <v>39813</v>
      </c>
      <c r="N457" t="s">
        <v>102</v>
      </c>
      <c r="O457"/>
      <c r="P457"/>
      <c r="Q457"/>
    </row>
    <row r="458" spans="1:17" x14ac:dyDescent="0.3">
      <c r="A458" t="str">
        <f>"9636"</f>
        <v>9636</v>
      </c>
      <c r="B458">
        <v>51540</v>
      </c>
      <c r="C458">
        <v>1</v>
      </c>
      <c r="D458" t="str">
        <f>"SO"</f>
        <v>SO</v>
      </c>
      <c r="E458"/>
      <c r="F458" s="19">
        <v>39469.471064814818</v>
      </c>
      <c r="G458"/>
      <c r="H458">
        <v>1</v>
      </c>
      <c r="I458">
        <v>0</v>
      </c>
      <c r="J458"/>
      <c r="K458"/>
      <c r="L458"/>
      <c r="M458" s="1">
        <v>39813</v>
      </c>
      <c r="N458" t="s">
        <v>102</v>
      </c>
      <c r="O458"/>
      <c r="P458"/>
      <c r="Q458"/>
    </row>
    <row r="459" spans="1:17" x14ac:dyDescent="0.3">
      <c r="A459" t="str">
        <f>"9635"</f>
        <v>9635</v>
      </c>
      <c r="B459">
        <v>51653</v>
      </c>
      <c r="C459">
        <v>1</v>
      </c>
      <c r="D459" t="str">
        <f>"SO"</f>
        <v>SO</v>
      </c>
      <c r="E459"/>
      <c r="F459" s="19">
        <v>39469.46638888889</v>
      </c>
      <c r="G459"/>
      <c r="H459">
        <v>1</v>
      </c>
      <c r="I459">
        <v>0</v>
      </c>
      <c r="J459"/>
      <c r="K459"/>
      <c r="L459"/>
      <c r="M459" s="1">
        <v>39813</v>
      </c>
      <c r="N459" t="s">
        <v>102</v>
      </c>
      <c r="O459"/>
      <c r="P459"/>
      <c r="Q459"/>
    </row>
    <row r="460" spans="1:17" x14ac:dyDescent="0.3">
      <c r="A460" t="str">
        <f>"9634"</f>
        <v>9634</v>
      </c>
      <c r="B460">
        <v>51766</v>
      </c>
      <c r="C460">
        <v>1</v>
      </c>
      <c r="D460" t="str">
        <f>"SO"</f>
        <v>SO</v>
      </c>
      <c r="E460"/>
      <c r="F460" s="19">
        <v>39469.461793981478</v>
      </c>
      <c r="G460"/>
      <c r="H460">
        <v>1</v>
      </c>
      <c r="I460">
        <v>0</v>
      </c>
      <c r="J460"/>
      <c r="K460"/>
      <c r="L460"/>
      <c r="M460" s="1">
        <v>39813</v>
      </c>
      <c r="N460" t="s">
        <v>102</v>
      </c>
      <c r="O460"/>
      <c r="P460"/>
      <c r="Q460"/>
    </row>
    <row r="461" spans="1:17" x14ac:dyDescent="0.3">
      <c r="A461" t="str">
        <f>"9633"</f>
        <v>9633</v>
      </c>
      <c r="B461">
        <v>51879</v>
      </c>
      <c r="C461">
        <v>1</v>
      </c>
      <c r="D461" t="str">
        <f>"SO"</f>
        <v>SO</v>
      </c>
      <c r="E461"/>
      <c r="F461" s="19">
        <v>39469.456608796296</v>
      </c>
      <c r="G461"/>
      <c r="H461">
        <v>1</v>
      </c>
      <c r="I461">
        <v>0</v>
      </c>
      <c r="J461"/>
      <c r="K461"/>
      <c r="L461"/>
      <c r="M461" s="1">
        <v>39813</v>
      </c>
      <c r="N461" t="s">
        <v>102</v>
      </c>
      <c r="O461"/>
      <c r="P461"/>
      <c r="Q461"/>
    </row>
    <row r="462" spans="1:17" x14ac:dyDescent="0.3">
      <c r="A462" t="str">
        <f>"9632"</f>
        <v>9632</v>
      </c>
      <c r="B462">
        <v>51992</v>
      </c>
      <c r="C462">
        <v>1</v>
      </c>
      <c r="D462" t="str">
        <f>"SO"</f>
        <v>SO</v>
      </c>
      <c r="E462"/>
      <c r="F462" s="19">
        <v>39469.452222222222</v>
      </c>
      <c r="G462"/>
      <c r="H462">
        <v>1</v>
      </c>
      <c r="I462">
        <v>0</v>
      </c>
      <c r="J462"/>
      <c r="K462"/>
      <c r="L462"/>
      <c r="M462" s="1">
        <v>39813</v>
      </c>
      <c r="N462" t="s">
        <v>102</v>
      </c>
      <c r="O462"/>
      <c r="P462"/>
      <c r="Q462"/>
    </row>
    <row r="463" spans="1:17" x14ac:dyDescent="0.3">
      <c r="A463" t="str">
        <f>"9631"</f>
        <v>9631</v>
      </c>
      <c r="B463">
        <v>52105</v>
      </c>
      <c r="C463">
        <v>1</v>
      </c>
      <c r="D463" t="str">
        <f>"SO"</f>
        <v>SO</v>
      </c>
      <c r="E463"/>
      <c r="F463" s="19">
        <v>39469.445243055554</v>
      </c>
      <c r="G463"/>
      <c r="H463">
        <v>1</v>
      </c>
      <c r="I463">
        <v>0</v>
      </c>
      <c r="J463"/>
      <c r="K463"/>
      <c r="L463"/>
      <c r="M463" s="1">
        <v>39813</v>
      </c>
      <c r="N463" t="s">
        <v>102</v>
      </c>
      <c r="O463"/>
      <c r="P463"/>
      <c r="Q463"/>
    </row>
    <row r="464" spans="1:17" x14ac:dyDescent="0.3">
      <c r="A464" t="str">
        <f>"9630"</f>
        <v>9630</v>
      </c>
      <c r="B464">
        <v>52218</v>
      </c>
      <c r="C464">
        <v>1</v>
      </c>
      <c r="D464" t="str">
        <f>"SO"</f>
        <v>SO</v>
      </c>
      <c r="E464"/>
      <c r="F464" s="19">
        <v>39469.440775462965</v>
      </c>
      <c r="G464"/>
      <c r="H464">
        <v>1</v>
      </c>
      <c r="I464">
        <v>0</v>
      </c>
      <c r="J464"/>
      <c r="K464"/>
      <c r="L464"/>
      <c r="M464" s="1">
        <v>39813</v>
      </c>
      <c r="N464" t="s">
        <v>102</v>
      </c>
      <c r="O464"/>
      <c r="P464"/>
      <c r="Q464"/>
    </row>
    <row r="465" spans="1:17" x14ac:dyDescent="0.3">
      <c r="A465" t="str">
        <f>"9628"</f>
        <v>9628</v>
      </c>
      <c r="B465">
        <v>52331</v>
      </c>
      <c r="C465">
        <v>1</v>
      </c>
      <c r="D465" t="str">
        <f>"SO"</f>
        <v>SO</v>
      </c>
      <c r="E465"/>
      <c r="F465" s="19">
        <v>39469.404537037037</v>
      </c>
      <c r="G465"/>
      <c r="H465">
        <v>1</v>
      </c>
      <c r="I465">
        <v>0</v>
      </c>
      <c r="J465"/>
      <c r="K465"/>
      <c r="L465"/>
      <c r="M465" s="1">
        <v>39813</v>
      </c>
      <c r="N465" t="s">
        <v>102</v>
      </c>
      <c r="O465"/>
      <c r="P465"/>
      <c r="Q465"/>
    </row>
    <row r="466" spans="1:17" x14ac:dyDescent="0.3">
      <c r="A466" t="str">
        <f>"9621"</f>
        <v>9621</v>
      </c>
      <c r="B466">
        <v>52444</v>
      </c>
      <c r="C466">
        <v>1</v>
      </c>
      <c r="D466" t="str">
        <f>"SO"</f>
        <v>SO</v>
      </c>
      <c r="E466"/>
      <c r="F466" s="19">
        <v>39464.484375</v>
      </c>
      <c r="G466"/>
      <c r="H466">
        <v>1</v>
      </c>
      <c r="I466">
        <v>0</v>
      </c>
      <c r="J466"/>
      <c r="K466"/>
      <c r="L466"/>
      <c r="M466" s="1">
        <v>39813</v>
      </c>
      <c r="N466" t="s">
        <v>102</v>
      </c>
      <c r="O466"/>
      <c r="P466"/>
      <c r="Q466"/>
    </row>
    <row r="467" spans="1:17" x14ac:dyDescent="0.3">
      <c r="A467" t="str">
        <f>"9620"</f>
        <v>9620</v>
      </c>
      <c r="B467">
        <v>52557</v>
      </c>
      <c r="C467">
        <v>1</v>
      </c>
      <c r="D467" t="str">
        <f>"SO"</f>
        <v>SO</v>
      </c>
      <c r="E467"/>
      <c r="F467" s="19">
        <v>39464.450532407405</v>
      </c>
      <c r="G467"/>
      <c r="H467">
        <v>1</v>
      </c>
      <c r="I467">
        <v>0</v>
      </c>
      <c r="J467"/>
      <c r="K467"/>
      <c r="L467"/>
      <c r="M467" s="1">
        <v>39813</v>
      </c>
      <c r="N467" t="s">
        <v>102</v>
      </c>
      <c r="O467"/>
      <c r="P467"/>
      <c r="Q467"/>
    </row>
    <row r="468" spans="1:17" x14ac:dyDescent="0.3">
      <c r="A468" t="str">
        <f>"9619"</f>
        <v>9619</v>
      </c>
      <c r="B468">
        <v>52670</v>
      </c>
      <c r="C468">
        <v>1</v>
      </c>
      <c r="D468" t="str">
        <f>"SO"</f>
        <v>SO</v>
      </c>
      <c r="E468"/>
      <c r="F468" s="19">
        <v>39464.443935185183</v>
      </c>
      <c r="G468"/>
      <c r="H468">
        <v>1</v>
      </c>
      <c r="I468">
        <v>0</v>
      </c>
      <c r="J468"/>
      <c r="K468"/>
      <c r="L468"/>
      <c r="M468" s="1">
        <v>39813</v>
      </c>
      <c r="N468" t="s">
        <v>102</v>
      </c>
      <c r="O468"/>
      <c r="P468"/>
      <c r="Q468"/>
    </row>
    <row r="469" spans="1:17" x14ac:dyDescent="0.3">
      <c r="A469" t="str">
        <f>"9618"</f>
        <v>9618</v>
      </c>
      <c r="B469">
        <v>52783</v>
      </c>
      <c r="C469">
        <v>1</v>
      </c>
      <c r="D469" t="str">
        <f>"SO"</f>
        <v>SO</v>
      </c>
      <c r="E469"/>
      <c r="F469" s="19">
        <v>39464.439085648148</v>
      </c>
      <c r="G469"/>
      <c r="H469">
        <v>1</v>
      </c>
      <c r="I469">
        <v>0</v>
      </c>
      <c r="J469"/>
      <c r="K469"/>
      <c r="L469"/>
      <c r="M469" s="1">
        <v>39813</v>
      </c>
      <c r="N469" t="s">
        <v>102</v>
      </c>
      <c r="O469"/>
      <c r="P469"/>
      <c r="Q469"/>
    </row>
    <row r="470" spans="1:17" x14ac:dyDescent="0.3">
      <c r="A470" t="str">
        <f>"9617"</f>
        <v>9617</v>
      </c>
      <c r="B470">
        <v>52896</v>
      </c>
      <c r="C470">
        <v>1</v>
      </c>
      <c r="D470" t="str">
        <f>"SO"</f>
        <v>SO</v>
      </c>
      <c r="E470"/>
      <c r="F470" s="19">
        <v>39464.433738425927</v>
      </c>
      <c r="G470"/>
      <c r="H470">
        <v>1</v>
      </c>
      <c r="I470">
        <v>0</v>
      </c>
      <c r="J470"/>
      <c r="K470"/>
      <c r="L470"/>
      <c r="M470" s="1">
        <v>39813</v>
      </c>
      <c r="N470" t="s">
        <v>102</v>
      </c>
      <c r="O470"/>
      <c r="P470"/>
      <c r="Q470"/>
    </row>
    <row r="471" spans="1:17" x14ac:dyDescent="0.3">
      <c r="A471" t="str">
        <f>"9616"</f>
        <v>9616</v>
      </c>
      <c r="B471">
        <v>53009</v>
      </c>
      <c r="C471">
        <v>1</v>
      </c>
      <c r="D471" t="str">
        <f>"SO"</f>
        <v>SO</v>
      </c>
      <c r="E471"/>
      <c r="F471" s="19">
        <v>39464.426377314812</v>
      </c>
      <c r="G471"/>
      <c r="H471">
        <v>1</v>
      </c>
      <c r="I471">
        <v>0</v>
      </c>
      <c r="J471"/>
      <c r="K471"/>
      <c r="L471"/>
      <c r="M471" s="1">
        <v>39813</v>
      </c>
      <c r="N471" t="s">
        <v>102</v>
      </c>
      <c r="O471"/>
      <c r="P471"/>
      <c r="Q471"/>
    </row>
    <row r="472" spans="1:17" x14ac:dyDescent="0.3">
      <c r="A472" t="str">
        <f>"9614"</f>
        <v>9614</v>
      </c>
      <c r="B472">
        <v>53122</v>
      </c>
      <c r="C472">
        <v>1</v>
      </c>
      <c r="D472" t="str">
        <f>"SO"</f>
        <v>SO</v>
      </c>
      <c r="E472"/>
      <c r="F472" s="19">
        <v>39464.312430555554</v>
      </c>
      <c r="G472"/>
      <c r="H472">
        <v>1</v>
      </c>
      <c r="I472">
        <v>0</v>
      </c>
      <c r="J472"/>
      <c r="K472"/>
      <c r="L472"/>
      <c r="M472" s="1">
        <v>39813</v>
      </c>
      <c r="N472" t="s">
        <v>102</v>
      </c>
      <c r="O472"/>
      <c r="P472"/>
      <c r="Q472"/>
    </row>
    <row r="473" spans="1:17" x14ac:dyDescent="0.3">
      <c r="A473" t="str">
        <f>"9591"</f>
        <v>9591</v>
      </c>
      <c r="B473">
        <v>53235</v>
      </c>
      <c r="C473">
        <v>1</v>
      </c>
      <c r="D473" t="str">
        <f>"SO"</f>
        <v>SO</v>
      </c>
      <c r="E473"/>
      <c r="F473" s="19">
        <v>39455.58761574074</v>
      </c>
      <c r="G473"/>
      <c r="H473">
        <v>1</v>
      </c>
      <c r="I473">
        <v>0</v>
      </c>
      <c r="J473"/>
      <c r="K473"/>
      <c r="L473"/>
      <c r="M473" s="1">
        <v>39813</v>
      </c>
      <c r="N473" t="s">
        <v>102</v>
      </c>
      <c r="O473"/>
      <c r="P473"/>
      <c r="Q473"/>
    </row>
    <row r="474" spans="1:17" x14ac:dyDescent="0.3">
      <c r="A474" t="str">
        <f>"9498"</f>
        <v>9498</v>
      </c>
      <c r="B474">
        <v>53348</v>
      </c>
      <c r="C474">
        <v>6</v>
      </c>
      <c r="D474" t="str">
        <f>"SO"</f>
        <v>SO</v>
      </c>
      <c r="E474"/>
      <c r="F474" s="19">
        <v>39419.65079861111</v>
      </c>
      <c r="G474"/>
      <c r="H474">
        <v>2</v>
      </c>
      <c r="I474">
        <v>0</v>
      </c>
      <c r="J474"/>
      <c r="K474"/>
      <c r="L474"/>
      <c r="M474" s="1">
        <v>39535</v>
      </c>
      <c r="N474" t="s">
        <v>102</v>
      </c>
      <c r="O474"/>
      <c r="P474"/>
      <c r="Q474"/>
    </row>
    <row r="475" spans="1:17" x14ac:dyDescent="0.3">
      <c r="A475" t="str">
        <f>"9498"</f>
        <v>9498</v>
      </c>
      <c r="B475">
        <v>53461</v>
      </c>
      <c r="C475">
        <v>7</v>
      </c>
      <c r="D475" t="str">
        <f>"SO"</f>
        <v>SO</v>
      </c>
      <c r="E475"/>
      <c r="F475" s="19">
        <v>39419.65079861111</v>
      </c>
      <c r="G475"/>
      <c r="H475">
        <v>4</v>
      </c>
      <c r="I475">
        <v>0</v>
      </c>
      <c r="J475"/>
      <c r="K475"/>
      <c r="L475"/>
      <c r="M475" s="1">
        <v>39535</v>
      </c>
      <c r="N475" t="s">
        <v>102</v>
      </c>
      <c r="O475"/>
      <c r="P475"/>
      <c r="Q475"/>
    </row>
    <row r="476" spans="1:17" x14ac:dyDescent="0.3">
      <c r="A476" t="str">
        <f>"9472"</f>
        <v>9472</v>
      </c>
      <c r="B476">
        <v>53574</v>
      </c>
      <c r="C476">
        <v>1</v>
      </c>
      <c r="D476" t="str">
        <f>"SO"</f>
        <v>SO</v>
      </c>
      <c r="E476"/>
      <c r="F476" s="19">
        <v>39413.319872685184</v>
      </c>
      <c r="G476"/>
      <c r="H476">
        <v>10</v>
      </c>
      <c r="I476">
        <v>0</v>
      </c>
      <c r="J476"/>
      <c r="K476"/>
      <c r="L476"/>
      <c r="M476" s="1">
        <v>39430</v>
      </c>
      <c r="N476" t="s">
        <v>102</v>
      </c>
      <c r="O476"/>
      <c r="P476"/>
      <c r="Q476"/>
    </row>
    <row r="477" spans="1:17" x14ac:dyDescent="0.3">
      <c r="A477" t="str">
        <f>"9471"</f>
        <v>9471</v>
      </c>
      <c r="B477">
        <v>53687</v>
      </c>
      <c r="C477">
        <v>1</v>
      </c>
      <c r="D477" t="str">
        <f>"SO"</f>
        <v>SO</v>
      </c>
      <c r="E477"/>
      <c r="F477" s="19">
        <v>39413.310613425929</v>
      </c>
      <c r="G477"/>
      <c r="H477">
        <v>10</v>
      </c>
      <c r="I477">
        <v>0</v>
      </c>
      <c r="J477"/>
      <c r="K477"/>
      <c r="L477"/>
      <c r="M477" s="1">
        <v>39472</v>
      </c>
      <c r="N477" t="s">
        <v>102</v>
      </c>
      <c r="O477"/>
      <c r="P477"/>
      <c r="Q477"/>
    </row>
    <row r="478" spans="1:17" x14ac:dyDescent="0.3">
      <c r="A478" t="str">
        <f>"9459"</f>
        <v>9459</v>
      </c>
      <c r="B478">
        <v>53800</v>
      </c>
      <c r="C478">
        <v>2</v>
      </c>
      <c r="D478" t="str">
        <f>"SO"</f>
        <v>SO</v>
      </c>
      <c r="E478"/>
      <c r="F478" s="19">
        <v>39409.338761574072</v>
      </c>
      <c r="G478"/>
      <c r="H478">
        <v>1</v>
      </c>
      <c r="I478">
        <v>0</v>
      </c>
      <c r="J478"/>
      <c r="K478"/>
      <c r="L478"/>
      <c r="M478" s="1">
        <v>39437</v>
      </c>
      <c r="N478" t="s">
        <v>102</v>
      </c>
      <c r="O478"/>
      <c r="P478"/>
      <c r="Q478"/>
    </row>
    <row r="479" spans="1:17" x14ac:dyDescent="0.3">
      <c r="A479" t="str">
        <f>"9430"</f>
        <v>9430</v>
      </c>
      <c r="B479">
        <v>53913</v>
      </c>
      <c r="C479">
        <v>2</v>
      </c>
      <c r="D479" t="str">
        <f>"SO"</f>
        <v>SO</v>
      </c>
      <c r="E479"/>
      <c r="F479" s="19">
        <v>39454.435740740744</v>
      </c>
      <c r="G479"/>
      <c r="H479">
        <v>1</v>
      </c>
      <c r="I479">
        <v>0</v>
      </c>
      <c r="J479"/>
      <c r="K479"/>
      <c r="L479"/>
      <c r="M479" s="1">
        <v>39437</v>
      </c>
      <c r="N479" t="s">
        <v>102</v>
      </c>
      <c r="O479"/>
      <c r="P479"/>
      <c r="Q479"/>
    </row>
    <row r="480" spans="1:17" x14ac:dyDescent="0.3">
      <c r="A480" t="str">
        <f>"9403"</f>
        <v>9403</v>
      </c>
      <c r="B480">
        <v>54026</v>
      </c>
      <c r="C480">
        <v>1</v>
      </c>
      <c r="D480" t="str">
        <f>"SO"</f>
        <v>SO</v>
      </c>
      <c r="E480"/>
      <c r="F480" s="19">
        <v>39386.310949074075</v>
      </c>
      <c r="G480"/>
      <c r="H480">
        <v>30</v>
      </c>
      <c r="I480">
        <v>0</v>
      </c>
      <c r="J480"/>
      <c r="K480"/>
      <c r="L480"/>
      <c r="M480"/>
      <c r="N480" t="s">
        <v>102</v>
      </c>
      <c r="O480"/>
      <c r="P480"/>
      <c r="Q480"/>
    </row>
    <row r="481" spans="1:17" x14ac:dyDescent="0.3">
      <c r="A481" t="str">
        <f>"9394"</f>
        <v>9394</v>
      </c>
      <c r="B481">
        <v>54139</v>
      </c>
      <c r="C481">
        <v>1</v>
      </c>
      <c r="D481" t="str">
        <f>"SO"</f>
        <v>SO</v>
      </c>
      <c r="E481"/>
      <c r="F481" s="19">
        <v>39385.650949074072</v>
      </c>
      <c r="G481"/>
      <c r="H481">
        <v>4</v>
      </c>
      <c r="I481">
        <v>0</v>
      </c>
      <c r="J481"/>
      <c r="K481"/>
      <c r="L481"/>
      <c r="M481"/>
      <c r="N481" t="s">
        <v>102</v>
      </c>
      <c r="O481"/>
      <c r="P481"/>
      <c r="Q481"/>
    </row>
    <row r="482" spans="1:17" x14ac:dyDescent="0.3">
      <c r="A482" t="str">
        <f>"9374"</f>
        <v>9374</v>
      </c>
      <c r="B482">
        <v>54252</v>
      </c>
      <c r="C482">
        <v>1</v>
      </c>
      <c r="D482" t="str">
        <f>"SO"</f>
        <v>SO</v>
      </c>
      <c r="E482"/>
      <c r="F482" s="19">
        <v>39380.667881944442</v>
      </c>
      <c r="G482"/>
      <c r="H482">
        <v>3</v>
      </c>
      <c r="I482">
        <v>0</v>
      </c>
      <c r="J482"/>
      <c r="K482"/>
      <c r="L482"/>
      <c r="M482"/>
      <c r="N482" t="s">
        <v>102</v>
      </c>
      <c r="O482"/>
      <c r="P482"/>
      <c r="Q482"/>
    </row>
    <row r="483" spans="1:17" x14ac:dyDescent="0.3">
      <c r="A483" t="str">
        <f>"9327"</f>
        <v>9327</v>
      </c>
      <c r="B483">
        <v>54365</v>
      </c>
      <c r="C483">
        <v>2</v>
      </c>
      <c r="D483" t="str">
        <f>"SO"</f>
        <v>SO</v>
      </c>
      <c r="E483"/>
      <c r="F483" s="19">
        <v>39366.493298611109</v>
      </c>
      <c r="G483"/>
      <c r="H483">
        <v>1</v>
      </c>
      <c r="I483">
        <v>0</v>
      </c>
      <c r="J483"/>
      <c r="K483"/>
      <c r="L483"/>
      <c r="M483"/>
      <c r="N483" t="s">
        <v>102</v>
      </c>
      <c r="O483"/>
      <c r="P483"/>
      <c r="Q483"/>
    </row>
    <row r="484" spans="1:17" x14ac:dyDescent="0.3">
      <c r="A484" t="str">
        <f>"9267"</f>
        <v>9267</v>
      </c>
      <c r="B484">
        <v>54478</v>
      </c>
      <c r="C484">
        <v>1</v>
      </c>
      <c r="D484" t="str">
        <f>"AN"</f>
        <v>AN</v>
      </c>
      <c r="E484"/>
      <c r="F484" s="19">
        <v>39353.372511574074</v>
      </c>
      <c r="G484"/>
      <c r="H484">
        <v>55</v>
      </c>
      <c r="I484">
        <v>0</v>
      </c>
      <c r="J484"/>
      <c r="K484"/>
      <c r="L484"/>
      <c r="M484"/>
      <c r="N484" t="s">
        <v>102</v>
      </c>
      <c r="O484"/>
      <c r="P484"/>
      <c r="Q484"/>
    </row>
    <row r="485" spans="1:17" x14ac:dyDescent="0.3">
      <c r="A485" t="str">
        <f>"9267"</f>
        <v>9267</v>
      </c>
      <c r="B485">
        <v>54591</v>
      </c>
      <c r="C485">
        <v>2</v>
      </c>
      <c r="D485" t="str">
        <f>"AN"</f>
        <v>AN</v>
      </c>
      <c r="E485"/>
      <c r="F485" s="19">
        <v>39353.372511574074</v>
      </c>
      <c r="G485"/>
      <c r="H485">
        <v>200</v>
      </c>
      <c r="I485">
        <v>0</v>
      </c>
      <c r="J485"/>
      <c r="K485"/>
      <c r="L485"/>
      <c r="M485"/>
      <c r="N485" t="s">
        <v>102</v>
      </c>
      <c r="O485"/>
      <c r="P485"/>
      <c r="Q485"/>
    </row>
    <row r="486" spans="1:17" x14ac:dyDescent="0.3">
      <c r="A486" t="str">
        <f>"9267"</f>
        <v>9267</v>
      </c>
      <c r="B486">
        <v>54704</v>
      </c>
      <c r="C486">
        <v>3</v>
      </c>
      <c r="D486" t="str">
        <f>"AN"</f>
        <v>AN</v>
      </c>
      <c r="E486"/>
      <c r="F486" s="19">
        <v>39353.372511574074</v>
      </c>
      <c r="G486"/>
      <c r="H486">
        <v>60</v>
      </c>
      <c r="I486">
        <v>0</v>
      </c>
      <c r="J486"/>
      <c r="K486"/>
      <c r="L486"/>
      <c r="M486"/>
      <c r="N486" t="s">
        <v>102</v>
      </c>
      <c r="O486"/>
      <c r="P486"/>
      <c r="Q486"/>
    </row>
    <row r="487" spans="1:17" x14ac:dyDescent="0.3">
      <c r="A487" t="str">
        <f>"9238"</f>
        <v>9238</v>
      </c>
      <c r="B487">
        <v>54817</v>
      </c>
      <c r="C487">
        <v>1</v>
      </c>
      <c r="D487" t="str">
        <f>"AN"</f>
        <v>AN</v>
      </c>
      <c r="E487"/>
      <c r="F487" s="19">
        <v>39344.584988425922</v>
      </c>
      <c r="G487"/>
      <c r="H487">
        <v>1</v>
      </c>
      <c r="I487">
        <v>0</v>
      </c>
      <c r="J487"/>
      <c r="K487"/>
      <c r="L487"/>
      <c r="M487"/>
      <c r="N487" t="s">
        <v>102</v>
      </c>
      <c r="O487"/>
      <c r="P487"/>
      <c r="Q487"/>
    </row>
    <row r="488" spans="1:17" x14ac:dyDescent="0.3">
      <c r="A488" t="str">
        <f>"9238"</f>
        <v>9238</v>
      </c>
      <c r="B488">
        <v>54930</v>
      </c>
      <c r="C488">
        <v>2</v>
      </c>
      <c r="D488" t="str">
        <f>"AN"</f>
        <v>AN</v>
      </c>
      <c r="E488"/>
      <c r="F488" s="19">
        <v>39344.584988425922</v>
      </c>
      <c r="G488"/>
      <c r="H488">
        <v>1</v>
      </c>
      <c r="I488">
        <v>0</v>
      </c>
      <c r="J488"/>
      <c r="K488"/>
      <c r="L488"/>
      <c r="M488"/>
      <c r="N488" t="s">
        <v>102</v>
      </c>
      <c r="O488"/>
      <c r="P488"/>
      <c r="Q488"/>
    </row>
    <row r="489" spans="1:17" x14ac:dyDescent="0.3">
      <c r="A489" t="str">
        <f>"9229"</f>
        <v>9229</v>
      </c>
      <c r="B489">
        <v>55043</v>
      </c>
      <c r="C489">
        <v>1</v>
      </c>
      <c r="D489" t="str">
        <f>"AN"</f>
        <v>AN</v>
      </c>
      <c r="E489"/>
      <c r="F489" s="19">
        <v>39339.57503472222</v>
      </c>
      <c r="G489"/>
      <c r="H489">
        <v>1</v>
      </c>
      <c r="I489">
        <v>0</v>
      </c>
      <c r="J489"/>
      <c r="K489"/>
      <c r="L489"/>
      <c r="M489"/>
      <c r="N489" t="s">
        <v>102</v>
      </c>
      <c r="O489"/>
      <c r="P489"/>
      <c r="Q489"/>
    </row>
    <row r="490" spans="1:17" x14ac:dyDescent="0.3">
      <c r="A490" t="str">
        <f>"9000"</f>
        <v>9000</v>
      </c>
      <c r="B490">
        <v>55156</v>
      </c>
      <c r="C490">
        <v>1</v>
      </c>
      <c r="D490" t="str">
        <f>" "</f>
        <v xml:space="preserve"> </v>
      </c>
      <c r="E490"/>
      <c r="F490" s="19">
        <v>41971.3127662037</v>
      </c>
      <c r="G490"/>
      <c r="H490">
        <v>1</v>
      </c>
      <c r="I490">
        <v>0</v>
      </c>
      <c r="J490"/>
      <c r="K490"/>
      <c r="L490"/>
      <c r="M490" s="1">
        <v>41971</v>
      </c>
      <c r="N490" t="s">
        <v>102</v>
      </c>
      <c r="O490"/>
      <c r="P490"/>
      <c r="Q490"/>
    </row>
    <row r="491" spans="1:17" x14ac:dyDescent="0.3">
      <c r="A491" t="str">
        <f>"40000"</f>
        <v>40000</v>
      </c>
      <c r="B491">
        <v>55269</v>
      </c>
      <c r="C491">
        <v>1</v>
      </c>
      <c r="D491" t="str">
        <f>"SO"</f>
        <v>SO</v>
      </c>
      <c r="E491"/>
      <c r="F491" s="19">
        <v>41730.417037037034</v>
      </c>
      <c r="G491"/>
      <c r="H491">
        <v>1</v>
      </c>
      <c r="I491">
        <v>0</v>
      </c>
      <c r="J491"/>
      <c r="K491"/>
      <c r="L491"/>
      <c r="M491" s="1">
        <v>41730</v>
      </c>
      <c r="N491" t="s">
        <v>102</v>
      </c>
      <c r="O491"/>
      <c r="P491"/>
      <c r="Q491"/>
    </row>
    <row r="492" spans="1:17" x14ac:dyDescent="0.3">
      <c r="A492" t="str">
        <f>"16995"</f>
        <v>16995</v>
      </c>
      <c r="B492">
        <v>55382</v>
      </c>
      <c r="C492">
        <v>1</v>
      </c>
      <c r="D492" t="str">
        <f>" "</f>
        <v xml:space="preserve"> </v>
      </c>
      <c r="E492"/>
      <c r="F492" s="19">
        <v>42514.597372685188</v>
      </c>
      <c r="G492"/>
      <c r="H492">
        <v>1</v>
      </c>
      <c r="I492">
        <v>0</v>
      </c>
      <c r="J492"/>
      <c r="K492"/>
      <c r="L492"/>
      <c r="M492" s="1">
        <v>42517</v>
      </c>
      <c r="N492" t="s">
        <v>102</v>
      </c>
      <c r="O492"/>
      <c r="P492"/>
      <c r="Q492"/>
    </row>
    <row r="493" spans="1:17" x14ac:dyDescent="0.3">
      <c r="A493" t="str">
        <f>"16994"</f>
        <v>16994</v>
      </c>
      <c r="B493">
        <v>55495</v>
      </c>
      <c r="C493">
        <v>1</v>
      </c>
      <c r="D493" t="str">
        <f>" "</f>
        <v xml:space="preserve"> </v>
      </c>
      <c r="E493"/>
      <c r="F493" s="19">
        <v>42514.577662037038</v>
      </c>
      <c r="G493"/>
      <c r="H493">
        <v>3</v>
      </c>
      <c r="I493">
        <v>0</v>
      </c>
      <c r="J493"/>
      <c r="K493"/>
      <c r="L493"/>
      <c r="M493" s="1">
        <v>42534</v>
      </c>
      <c r="N493" t="s">
        <v>102</v>
      </c>
      <c r="O493"/>
      <c r="P493"/>
      <c r="Q493"/>
    </row>
    <row r="494" spans="1:17" x14ac:dyDescent="0.3">
      <c r="A494" t="str">
        <f>"16993"</f>
        <v>16993</v>
      </c>
      <c r="B494">
        <v>55608</v>
      </c>
      <c r="C494">
        <v>1</v>
      </c>
      <c r="D494" t="str">
        <f>" "</f>
        <v xml:space="preserve"> </v>
      </c>
      <c r="E494"/>
      <c r="F494" s="19">
        <v>42514.347766203704</v>
      </c>
      <c r="G494"/>
      <c r="H494">
        <v>1</v>
      </c>
      <c r="I494">
        <v>0</v>
      </c>
      <c r="J494"/>
      <c r="K494"/>
      <c r="L494"/>
      <c r="M494" s="1">
        <v>42542</v>
      </c>
      <c r="N494" t="s">
        <v>102</v>
      </c>
      <c r="O494"/>
      <c r="P494"/>
      <c r="Q494"/>
    </row>
    <row r="495" spans="1:17" x14ac:dyDescent="0.3">
      <c r="A495" t="str">
        <f>"16992"</f>
        <v>16992</v>
      </c>
      <c r="B495">
        <v>55721</v>
      </c>
      <c r="C495">
        <v>1</v>
      </c>
      <c r="D495" t="str">
        <f>" "</f>
        <v xml:space="preserve"> </v>
      </c>
      <c r="E495"/>
      <c r="F495" s="19">
        <v>42513.444490740738</v>
      </c>
      <c r="G495"/>
      <c r="H495">
        <v>3</v>
      </c>
      <c r="I495">
        <v>0</v>
      </c>
      <c r="J495"/>
      <c r="K495"/>
      <c r="L495"/>
      <c r="M495" s="1">
        <v>42552</v>
      </c>
      <c r="N495" t="s">
        <v>102</v>
      </c>
      <c r="O495"/>
      <c r="P495"/>
      <c r="Q495"/>
    </row>
    <row r="496" spans="1:17" x14ac:dyDescent="0.3">
      <c r="A496" t="str">
        <f>"16992"</f>
        <v>16992</v>
      </c>
      <c r="B496">
        <v>55834</v>
      </c>
      <c r="C496">
        <v>2</v>
      </c>
      <c r="D496" t="str">
        <f>" "</f>
        <v xml:space="preserve"> </v>
      </c>
      <c r="E496"/>
      <c r="F496" s="19">
        <v>42513.444490740738</v>
      </c>
      <c r="G496"/>
      <c r="H496">
        <v>1</v>
      </c>
      <c r="I496">
        <v>0</v>
      </c>
      <c r="J496"/>
      <c r="K496"/>
      <c r="L496"/>
      <c r="M496" s="1">
        <v>42552</v>
      </c>
      <c r="N496" t="s">
        <v>102</v>
      </c>
      <c r="O496"/>
      <c r="P496"/>
      <c r="Q496"/>
    </row>
    <row r="497" spans="1:17" x14ac:dyDescent="0.3">
      <c r="A497" t="str">
        <f>"16992"</f>
        <v>16992</v>
      </c>
      <c r="B497">
        <v>55947</v>
      </c>
      <c r="C497">
        <v>3</v>
      </c>
      <c r="D497" t="str">
        <f>" "</f>
        <v xml:space="preserve"> </v>
      </c>
      <c r="E497"/>
      <c r="F497" s="19">
        <v>42513.444490740738</v>
      </c>
      <c r="G497"/>
      <c r="H497">
        <v>3</v>
      </c>
      <c r="I497">
        <v>0</v>
      </c>
      <c r="J497"/>
      <c r="K497"/>
      <c r="L497"/>
      <c r="M497" s="1">
        <v>42552</v>
      </c>
      <c r="N497" t="s">
        <v>102</v>
      </c>
      <c r="O497"/>
      <c r="P497"/>
      <c r="Q497"/>
    </row>
    <row r="498" spans="1:17" x14ac:dyDescent="0.3">
      <c r="A498" t="str">
        <f>"16991"</f>
        <v>16991</v>
      </c>
      <c r="B498">
        <v>56060</v>
      </c>
      <c r="C498">
        <v>1</v>
      </c>
      <c r="D498" t="str">
        <f>" "</f>
        <v xml:space="preserve"> </v>
      </c>
      <c r="E498"/>
      <c r="F498" s="19">
        <v>42513.329965277779</v>
      </c>
      <c r="G498"/>
      <c r="H498">
        <v>1</v>
      </c>
      <c r="I498">
        <v>0</v>
      </c>
      <c r="J498"/>
      <c r="K498"/>
      <c r="L498"/>
      <c r="M498" s="1">
        <v>42531</v>
      </c>
      <c r="N498" t="s">
        <v>102</v>
      </c>
      <c r="O498"/>
      <c r="P498"/>
      <c r="Q498"/>
    </row>
    <row r="499" spans="1:17" x14ac:dyDescent="0.3">
      <c r="A499" t="str">
        <f>"16991"</f>
        <v>16991</v>
      </c>
      <c r="B499">
        <v>56173</v>
      </c>
      <c r="C499">
        <v>2</v>
      </c>
      <c r="D499" t="str">
        <f>" "</f>
        <v xml:space="preserve"> </v>
      </c>
      <c r="E499"/>
      <c r="F499" s="19">
        <v>42513.329965277779</v>
      </c>
      <c r="G499"/>
      <c r="H499">
        <v>1</v>
      </c>
      <c r="I499">
        <v>0</v>
      </c>
      <c r="J499"/>
      <c r="K499"/>
      <c r="L499"/>
      <c r="M499" s="1">
        <v>42531</v>
      </c>
      <c r="N499" t="s">
        <v>102</v>
      </c>
      <c r="O499"/>
      <c r="P499"/>
      <c r="Q499"/>
    </row>
    <row r="500" spans="1:17" x14ac:dyDescent="0.3">
      <c r="A500" t="str">
        <f>"16990"</f>
        <v>16990</v>
      </c>
      <c r="B500">
        <v>56286</v>
      </c>
      <c r="C500">
        <v>1</v>
      </c>
      <c r="D500" t="str">
        <f>" "</f>
        <v xml:space="preserve"> </v>
      </c>
      <c r="E500"/>
      <c r="F500" s="19">
        <v>42510.647986111115</v>
      </c>
      <c r="G500"/>
      <c r="H500">
        <v>3</v>
      </c>
      <c r="I500">
        <v>0</v>
      </c>
      <c r="J500"/>
      <c r="K500"/>
      <c r="L500"/>
      <c r="M500"/>
      <c r="N500" t="s">
        <v>102</v>
      </c>
      <c r="O500"/>
      <c r="P500"/>
      <c r="Q500"/>
    </row>
    <row r="501" spans="1:17" x14ac:dyDescent="0.3">
      <c r="A501" t="str">
        <f>"16990"</f>
        <v>16990</v>
      </c>
      <c r="B501">
        <v>56399</v>
      </c>
      <c r="C501">
        <v>2</v>
      </c>
      <c r="D501" t="str">
        <f>" "</f>
        <v xml:space="preserve"> </v>
      </c>
      <c r="E501"/>
      <c r="F501" s="19">
        <v>42510.647986111115</v>
      </c>
      <c r="G501"/>
      <c r="H501">
        <v>1</v>
      </c>
      <c r="I501">
        <v>0</v>
      </c>
      <c r="J501"/>
      <c r="K501"/>
      <c r="L501"/>
      <c r="M501"/>
      <c r="N501" t="s">
        <v>102</v>
      </c>
      <c r="O501"/>
      <c r="P501"/>
      <c r="Q501"/>
    </row>
    <row r="502" spans="1:17" x14ac:dyDescent="0.3">
      <c r="A502" t="str">
        <f>"16990"</f>
        <v>16990</v>
      </c>
      <c r="B502">
        <v>56512</v>
      </c>
      <c r="C502">
        <v>3</v>
      </c>
      <c r="D502" t="str">
        <f>" "</f>
        <v xml:space="preserve"> </v>
      </c>
      <c r="E502"/>
      <c r="F502" s="19">
        <v>42510.647986111115</v>
      </c>
      <c r="G502"/>
      <c r="H502">
        <v>3</v>
      </c>
      <c r="I502">
        <v>0</v>
      </c>
      <c r="J502"/>
      <c r="K502"/>
      <c r="L502"/>
      <c r="M502"/>
      <c r="N502" t="s">
        <v>102</v>
      </c>
      <c r="O502"/>
      <c r="P502"/>
      <c r="Q502"/>
    </row>
    <row r="503" spans="1:17" x14ac:dyDescent="0.3">
      <c r="A503" t="str">
        <f>"16989"</f>
        <v>16989</v>
      </c>
      <c r="B503">
        <v>56625</v>
      </c>
      <c r="C503">
        <v>1</v>
      </c>
      <c r="D503" t="str">
        <f>" "</f>
        <v xml:space="preserve"> </v>
      </c>
      <c r="E503"/>
      <c r="F503" s="19">
        <v>42510.550219907411</v>
      </c>
      <c r="G503"/>
      <c r="H503">
        <v>1</v>
      </c>
      <c r="I503">
        <v>0</v>
      </c>
      <c r="J503"/>
      <c r="K503"/>
      <c r="L503"/>
      <c r="M503" s="1">
        <v>42524</v>
      </c>
      <c r="N503" t="s">
        <v>102</v>
      </c>
      <c r="O503"/>
      <c r="P503"/>
      <c r="Q503"/>
    </row>
    <row r="504" spans="1:17" x14ac:dyDescent="0.3">
      <c r="A504" t="str">
        <f>"16988"</f>
        <v>16988</v>
      </c>
      <c r="B504">
        <v>56738</v>
      </c>
      <c r="C504">
        <v>1</v>
      </c>
      <c r="D504" t="str">
        <f>" "</f>
        <v xml:space="preserve"> </v>
      </c>
      <c r="E504"/>
      <c r="F504" s="19">
        <v>42510.497152777774</v>
      </c>
      <c r="G504"/>
      <c r="H504">
        <v>1</v>
      </c>
      <c r="I504">
        <v>0</v>
      </c>
      <c r="J504"/>
      <c r="K504"/>
      <c r="L504"/>
      <c r="M504" s="1">
        <v>42555</v>
      </c>
      <c r="N504" t="s">
        <v>102</v>
      </c>
      <c r="O504"/>
      <c r="P504"/>
      <c r="Q504"/>
    </row>
    <row r="505" spans="1:17" x14ac:dyDescent="0.3">
      <c r="A505" t="str">
        <f>"16987"</f>
        <v>16987</v>
      </c>
      <c r="B505">
        <v>56851</v>
      </c>
      <c r="C505">
        <v>1</v>
      </c>
      <c r="D505" t="str">
        <f>" "</f>
        <v xml:space="preserve"> </v>
      </c>
      <c r="E505"/>
      <c r="F505" s="19">
        <v>42510.484247685185</v>
      </c>
      <c r="G505"/>
      <c r="H505">
        <v>2</v>
      </c>
      <c r="I505">
        <v>0</v>
      </c>
      <c r="J505"/>
      <c r="K505"/>
      <c r="L505"/>
      <c r="M505" s="1">
        <v>42538</v>
      </c>
      <c r="N505" t="s">
        <v>102</v>
      </c>
      <c r="O505"/>
      <c r="P505"/>
      <c r="Q505"/>
    </row>
    <row r="506" spans="1:17" x14ac:dyDescent="0.3">
      <c r="A506" t="str">
        <f>"16986"</f>
        <v>16986</v>
      </c>
      <c r="B506">
        <v>56964</v>
      </c>
      <c r="C506">
        <v>1</v>
      </c>
      <c r="D506" t="str">
        <f>" "</f>
        <v xml:space="preserve"> </v>
      </c>
      <c r="E506"/>
      <c r="F506" s="19">
        <v>42510.470173611109</v>
      </c>
      <c r="G506"/>
      <c r="H506">
        <v>2</v>
      </c>
      <c r="I506">
        <v>0</v>
      </c>
      <c r="J506"/>
      <c r="K506"/>
      <c r="L506"/>
      <c r="M506" s="1">
        <v>42538</v>
      </c>
      <c r="N506" t="s">
        <v>102</v>
      </c>
      <c r="O506"/>
      <c r="P506"/>
      <c r="Q506"/>
    </row>
    <row r="507" spans="1:17" x14ac:dyDescent="0.3">
      <c r="A507" t="str">
        <f>"16985"</f>
        <v>16985</v>
      </c>
      <c r="B507">
        <v>57077</v>
      </c>
      <c r="C507">
        <v>1</v>
      </c>
      <c r="D507" t="str">
        <f>" "</f>
        <v xml:space="preserve"> </v>
      </c>
      <c r="E507"/>
      <c r="F507" s="19">
        <v>42510.432256944441</v>
      </c>
      <c r="G507"/>
      <c r="H507">
        <v>25</v>
      </c>
      <c r="I507">
        <v>0</v>
      </c>
      <c r="J507"/>
      <c r="K507"/>
      <c r="L507"/>
      <c r="M507" s="1">
        <v>42522</v>
      </c>
      <c r="N507" t="s">
        <v>102</v>
      </c>
      <c r="O507"/>
      <c r="P507"/>
      <c r="Q507"/>
    </row>
    <row r="508" spans="1:17" x14ac:dyDescent="0.3">
      <c r="A508" t="str">
        <f>"16985"</f>
        <v>16985</v>
      </c>
      <c r="B508">
        <v>57190</v>
      </c>
      <c r="C508">
        <v>2</v>
      </c>
      <c r="D508" t="str">
        <f>" "</f>
        <v xml:space="preserve"> </v>
      </c>
      <c r="E508"/>
      <c r="F508" s="19">
        <v>42510.432256944441</v>
      </c>
      <c r="G508"/>
      <c r="H508">
        <v>25</v>
      </c>
      <c r="I508">
        <v>0</v>
      </c>
      <c r="J508"/>
      <c r="K508"/>
      <c r="L508"/>
      <c r="M508" s="1">
        <v>42522</v>
      </c>
      <c r="N508" t="s">
        <v>102</v>
      </c>
      <c r="O508"/>
      <c r="P508"/>
      <c r="Q508"/>
    </row>
    <row r="509" spans="1:17" x14ac:dyDescent="0.3">
      <c r="A509" t="str">
        <f>"16984"</f>
        <v>16984</v>
      </c>
      <c r="B509">
        <v>57303</v>
      </c>
      <c r="C509">
        <v>1</v>
      </c>
      <c r="D509" t="str">
        <f>" "</f>
        <v xml:space="preserve"> </v>
      </c>
      <c r="E509"/>
      <c r="F509" s="19">
        <v>42509.649675925924</v>
      </c>
      <c r="G509"/>
      <c r="H509">
        <v>1</v>
      </c>
      <c r="I509">
        <v>0</v>
      </c>
      <c r="J509"/>
      <c r="K509"/>
      <c r="L509"/>
      <c r="M509" s="1">
        <v>42608</v>
      </c>
      <c r="N509" t="s">
        <v>102</v>
      </c>
      <c r="O509"/>
      <c r="P509"/>
      <c r="Q509"/>
    </row>
    <row r="510" spans="1:17" x14ac:dyDescent="0.3">
      <c r="A510" t="str">
        <f>"16984"</f>
        <v>16984</v>
      </c>
      <c r="B510">
        <v>57416</v>
      </c>
      <c r="C510">
        <v>2</v>
      </c>
      <c r="D510" t="str">
        <f>" "</f>
        <v xml:space="preserve"> </v>
      </c>
      <c r="E510"/>
      <c r="F510" s="19">
        <v>42509.649675925924</v>
      </c>
      <c r="G510"/>
      <c r="H510">
        <v>1</v>
      </c>
      <c r="I510">
        <v>0</v>
      </c>
      <c r="J510"/>
      <c r="K510"/>
      <c r="L510"/>
      <c r="M510" s="1">
        <v>42608</v>
      </c>
      <c r="N510" t="s">
        <v>102</v>
      </c>
      <c r="O510"/>
      <c r="P510"/>
      <c r="Q510"/>
    </row>
    <row r="511" spans="1:17" x14ac:dyDescent="0.3">
      <c r="A511" t="str">
        <f>"16983"</f>
        <v>16983</v>
      </c>
      <c r="B511">
        <v>57529</v>
      </c>
      <c r="C511">
        <v>1</v>
      </c>
      <c r="D511" t="str">
        <f>" "</f>
        <v xml:space="preserve"> </v>
      </c>
      <c r="E511"/>
      <c r="F511" s="19">
        <v>42509.617094907408</v>
      </c>
      <c r="G511"/>
      <c r="H511">
        <v>1</v>
      </c>
      <c r="I511">
        <v>0</v>
      </c>
      <c r="J511"/>
      <c r="K511"/>
      <c r="L511"/>
      <c r="M511" s="1">
        <v>42538</v>
      </c>
      <c r="N511" t="s">
        <v>102</v>
      </c>
      <c r="O511"/>
      <c r="P511"/>
      <c r="Q511"/>
    </row>
    <row r="512" spans="1:17" x14ac:dyDescent="0.3">
      <c r="A512" t="str">
        <f>"16983"</f>
        <v>16983</v>
      </c>
      <c r="B512">
        <v>57642</v>
      </c>
      <c r="C512">
        <v>2</v>
      </c>
      <c r="D512" t="str">
        <f>" "</f>
        <v xml:space="preserve"> </v>
      </c>
      <c r="E512"/>
      <c r="F512" s="19">
        <v>42509.617094907408</v>
      </c>
      <c r="G512"/>
      <c r="H512">
        <v>1</v>
      </c>
      <c r="I512">
        <v>0</v>
      </c>
      <c r="J512"/>
      <c r="K512"/>
      <c r="L512"/>
      <c r="M512" s="1">
        <v>42538</v>
      </c>
      <c r="N512" t="s">
        <v>102</v>
      </c>
      <c r="O512"/>
      <c r="P512"/>
      <c r="Q512"/>
    </row>
    <row r="513" spans="1:17" x14ac:dyDescent="0.3">
      <c r="A513" t="str">
        <f>"16981"</f>
        <v>16981</v>
      </c>
      <c r="B513">
        <v>57755</v>
      </c>
      <c r="C513">
        <v>1</v>
      </c>
      <c r="D513" t="str">
        <f>" "</f>
        <v xml:space="preserve"> </v>
      </c>
      <c r="E513"/>
      <c r="F513" s="19">
        <v>42509.325011574074</v>
      </c>
      <c r="G513"/>
      <c r="H513">
        <v>2</v>
      </c>
      <c r="I513">
        <v>0</v>
      </c>
      <c r="J513"/>
      <c r="K513"/>
      <c r="L513"/>
      <c r="M513" s="1">
        <v>42523</v>
      </c>
      <c r="N513" t="s">
        <v>102</v>
      </c>
      <c r="O513"/>
      <c r="P513"/>
      <c r="Q513"/>
    </row>
    <row r="514" spans="1:17" x14ac:dyDescent="0.3">
      <c r="A514" t="str">
        <f>"16980"</f>
        <v>16980</v>
      </c>
      <c r="B514">
        <v>57868</v>
      </c>
      <c r="C514">
        <v>1</v>
      </c>
      <c r="D514" t="str">
        <f>" "</f>
        <v xml:space="preserve"> </v>
      </c>
      <c r="E514"/>
      <c r="F514" s="19">
        <v>42508.651192129626</v>
      </c>
      <c r="G514"/>
      <c r="H514">
        <v>2</v>
      </c>
      <c r="I514">
        <v>0</v>
      </c>
      <c r="J514"/>
      <c r="K514"/>
      <c r="L514"/>
      <c r="M514" s="1">
        <v>42531</v>
      </c>
      <c r="N514" t="s">
        <v>102</v>
      </c>
      <c r="O514"/>
      <c r="P514"/>
      <c r="Q514"/>
    </row>
    <row r="515" spans="1:17" x14ac:dyDescent="0.3">
      <c r="A515" t="str">
        <f>"16979"</f>
        <v>16979</v>
      </c>
      <c r="B515">
        <v>57981</v>
      </c>
      <c r="C515">
        <v>1</v>
      </c>
      <c r="D515" t="str">
        <f>" "</f>
        <v xml:space="preserve"> </v>
      </c>
      <c r="E515"/>
      <c r="F515" s="19">
        <v>42508.626689814817</v>
      </c>
      <c r="G515"/>
      <c r="H515">
        <v>3</v>
      </c>
      <c r="I515">
        <v>0</v>
      </c>
      <c r="J515"/>
      <c r="K515"/>
      <c r="L515"/>
      <c r="M515" s="1">
        <v>42531</v>
      </c>
      <c r="N515" t="s">
        <v>102</v>
      </c>
      <c r="O515"/>
      <c r="P515"/>
      <c r="Q515"/>
    </row>
    <row r="516" spans="1:17" x14ac:dyDescent="0.3">
      <c r="A516" t="str">
        <f>"16978"</f>
        <v>16978</v>
      </c>
      <c r="B516">
        <v>58094</v>
      </c>
      <c r="C516">
        <v>1</v>
      </c>
      <c r="D516" t="str">
        <f>" "</f>
        <v xml:space="preserve"> </v>
      </c>
      <c r="E516"/>
      <c r="F516" s="19">
        <v>42508.590046296296</v>
      </c>
      <c r="G516"/>
      <c r="H516">
        <v>1</v>
      </c>
      <c r="I516">
        <v>0</v>
      </c>
      <c r="J516"/>
      <c r="K516"/>
      <c r="L516"/>
      <c r="M516" s="1">
        <v>42529</v>
      </c>
      <c r="N516" t="s">
        <v>102</v>
      </c>
      <c r="O516"/>
      <c r="P516"/>
      <c r="Q516"/>
    </row>
    <row r="517" spans="1:17" x14ac:dyDescent="0.3">
      <c r="A517" t="str">
        <f>"16977"</f>
        <v>16977</v>
      </c>
      <c r="B517">
        <v>58207</v>
      </c>
      <c r="C517">
        <v>1</v>
      </c>
      <c r="D517" t="str">
        <f>" "</f>
        <v xml:space="preserve"> </v>
      </c>
      <c r="E517"/>
      <c r="F517" s="19">
        <v>42508.555706018517</v>
      </c>
      <c r="G517"/>
      <c r="H517">
        <v>2</v>
      </c>
      <c r="I517">
        <v>0</v>
      </c>
      <c r="J517"/>
      <c r="K517"/>
      <c r="L517"/>
      <c r="M517" s="1">
        <v>42530</v>
      </c>
      <c r="N517" t="s">
        <v>102</v>
      </c>
      <c r="O517"/>
      <c r="P517"/>
      <c r="Q517"/>
    </row>
    <row r="518" spans="1:17" x14ac:dyDescent="0.3">
      <c r="A518" t="str">
        <f>"16974"</f>
        <v>16974</v>
      </c>
      <c r="B518">
        <v>58320</v>
      </c>
      <c r="C518">
        <v>2</v>
      </c>
      <c r="D518" t="str">
        <f>" "</f>
        <v xml:space="preserve"> </v>
      </c>
      <c r="E518"/>
      <c r="F518" s="19">
        <v>42507.406840277778</v>
      </c>
      <c r="G518"/>
      <c r="H518">
        <v>1</v>
      </c>
      <c r="I518">
        <v>0</v>
      </c>
      <c r="J518"/>
      <c r="K518"/>
      <c r="L518"/>
      <c r="M518" s="1">
        <v>42508</v>
      </c>
      <c r="N518" t="s">
        <v>102</v>
      </c>
      <c r="O518"/>
      <c r="P518"/>
      <c r="Q518"/>
    </row>
    <row r="519" spans="1:17" x14ac:dyDescent="0.3">
      <c r="A519" t="str">
        <f>"16973"</f>
        <v>16973</v>
      </c>
      <c r="B519">
        <v>58433</v>
      </c>
      <c r="C519">
        <v>1</v>
      </c>
      <c r="D519" t="str">
        <f>" "</f>
        <v xml:space="preserve"> </v>
      </c>
      <c r="E519"/>
      <c r="F519" s="19">
        <v>42503.477951388886</v>
      </c>
      <c r="G519"/>
      <c r="H519">
        <v>1</v>
      </c>
      <c r="I519">
        <v>0</v>
      </c>
      <c r="J519"/>
      <c r="K519"/>
      <c r="L519"/>
      <c r="M519" s="1">
        <v>42516</v>
      </c>
      <c r="N519" t="s">
        <v>102</v>
      </c>
      <c r="O519"/>
      <c r="P519"/>
      <c r="Q519"/>
    </row>
    <row r="520" spans="1:17" x14ac:dyDescent="0.3">
      <c r="A520" t="str">
        <f>"16972"</f>
        <v>16972</v>
      </c>
      <c r="B520">
        <v>58546</v>
      </c>
      <c r="C520">
        <v>1</v>
      </c>
      <c r="D520" t="str">
        <f>" "</f>
        <v xml:space="preserve"> </v>
      </c>
      <c r="E520"/>
      <c r="F520" s="19">
        <v>42503.377916666665</v>
      </c>
      <c r="G520"/>
      <c r="H520">
        <v>1</v>
      </c>
      <c r="I520">
        <v>0</v>
      </c>
      <c r="J520"/>
      <c r="K520"/>
      <c r="L520"/>
      <c r="M520" s="1">
        <v>42515</v>
      </c>
      <c r="N520" t="s">
        <v>102</v>
      </c>
      <c r="O520"/>
      <c r="P520"/>
      <c r="Q520"/>
    </row>
    <row r="521" spans="1:17" x14ac:dyDescent="0.3">
      <c r="A521" t="str">
        <f>"16972"</f>
        <v>16972</v>
      </c>
      <c r="B521">
        <v>58659</v>
      </c>
      <c r="C521">
        <v>2</v>
      </c>
      <c r="D521" t="str">
        <f>" "</f>
        <v xml:space="preserve"> </v>
      </c>
      <c r="E521"/>
      <c r="F521" s="19">
        <v>42503.377916666665</v>
      </c>
      <c r="G521"/>
      <c r="H521">
        <v>1</v>
      </c>
      <c r="I521">
        <v>0</v>
      </c>
      <c r="J521"/>
      <c r="K521"/>
      <c r="L521"/>
      <c r="M521" s="1">
        <v>42515</v>
      </c>
      <c r="N521" t="s">
        <v>102</v>
      </c>
      <c r="O521"/>
      <c r="P521"/>
      <c r="Q521"/>
    </row>
    <row r="522" spans="1:17" x14ac:dyDescent="0.3">
      <c r="A522" t="str">
        <f>"16971"</f>
        <v>16971</v>
      </c>
      <c r="B522">
        <v>58772</v>
      </c>
      <c r="C522">
        <v>1</v>
      </c>
      <c r="D522" t="str">
        <f>" "</f>
        <v xml:space="preserve"> </v>
      </c>
      <c r="E522"/>
      <c r="F522" s="19">
        <v>42502.449988425928</v>
      </c>
      <c r="G522"/>
      <c r="H522">
        <v>1</v>
      </c>
      <c r="I522">
        <v>0</v>
      </c>
      <c r="J522"/>
      <c r="K522"/>
      <c r="L522"/>
      <c r="M522" s="1">
        <v>42531</v>
      </c>
      <c r="N522" t="s">
        <v>102</v>
      </c>
      <c r="O522"/>
      <c r="P522"/>
      <c r="Q522"/>
    </row>
    <row r="523" spans="1:17" x14ac:dyDescent="0.3">
      <c r="A523" t="str">
        <f>"16970"</f>
        <v>16970</v>
      </c>
      <c r="B523">
        <v>58885</v>
      </c>
      <c r="C523">
        <v>1</v>
      </c>
      <c r="D523" t="str">
        <f>" "</f>
        <v xml:space="preserve"> </v>
      </c>
      <c r="E523"/>
      <c r="F523" s="19">
        <v>42502.353541666664</v>
      </c>
      <c r="G523"/>
      <c r="H523">
        <v>4</v>
      </c>
      <c r="I523">
        <v>0</v>
      </c>
      <c r="J523"/>
      <c r="K523"/>
      <c r="L523"/>
      <c r="M523" s="1">
        <v>42523</v>
      </c>
      <c r="N523" t="s">
        <v>102</v>
      </c>
      <c r="O523"/>
      <c r="P523"/>
      <c r="Q523"/>
    </row>
    <row r="524" spans="1:17" x14ac:dyDescent="0.3">
      <c r="A524" t="str">
        <f>"16970"</f>
        <v>16970</v>
      </c>
      <c r="B524">
        <v>58998</v>
      </c>
      <c r="C524">
        <v>2</v>
      </c>
      <c r="D524" t="str">
        <f>" "</f>
        <v xml:space="preserve"> </v>
      </c>
      <c r="E524"/>
      <c r="F524" s="19">
        <v>42502.353541666664</v>
      </c>
      <c r="G524"/>
      <c r="H524">
        <v>1</v>
      </c>
      <c r="I524">
        <v>0</v>
      </c>
      <c r="J524"/>
      <c r="K524"/>
      <c r="L524"/>
      <c r="M524" s="1">
        <v>42523</v>
      </c>
      <c r="N524" t="s">
        <v>102</v>
      </c>
      <c r="O524"/>
      <c r="P524"/>
      <c r="Q524"/>
    </row>
    <row r="525" spans="1:17" x14ac:dyDescent="0.3">
      <c r="A525" t="str">
        <f>"16969"</f>
        <v>16969</v>
      </c>
      <c r="B525">
        <v>59111</v>
      </c>
      <c r="C525">
        <v>1</v>
      </c>
      <c r="D525" t="str">
        <f>" "</f>
        <v xml:space="preserve"> </v>
      </c>
      <c r="E525"/>
      <c r="F525" s="19">
        <v>42501.376145833332</v>
      </c>
      <c r="G525"/>
      <c r="H525">
        <v>1</v>
      </c>
      <c r="I525">
        <v>0</v>
      </c>
      <c r="J525"/>
      <c r="K525"/>
      <c r="L525"/>
      <c r="M525" s="1">
        <v>42508</v>
      </c>
      <c r="N525" t="s">
        <v>102</v>
      </c>
      <c r="O525"/>
      <c r="P525"/>
      <c r="Q525"/>
    </row>
    <row r="526" spans="1:17" x14ac:dyDescent="0.3">
      <c r="A526" t="str">
        <f>"16968"</f>
        <v>16968</v>
      </c>
      <c r="B526">
        <v>59224</v>
      </c>
      <c r="C526">
        <v>1</v>
      </c>
      <c r="D526" t="str">
        <f>" "</f>
        <v xml:space="preserve"> </v>
      </c>
      <c r="E526"/>
      <c r="F526" s="19">
        <v>42500.606446759259</v>
      </c>
      <c r="G526"/>
      <c r="H526">
        <v>6</v>
      </c>
      <c r="I526">
        <v>0</v>
      </c>
      <c r="J526"/>
      <c r="K526"/>
      <c r="L526"/>
      <c r="M526" s="1">
        <v>42536</v>
      </c>
      <c r="N526" t="s">
        <v>102</v>
      </c>
      <c r="O526"/>
      <c r="P526"/>
      <c r="Q526"/>
    </row>
    <row r="527" spans="1:17" x14ac:dyDescent="0.3">
      <c r="A527" t="str">
        <f>"16968"</f>
        <v>16968</v>
      </c>
      <c r="B527">
        <v>59337</v>
      </c>
      <c r="C527">
        <v>2</v>
      </c>
      <c r="D527" t="str">
        <f>" "</f>
        <v xml:space="preserve"> </v>
      </c>
      <c r="E527"/>
      <c r="F527" s="19">
        <v>42500.606446759259</v>
      </c>
      <c r="G527"/>
      <c r="H527">
        <v>1</v>
      </c>
      <c r="I527">
        <v>0</v>
      </c>
      <c r="J527"/>
      <c r="K527"/>
      <c r="L527"/>
      <c r="M527" s="1">
        <v>42536</v>
      </c>
      <c r="N527" t="s">
        <v>102</v>
      </c>
      <c r="O527"/>
      <c r="P527"/>
      <c r="Q527"/>
    </row>
    <row r="528" spans="1:17" x14ac:dyDescent="0.3">
      <c r="A528" t="str">
        <f>"16967"</f>
        <v>16967</v>
      </c>
      <c r="B528">
        <v>59450</v>
      </c>
      <c r="C528">
        <v>1</v>
      </c>
      <c r="D528" t="str">
        <f>" "</f>
        <v xml:space="preserve"> </v>
      </c>
      <c r="E528"/>
      <c r="F528" s="19">
        <v>42500.485856481479</v>
      </c>
      <c r="G528"/>
      <c r="H528">
        <v>2</v>
      </c>
      <c r="I528">
        <v>0</v>
      </c>
      <c r="J528"/>
      <c r="K528"/>
      <c r="L528"/>
      <c r="M528" s="1">
        <v>42510</v>
      </c>
      <c r="N528" t="s">
        <v>102</v>
      </c>
      <c r="O528"/>
      <c r="P528"/>
      <c r="Q528"/>
    </row>
    <row r="529" spans="1:17" x14ac:dyDescent="0.3">
      <c r="A529" t="str">
        <f>"16966"</f>
        <v>16966</v>
      </c>
      <c r="B529">
        <v>59563</v>
      </c>
      <c r="C529">
        <v>1</v>
      </c>
      <c r="D529" t="str">
        <f>" "</f>
        <v xml:space="preserve"> </v>
      </c>
      <c r="E529"/>
      <c r="F529" s="19">
        <v>42500.406898148147</v>
      </c>
      <c r="G529"/>
      <c r="H529">
        <v>1</v>
      </c>
      <c r="I529">
        <v>0</v>
      </c>
      <c r="J529"/>
      <c r="K529"/>
      <c r="L529"/>
      <c r="M529" s="1">
        <v>42650</v>
      </c>
      <c r="N529" t="s">
        <v>102</v>
      </c>
      <c r="O529"/>
      <c r="P529"/>
      <c r="Q529"/>
    </row>
    <row r="530" spans="1:17" x14ac:dyDescent="0.3">
      <c r="A530" t="str">
        <f>"16965"</f>
        <v>16965</v>
      </c>
      <c r="B530">
        <v>59676</v>
      </c>
      <c r="C530">
        <v>1</v>
      </c>
      <c r="D530" t="str">
        <f>" "</f>
        <v xml:space="preserve"> </v>
      </c>
      <c r="E530"/>
      <c r="F530" s="19">
        <v>42500.384652777779</v>
      </c>
      <c r="G530"/>
      <c r="H530">
        <v>12</v>
      </c>
      <c r="I530">
        <v>0</v>
      </c>
      <c r="J530"/>
      <c r="K530"/>
      <c r="L530"/>
      <c r="M530" s="1">
        <v>42524</v>
      </c>
      <c r="N530" t="s">
        <v>102</v>
      </c>
      <c r="O530"/>
      <c r="P530"/>
      <c r="Q530"/>
    </row>
    <row r="531" spans="1:17" x14ac:dyDescent="0.3">
      <c r="A531" t="str">
        <f>"16964"</f>
        <v>16964</v>
      </c>
      <c r="B531">
        <v>59789</v>
      </c>
      <c r="C531">
        <v>1</v>
      </c>
      <c r="D531" t="str">
        <f>" "</f>
        <v xml:space="preserve"> </v>
      </c>
      <c r="E531"/>
      <c r="F531" s="19">
        <v>42500.359918981485</v>
      </c>
      <c r="G531"/>
      <c r="H531">
        <v>12</v>
      </c>
      <c r="I531">
        <v>0</v>
      </c>
      <c r="J531"/>
      <c r="K531"/>
      <c r="L531"/>
      <c r="M531" s="1">
        <v>42545</v>
      </c>
      <c r="N531" t="s">
        <v>102</v>
      </c>
      <c r="O531"/>
      <c r="P531"/>
      <c r="Q531"/>
    </row>
    <row r="532" spans="1:17" x14ac:dyDescent="0.3">
      <c r="A532" t="str">
        <f>"16963"</f>
        <v>16963</v>
      </c>
      <c r="B532">
        <v>59902</v>
      </c>
      <c r="C532">
        <v>1</v>
      </c>
      <c r="D532" t="str">
        <f>" "</f>
        <v xml:space="preserve"> </v>
      </c>
      <c r="E532"/>
      <c r="F532" s="19">
        <v>42500.345092592594</v>
      </c>
      <c r="G532"/>
      <c r="H532">
        <v>2</v>
      </c>
      <c r="I532">
        <v>0</v>
      </c>
      <c r="J532"/>
      <c r="K532"/>
      <c r="L532"/>
      <c r="M532" s="1">
        <v>42531</v>
      </c>
      <c r="N532" t="s">
        <v>102</v>
      </c>
      <c r="O532"/>
      <c r="P532"/>
      <c r="Q532"/>
    </row>
    <row r="533" spans="1:17" x14ac:dyDescent="0.3">
      <c r="A533" t="str">
        <f>"16962"</f>
        <v>16962</v>
      </c>
      <c r="B533">
        <v>60015</v>
      </c>
      <c r="C533">
        <v>1</v>
      </c>
      <c r="D533" t="str">
        <f>" "</f>
        <v xml:space="preserve"> </v>
      </c>
      <c r="E533"/>
      <c r="F533" s="19">
        <v>42499.590474537035</v>
      </c>
      <c r="G533"/>
      <c r="H533">
        <v>1</v>
      </c>
      <c r="I533">
        <v>0</v>
      </c>
      <c r="J533"/>
      <c r="K533"/>
      <c r="L533"/>
      <c r="M533" s="1">
        <v>42520</v>
      </c>
      <c r="N533" t="s">
        <v>102</v>
      </c>
      <c r="O533"/>
      <c r="P533"/>
      <c r="Q533"/>
    </row>
    <row r="534" spans="1:17" x14ac:dyDescent="0.3">
      <c r="A534" t="str">
        <f>"16961"</f>
        <v>16961</v>
      </c>
      <c r="B534">
        <v>60128</v>
      </c>
      <c r="C534">
        <v>1</v>
      </c>
      <c r="D534" t="str">
        <f>" "</f>
        <v xml:space="preserve"> </v>
      </c>
      <c r="E534"/>
      <c r="F534" s="19">
        <v>42499.575949074075</v>
      </c>
      <c r="G534"/>
      <c r="H534">
        <v>2</v>
      </c>
      <c r="I534">
        <v>0</v>
      </c>
      <c r="J534"/>
      <c r="K534"/>
      <c r="L534"/>
      <c r="M534" s="1">
        <v>42538</v>
      </c>
      <c r="N534" t="s">
        <v>102</v>
      </c>
      <c r="O534"/>
      <c r="P534"/>
      <c r="Q534"/>
    </row>
    <row r="535" spans="1:17" x14ac:dyDescent="0.3">
      <c r="A535" t="str">
        <f>"16960"</f>
        <v>16960</v>
      </c>
      <c r="B535">
        <v>60241</v>
      </c>
      <c r="C535">
        <v>1</v>
      </c>
      <c r="D535" t="str">
        <f>" "</f>
        <v xml:space="preserve"> </v>
      </c>
      <c r="E535"/>
      <c r="F535" s="19">
        <v>42499.550925925927</v>
      </c>
      <c r="G535"/>
      <c r="H535">
        <v>2</v>
      </c>
      <c r="I535">
        <v>0</v>
      </c>
      <c r="J535"/>
      <c r="K535"/>
      <c r="L535"/>
      <c r="M535" s="1">
        <v>42545</v>
      </c>
      <c r="N535" t="s">
        <v>102</v>
      </c>
      <c r="O535"/>
      <c r="P535"/>
      <c r="Q535"/>
    </row>
    <row r="536" spans="1:17" x14ac:dyDescent="0.3">
      <c r="A536" t="str">
        <f>"16959"</f>
        <v>16959</v>
      </c>
      <c r="B536">
        <v>60354</v>
      </c>
      <c r="C536">
        <v>1</v>
      </c>
      <c r="D536" t="str">
        <f>" "</f>
        <v xml:space="preserve"> </v>
      </c>
      <c r="E536"/>
      <c r="F536" s="19">
        <v>42499.53628472222</v>
      </c>
      <c r="G536"/>
      <c r="H536">
        <v>2</v>
      </c>
      <c r="I536">
        <v>0</v>
      </c>
      <c r="J536"/>
      <c r="K536"/>
      <c r="L536"/>
      <c r="M536" s="1">
        <v>42538</v>
      </c>
      <c r="N536" t="s">
        <v>102</v>
      </c>
      <c r="O536"/>
      <c r="P536"/>
      <c r="Q536"/>
    </row>
    <row r="537" spans="1:17" x14ac:dyDescent="0.3">
      <c r="A537" t="str">
        <f>"16958"</f>
        <v>16958</v>
      </c>
      <c r="B537">
        <v>60467</v>
      </c>
      <c r="C537">
        <v>1</v>
      </c>
      <c r="D537" t="str">
        <f>" "</f>
        <v xml:space="preserve"> </v>
      </c>
      <c r="E537"/>
      <c r="F537" s="19">
        <v>42499.481307870374</v>
      </c>
      <c r="G537"/>
      <c r="H537">
        <v>1</v>
      </c>
      <c r="I537">
        <v>0</v>
      </c>
      <c r="J537"/>
      <c r="K537"/>
      <c r="L537"/>
      <c r="M537" s="1">
        <v>42545</v>
      </c>
      <c r="N537" t="s">
        <v>102</v>
      </c>
      <c r="O537"/>
      <c r="P537"/>
      <c r="Q537"/>
    </row>
    <row r="538" spans="1:17" x14ac:dyDescent="0.3">
      <c r="A538" t="str">
        <f>"16957"</f>
        <v>16957</v>
      </c>
      <c r="B538">
        <v>60580</v>
      </c>
      <c r="C538">
        <v>1</v>
      </c>
      <c r="D538" t="str">
        <f>" "</f>
        <v xml:space="preserve"> </v>
      </c>
      <c r="E538"/>
      <c r="F538" s="19">
        <v>42499.450949074075</v>
      </c>
      <c r="G538"/>
      <c r="H538">
        <v>2</v>
      </c>
      <c r="I538">
        <v>0</v>
      </c>
      <c r="J538"/>
      <c r="K538"/>
      <c r="L538"/>
      <c r="M538" s="1">
        <v>42538</v>
      </c>
      <c r="N538" t="s">
        <v>102</v>
      </c>
      <c r="O538"/>
      <c r="P538"/>
      <c r="Q538"/>
    </row>
    <row r="539" spans="1:17" x14ac:dyDescent="0.3">
      <c r="A539" t="str">
        <f>"16956"</f>
        <v>16956</v>
      </c>
      <c r="B539">
        <v>60693</v>
      </c>
      <c r="C539">
        <v>1</v>
      </c>
      <c r="D539" t="str">
        <f>" "</f>
        <v xml:space="preserve"> </v>
      </c>
      <c r="E539"/>
      <c r="F539" s="19">
        <v>42499.39806712963</v>
      </c>
      <c r="G539"/>
      <c r="H539">
        <v>2</v>
      </c>
      <c r="I539">
        <v>0</v>
      </c>
      <c r="J539"/>
      <c r="K539"/>
      <c r="L539"/>
      <c r="M539" s="1">
        <v>42520</v>
      </c>
      <c r="N539" t="s">
        <v>102</v>
      </c>
      <c r="O539"/>
      <c r="P539"/>
      <c r="Q539"/>
    </row>
    <row r="540" spans="1:17" x14ac:dyDescent="0.3">
      <c r="A540" t="str">
        <f>"16955"</f>
        <v>16955</v>
      </c>
      <c r="B540">
        <v>60806</v>
      </c>
      <c r="C540">
        <v>1</v>
      </c>
      <c r="D540" t="str">
        <f>" "</f>
        <v xml:space="preserve"> </v>
      </c>
      <c r="E540"/>
      <c r="F540" s="19">
        <v>42494.644270833334</v>
      </c>
      <c r="G540"/>
      <c r="H540">
        <v>1</v>
      </c>
      <c r="I540">
        <v>0</v>
      </c>
      <c r="J540"/>
      <c r="K540"/>
      <c r="L540"/>
      <c r="M540" s="1">
        <v>42529</v>
      </c>
      <c r="N540" t="s">
        <v>102</v>
      </c>
      <c r="O540"/>
      <c r="P540"/>
      <c r="Q540"/>
    </row>
    <row r="541" spans="1:17" x14ac:dyDescent="0.3">
      <c r="A541" t="str">
        <f>"16951"</f>
        <v>16951</v>
      </c>
      <c r="B541">
        <v>60919</v>
      </c>
      <c r="C541">
        <v>1</v>
      </c>
      <c r="D541" t="str">
        <f>" "</f>
        <v xml:space="preserve"> </v>
      </c>
      <c r="E541"/>
      <c r="F541" s="19">
        <v>42493.413784722223</v>
      </c>
      <c r="G541"/>
      <c r="H541">
        <v>9</v>
      </c>
      <c r="I541">
        <v>0</v>
      </c>
      <c r="J541"/>
      <c r="K541"/>
      <c r="L541"/>
      <c r="M541" s="1">
        <v>42551</v>
      </c>
      <c r="N541" t="s">
        <v>102</v>
      </c>
      <c r="O541"/>
      <c r="P541"/>
      <c r="Q541"/>
    </row>
    <row r="542" spans="1:17" x14ac:dyDescent="0.3">
      <c r="A542" t="str">
        <f>"16951"</f>
        <v>16951</v>
      </c>
      <c r="B542">
        <v>61032</v>
      </c>
      <c r="C542">
        <v>2</v>
      </c>
      <c r="D542" t="str">
        <f>" "</f>
        <v xml:space="preserve"> </v>
      </c>
      <c r="E542"/>
      <c r="F542" s="19">
        <v>42493.413784722223</v>
      </c>
      <c r="G542"/>
      <c r="H542">
        <v>1</v>
      </c>
      <c r="I542">
        <v>0</v>
      </c>
      <c r="J542"/>
      <c r="K542"/>
      <c r="L542"/>
      <c r="M542" s="1">
        <v>42551</v>
      </c>
      <c r="N542" t="s">
        <v>102</v>
      </c>
      <c r="O542"/>
      <c r="P542"/>
      <c r="Q542"/>
    </row>
    <row r="543" spans="1:17" x14ac:dyDescent="0.3">
      <c r="A543" t="str">
        <f>"16951"</f>
        <v>16951</v>
      </c>
      <c r="B543">
        <v>61145</v>
      </c>
      <c r="C543">
        <v>3</v>
      </c>
      <c r="D543" t="str">
        <f>" "</f>
        <v xml:space="preserve"> </v>
      </c>
      <c r="E543"/>
      <c r="F543" s="19">
        <v>42493.413784722223</v>
      </c>
      <c r="G543"/>
      <c r="H543">
        <v>3</v>
      </c>
      <c r="I543">
        <v>0</v>
      </c>
      <c r="J543"/>
      <c r="K543"/>
      <c r="L543"/>
      <c r="M543" s="1">
        <v>42551</v>
      </c>
      <c r="N543" t="s">
        <v>102</v>
      </c>
      <c r="O543"/>
      <c r="P543"/>
      <c r="Q543"/>
    </row>
    <row r="544" spans="1:17" x14ac:dyDescent="0.3">
      <c r="A544" t="str">
        <f>"16951"</f>
        <v>16951</v>
      </c>
      <c r="B544">
        <v>61258</v>
      </c>
      <c r="C544">
        <v>4</v>
      </c>
      <c r="D544" t="str">
        <f>" "</f>
        <v xml:space="preserve"> </v>
      </c>
      <c r="E544"/>
      <c r="F544" s="19">
        <v>42493.413784722223</v>
      </c>
      <c r="G544"/>
      <c r="H544">
        <v>2</v>
      </c>
      <c r="I544">
        <v>0</v>
      </c>
      <c r="J544"/>
      <c r="K544"/>
      <c r="L544"/>
      <c r="M544" s="1">
        <v>42551</v>
      </c>
      <c r="N544" t="s">
        <v>102</v>
      </c>
      <c r="O544"/>
      <c r="P544"/>
      <c r="Q544"/>
    </row>
    <row r="545" spans="1:17" x14ac:dyDescent="0.3">
      <c r="A545" t="str">
        <f>"16951"</f>
        <v>16951</v>
      </c>
      <c r="B545">
        <v>61371</v>
      </c>
      <c r="C545">
        <v>5</v>
      </c>
      <c r="D545" t="str">
        <f>" "</f>
        <v xml:space="preserve"> </v>
      </c>
      <c r="E545"/>
      <c r="F545" s="19">
        <v>42493.413784722223</v>
      </c>
      <c r="G545"/>
      <c r="H545">
        <v>4</v>
      </c>
      <c r="I545">
        <v>0</v>
      </c>
      <c r="J545"/>
      <c r="K545"/>
      <c r="L545"/>
      <c r="M545" s="1">
        <v>42551</v>
      </c>
      <c r="N545" t="s">
        <v>102</v>
      </c>
      <c r="O545"/>
      <c r="P545"/>
      <c r="Q545"/>
    </row>
    <row r="546" spans="1:17" x14ac:dyDescent="0.3">
      <c r="A546" t="str">
        <f>"16951"</f>
        <v>16951</v>
      </c>
      <c r="B546">
        <v>61484</v>
      </c>
      <c r="C546">
        <v>6</v>
      </c>
      <c r="D546" t="str">
        <f>" "</f>
        <v xml:space="preserve"> </v>
      </c>
      <c r="E546"/>
      <c r="F546" s="19">
        <v>42493.413784722223</v>
      </c>
      <c r="G546"/>
      <c r="H546">
        <v>6</v>
      </c>
      <c r="I546">
        <v>0</v>
      </c>
      <c r="J546"/>
      <c r="K546"/>
      <c r="L546"/>
      <c r="M546" s="1">
        <v>42551</v>
      </c>
      <c r="N546" t="s">
        <v>102</v>
      </c>
      <c r="O546"/>
      <c r="P546"/>
      <c r="Q546"/>
    </row>
    <row r="547" spans="1:17" x14ac:dyDescent="0.3">
      <c r="A547" t="str">
        <f>"16951"</f>
        <v>16951</v>
      </c>
      <c r="B547">
        <v>61597</v>
      </c>
      <c r="C547">
        <v>7</v>
      </c>
      <c r="D547" t="str">
        <f>" "</f>
        <v xml:space="preserve"> </v>
      </c>
      <c r="E547"/>
      <c r="F547" s="19">
        <v>42493.413784722223</v>
      </c>
      <c r="G547"/>
      <c r="H547">
        <v>3</v>
      </c>
      <c r="I547">
        <v>0</v>
      </c>
      <c r="J547"/>
      <c r="K547"/>
      <c r="L547"/>
      <c r="M547" s="1">
        <v>42551</v>
      </c>
      <c r="N547" t="s">
        <v>102</v>
      </c>
      <c r="O547"/>
      <c r="P547"/>
      <c r="Q547"/>
    </row>
    <row r="548" spans="1:17" x14ac:dyDescent="0.3">
      <c r="A548" t="str">
        <f>"16950"</f>
        <v>16950</v>
      </c>
      <c r="B548">
        <v>61710</v>
      </c>
      <c r="C548">
        <v>1</v>
      </c>
      <c r="D548" t="str">
        <f>" "</f>
        <v xml:space="preserve"> </v>
      </c>
      <c r="E548"/>
      <c r="F548" s="19">
        <v>42492.551122685189</v>
      </c>
      <c r="G548"/>
      <c r="H548">
        <v>1</v>
      </c>
      <c r="I548">
        <v>0</v>
      </c>
      <c r="J548"/>
      <c r="K548"/>
      <c r="L548"/>
      <c r="M548" s="1">
        <v>42522</v>
      </c>
      <c r="N548" t="s">
        <v>102</v>
      </c>
      <c r="O548"/>
      <c r="P548"/>
      <c r="Q548"/>
    </row>
    <row r="549" spans="1:17" x14ac:dyDescent="0.3">
      <c r="A549" t="str">
        <f>"16945"</f>
        <v>16945</v>
      </c>
      <c r="B549">
        <v>61823</v>
      </c>
      <c r="C549">
        <v>1</v>
      </c>
      <c r="D549" t="str">
        <f>" "</f>
        <v xml:space="preserve"> </v>
      </c>
      <c r="E549"/>
      <c r="F549" s="19">
        <v>42488.570069444446</v>
      </c>
      <c r="G549"/>
      <c r="H549">
        <v>12</v>
      </c>
      <c r="I549">
        <v>0</v>
      </c>
      <c r="J549"/>
      <c r="K549"/>
      <c r="L549"/>
      <c r="M549" s="1">
        <v>42510</v>
      </c>
      <c r="N549" t="s">
        <v>102</v>
      </c>
      <c r="O549"/>
      <c r="P549"/>
      <c r="Q549"/>
    </row>
    <row r="550" spans="1:17" x14ac:dyDescent="0.3">
      <c r="A550" t="str">
        <f>"16944"</f>
        <v>16944</v>
      </c>
      <c r="B550">
        <v>61936</v>
      </c>
      <c r="C550">
        <v>1</v>
      </c>
      <c r="D550" t="str">
        <f>" "</f>
        <v xml:space="preserve"> </v>
      </c>
      <c r="E550"/>
      <c r="F550" s="19">
        <v>42488.463391203702</v>
      </c>
      <c r="G550"/>
      <c r="H550">
        <v>1</v>
      </c>
      <c r="I550">
        <v>0</v>
      </c>
      <c r="J550"/>
      <c r="K550"/>
      <c r="L550"/>
      <c r="M550" s="1">
        <v>42531</v>
      </c>
      <c r="N550" t="s">
        <v>102</v>
      </c>
      <c r="O550"/>
      <c r="P550"/>
      <c r="Q550"/>
    </row>
    <row r="551" spans="1:17" x14ac:dyDescent="0.3">
      <c r="A551" t="str">
        <f>"16943"</f>
        <v>16943</v>
      </c>
      <c r="B551">
        <v>62049</v>
      </c>
      <c r="C551">
        <v>1</v>
      </c>
      <c r="D551" t="str">
        <f>" "</f>
        <v xml:space="preserve"> </v>
      </c>
      <c r="E551"/>
      <c r="F551" s="19">
        <v>42488.422743055555</v>
      </c>
      <c r="G551"/>
      <c r="H551">
        <v>6</v>
      </c>
      <c r="I551">
        <v>0</v>
      </c>
      <c r="J551"/>
      <c r="K551"/>
      <c r="L551"/>
      <c r="M551" s="1">
        <v>42538</v>
      </c>
      <c r="N551" t="s">
        <v>102</v>
      </c>
      <c r="O551"/>
      <c r="P551"/>
      <c r="Q551"/>
    </row>
    <row r="552" spans="1:17" x14ac:dyDescent="0.3">
      <c r="A552" t="str">
        <f>"16942"</f>
        <v>16942</v>
      </c>
      <c r="B552">
        <v>62162</v>
      </c>
      <c r="C552">
        <v>1</v>
      </c>
      <c r="D552" t="str">
        <f>" "</f>
        <v xml:space="preserve"> </v>
      </c>
      <c r="E552"/>
      <c r="F552" s="19">
        <v>42488.400509259256</v>
      </c>
      <c r="G552"/>
      <c r="H552">
        <v>3</v>
      </c>
      <c r="I552">
        <v>0</v>
      </c>
      <c r="J552"/>
      <c r="K552"/>
      <c r="L552"/>
      <c r="M552" s="1">
        <v>42545</v>
      </c>
      <c r="N552" t="s">
        <v>102</v>
      </c>
      <c r="O552"/>
      <c r="P552"/>
      <c r="Q552"/>
    </row>
    <row r="553" spans="1:17" x14ac:dyDescent="0.3">
      <c r="A553" t="str">
        <f>"16937"</f>
        <v>16937</v>
      </c>
      <c r="B553">
        <v>62275</v>
      </c>
      <c r="C553">
        <v>1</v>
      </c>
      <c r="D553" t="str">
        <f>" "</f>
        <v xml:space="preserve"> </v>
      </c>
      <c r="E553"/>
      <c r="F553" s="19">
        <v>42487.65388888889</v>
      </c>
      <c r="G553"/>
      <c r="H553">
        <v>1</v>
      </c>
      <c r="I553">
        <v>0</v>
      </c>
      <c r="J553"/>
      <c r="K553"/>
      <c r="L553"/>
      <c r="M553" s="1">
        <v>42538</v>
      </c>
      <c r="N553" t="s">
        <v>102</v>
      </c>
      <c r="O553"/>
      <c r="P553"/>
      <c r="Q553"/>
    </row>
    <row r="554" spans="1:17" x14ac:dyDescent="0.3">
      <c r="A554" t="str">
        <f>"16935"</f>
        <v>16935</v>
      </c>
      <c r="B554">
        <v>62388</v>
      </c>
      <c r="C554">
        <v>1</v>
      </c>
      <c r="D554" t="str">
        <f>" "</f>
        <v xml:space="preserve"> </v>
      </c>
      <c r="E554"/>
      <c r="F554" s="19">
        <v>42487.59171296296</v>
      </c>
      <c r="G554"/>
      <c r="H554">
        <v>15</v>
      </c>
      <c r="I554">
        <v>0</v>
      </c>
      <c r="J554"/>
      <c r="K554"/>
      <c r="L554"/>
      <c r="M554" s="1">
        <v>42538</v>
      </c>
      <c r="N554" t="s">
        <v>102</v>
      </c>
      <c r="O554"/>
      <c r="P554"/>
      <c r="Q554"/>
    </row>
    <row r="555" spans="1:17" x14ac:dyDescent="0.3">
      <c r="A555" t="str">
        <f>"16934"</f>
        <v>16934</v>
      </c>
      <c r="B555">
        <v>62501</v>
      </c>
      <c r="C555">
        <v>1</v>
      </c>
      <c r="D555" t="str">
        <f>" "</f>
        <v xml:space="preserve"> </v>
      </c>
      <c r="E555"/>
      <c r="F555" s="19">
        <v>42487.574884259258</v>
      </c>
      <c r="G555"/>
      <c r="H555">
        <v>15</v>
      </c>
      <c r="I555">
        <v>0</v>
      </c>
      <c r="J555"/>
      <c r="K555"/>
      <c r="L555"/>
      <c r="M555" s="1">
        <v>42531</v>
      </c>
      <c r="N555" t="s">
        <v>102</v>
      </c>
      <c r="O555"/>
      <c r="P555"/>
      <c r="Q555"/>
    </row>
    <row r="556" spans="1:17" x14ac:dyDescent="0.3">
      <c r="A556" t="str">
        <f>"16931"</f>
        <v>16931</v>
      </c>
      <c r="B556">
        <v>62614</v>
      </c>
      <c r="C556">
        <v>1</v>
      </c>
      <c r="D556" t="str">
        <f>" "</f>
        <v xml:space="preserve"> </v>
      </c>
      <c r="E556"/>
      <c r="F556" s="19">
        <v>42486.637048611112</v>
      </c>
      <c r="G556"/>
      <c r="H556">
        <v>3</v>
      </c>
      <c r="I556">
        <v>0</v>
      </c>
      <c r="J556"/>
      <c r="K556"/>
      <c r="L556"/>
      <c r="M556" s="1">
        <v>42522</v>
      </c>
      <c r="N556" t="s">
        <v>102</v>
      </c>
      <c r="O556"/>
      <c r="P556"/>
      <c r="Q556"/>
    </row>
    <row r="557" spans="1:17" x14ac:dyDescent="0.3">
      <c r="A557" t="str">
        <f>"16930"</f>
        <v>16930</v>
      </c>
      <c r="B557">
        <v>62727</v>
      </c>
      <c r="C557">
        <v>1</v>
      </c>
      <c r="D557" t="str">
        <f>" "</f>
        <v xml:space="preserve"> </v>
      </c>
      <c r="E557"/>
      <c r="F557" s="19">
        <v>42486.467326388891</v>
      </c>
      <c r="G557"/>
      <c r="H557">
        <v>4</v>
      </c>
      <c r="I557">
        <v>0</v>
      </c>
      <c r="J557"/>
      <c r="K557"/>
      <c r="L557"/>
      <c r="M557" s="1">
        <v>42522</v>
      </c>
      <c r="N557" t="s">
        <v>102</v>
      </c>
      <c r="O557"/>
      <c r="P557"/>
      <c r="Q557"/>
    </row>
    <row r="558" spans="1:17" x14ac:dyDescent="0.3">
      <c r="A558" t="str">
        <f>"16930"</f>
        <v>16930</v>
      </c>
      <c r="B558">
        <v>62840</v>
      </c>
      <c r="C558">
        <v>3</v>
      </c>
      <c r="D558" t="str">
        <f>" "</f>
        <v xml:space="preserve"> </v>
      </c>
      <c r="E558"/>
      <c r="F558" s="19">
        <v>42487.391574074078</v>
      </c>
      <c r="G558"/>
      <c r="H558">
        <v>4</v>
      </c>
      <c r="I558">
        <v>0</v>
      </c>
      <c r="J558"/>
      <c r="K558"/>
      <c r="L558"/>
      <c r="M558" s="1">
        <v>42522</v>
      </c>
      <c r="N558" t="s">
        <v>102</v>
      </c>
      <c r="O558"/>
      <c r="P558"/>
      <c r="Q558"/>
    </row>
    <row r="559" spans="1:17" x14ac:dyDescent="0.3">
      <c r="A559" t="str">
        <f>"16929"</f>
        <v>16929</v>
      </c>
      <c r="B559">
        <v>62953</v>
      </c>
      <c r="C559">
        <v>1</v>
      </c>
      <c r="D559" t="str">
        <f>" "</f>
        <v xml:space="preserve"> </v>
      </c>
      <c r="E559"/>
      <c r="F559" s="19">
        <v>42486.380474537036</v>
      </c>
      <c r="G559"/>
      <c r="H559">
        <v>1</v>
      </c>
      <c r="I559">
        <v>0</v>
      </c>
      <c r="J559"/>
      <c r="K559"/>
      <c r="L559"/>
      <c r="M559"/>
      <c r="N559" t="s">
        <v>102</v>
      </c>
      <c r="O559"/>
      <c r="P559"/>
      <c r="Q559"/>
    </row>
    <row r="560" spans="1:17" x14ac:dyDescent="0.3">
      <c r="A560" t="str">
        <f>"16929"</f>
        <v>16929</v>
      </c>
      <c r="B560">
        <v>63066</v>
      </c>
      <c r="C560">
        <v>2</v>
      </c>
      <c r="D560" t="str">
        <f>" "</f>
        <v xml:space="preserve"> </v>
      </c>
      <c r="E560"/>
      <c r="F560" s="19">
        <v>42486.380474537036</v>
      </c>
      <c r="G560"/>
      <c r="H560">
        <v>1</v>
      </c>
      <c r="I560">
        <v>0</v>
      </c>
      <c r="J560"/>
      <c r="K560"/>
      <c r="L560"/>
      <c r="M560"/>
      <c r="N560" t="s">
        <v>102</v>
      </c>
      <c r="O560"/>
      <c r="P560"/>
      <c r="Q560"/>
    </row>
    <row r="561" spans="1:17" x14ac:dyDescent="0.3">
      <c r="A561" t="str">
        <f>"16928"</f>
        <v>16928</v>
      </c>
      <c r="B561">
        <v>63179</v>
      </c>
      <c r="C561">
        <v>1</v>
      </c>
      <c r="D561" t="str">
        <f>" "</f>
        <v xml:space="preserve"> </v>
      </c>
      <c r="E561"/>
      <c r="F561" s="19">
        <v>42485.439293981479</v>
      </c>
      <c r="G561"/>
      <c r="H561">
        <v>1</v>
      </c>
      <c r="I561">
        <v>0</v>
      </c>
      <c r="J561"/>
      <c r="K561"/>
      <c r="L561"/>
      <c r="M561" s="1">
        <v>42507</v>
      </c>
      <c r="N561" t="s">
        <v>102</v>
      </c>
      <c r="O561"/>
      <c r="P561"/>
      <c r="Q561"/>
    </row>
    <row r="562" spans="1:17" x14ac:dyDescent="0.3">
      <c r="A562" t="str">
        <f>"16926"</f>
        <v>16926</v>
      </c>
      <c r="B562">
        <v>63292</v>
      </c>
      <c r="C562">
        <v>1</v>
      </c>
      <c r="D562" t="str">
        <f>" "</f>
        <v xml:space="preserve"> </v>
      </c>
      <c r="E562"/>
      <c r="F562" s="19">
        <v>42481.460856481484</v>
      </c>
      <c r="G562"/>
      <c r="H562">
        <v>1</v>
      </c>
      <c r="I562">
        <v>0</v>
      </c>
      <c r="J562"/>
      <c r="K562"/>
      <c r="L562"/>
      <c r="M562" s="1">
        <v>42524</v>
      </c>
      <c r="N562" t="s">
        <v>102</v>
      </c>
      <c r="O562"/>
      <c r="P562"/>
      <c r="Q562"/>
    </row>
    <row r="563" spans="1:17" x14ac:dyDescent="0.3">
      <c r="A563" t="str">
        <f>"16925"</f>
        <v>16925</v>
      </c>
      <c r="B563">
        <v>63405</v>
      </c>
      <c r="C563">
        <v>1</v>
      </c>
      <c r="D563" t="str">
        <f>" "</f>
        <v xml:space="preserve"> </v>
      </c>
      <c r="E563"/>
      <c r="F563" s="19">
        <v>42481.450937499998</v>
      </c>
      <c r="G563"/>
      <c r="H563">
        <v>3</v>
      </c>
      <c r="I563">
        <v>0</v>
      </c>
      <c r="J563"/>
      <c r="K563"/>
      <c r="L563"/>
      <c r="M563" s="1">
        <v>42531</v>
      </c>
      <c r="N563" t="s">
        <v>102</v>
      </c>
      <c r="O563"/>
      <c r="P563"/>
      <c r="Q563"/>
    </row>
    <row r="564" spans="1:17" x14ac:dyDescent="0.3">
      <c r="A564" t="str">
        <f>"16924"</f>
        <v>16924</v>
      </c>
      <c r="B564">
        <v>63518</v>
      </c>
      <c r="C564">
        <v>1</v>
      </c>
      <c r="D564" t="str">
        <f>" "</f>
        <v xml:space="preserve"> </v>
      </c>
      <c r="E564"/>
      <c r="F564" s="19">
        <v>42481.442048611112</v>
      </c>
      <c r="G564"/>
      <c r="H564">
        <v>15</v>
      </c>
      <c r="I564">
        <v>0</v>
      </c>
      <c r="J564"/>
      <c r="K564"/>
      <c r="L564"/>
      <c r="M564" s="1">
        <v>42545</v>
      </c>
      <c r="N564" t="s">
        <v>102</v>
      </c>
      <c r="O564"/>
      <c r="P564"/>
      <c r="Q564"/>
    </row>
    <row r="565" spans="1:17" x14ac:dyDescent="0.3">
      <c r="A565" t="str">
        <f>"16923"</f>
        <v>16923</v>
      </c>
      <c r="B565">
        <v>63631</v>
      </c>
      <c r="C565">
        <v>1</v>
      </c>
      <c r="D565" t="str">
        <f>" "</f>
        <v xml:space="preserve"> </v>
      </c>
      <c r="E565"/>
      <c r="F565" s="19">
        <v>42480.560416666667</v>
      </c>
      <c r="G565"/>
      <c r="H565">
        <v>1</v>
      </c>
      <c r="I565">
        <v>0</v>
      </c>
      <c r="J565"/>
      <c r="K565"/>
      <c r="L565"/>
      <c r="M565" s="1">
        <v>42513</v>
      </c>
      <c r="N565" t="s">
        <v>102</v>
      </c>
      <c r="O565"/>
      <c r="P565"/>
      <c r="Q565"/>
    </row>
    <row r="566" spans="1:17" x14ac:dyDescent="0.3">
      <c r="A566" t="str">
        <f>"16923"</f>
        <v>16923</v>
      </c>
      <c r="B566">
        <v>63744</v>
      </c>
      <c r="C566">
        <v>2</v>
      </c>
      <c r="D566" t="str">
        <f>" "</f>
        <v xml:space="preserve"> </v>
      </c>
      <c r="E566"/>
      <c r="F566" s="19">
        <v>42480.560416666667</v>
      </c>
      <c r="G566"/>
      <c r="H566">
        <v>1</v>
      </c>
      <c r="I566">
        <v>0</v>
      </c>
      <c r="J566"/>
      <c r="K566"/>
      <c r="L566"/>
      <c r="M566" s="1">
        <v>42513</v>
      </c>
      <c r="N566" t="s">
        <v>102</v>
      </c>
      <c r="O566"/>
      <c r="P566"/>
      <c r="Q566"/>
    </row>
    <row r="567" spans="1:17" x14ac:dyDescent="0.3">
      <c r="A567" t="str">
        <f>"16923"</f>
        <v>16923</v>
      </c>
      <c r="B567">
        <v>63857</v>
      </c>
      <c r="C567">
        <v>3</v>
      </c>
      <c r="D567" t="str">
        <f>" "</f>
        <v xml:space="preserve"> </v>
      </c>
      <c r="E567"/>
      <c r="F567" s="19">
        <v>42480.560416666667</v>
      </c>
      <c r="G567"/>
      <c r="H567">
        <v>1</v>
      </c>
      <c r="I567">
        <v>0</v>
      </c>
      <c r="J567"/>
      <c r="K567"/>
      <c r="L567"/>
      <c r="M567" s="1">
        <v>42513</v>
      </c>
      <c r="N567" t="s">
        <v>102</v>
      </c>
      <c r="O567"/>
      <c r="P567"/>
      <c r="Q567"/>
    </row>
    <row r="568" spans="1:17" x14ac:dyDescent="0.3">
      <c r="A568" t="str">
        <f>"16923"</f>
        <v>16923</v>
      </c>
      <c r="B568">
        <v>63970</v>
      </c>
      <c r="C568">
        <v>4</v>
      </c>
      <c r="D568" t="str">
        <f>" "</f>
        <v xml:space="preserve"> </v>
      </c>
      <c r="E568"/>
      <c r="F568" s="19">
        <v>42480.560416666667</v>
      </c>
      <c r="G568"/>
      <c r="H568">
        <v>1</v>
      </c>
      <c r="I568">
        <v>0</v>
      </c>
      <c r="J568"/>
      <c r="K568"/>
      <c r="L568"/>
      <c r="M568" s="1">
        <v>42513</v>
      </c>
      <c r="N568" t="s">
        <v>102</v>
      </c>
      <c r="O568"/>
      <c r="P568"/>
      <c r="Q568"/>
    </row>
    <row r="569" spans="1:17" x14ac:dyDescent="0.3">
      <c r="A569" t="str">
        <f>"16923"</f>
        <v>16923</v>
      </c>
      <c r="B569">
        <v>64083</v>
      </c>
      <c r="C569">
        <v>5</v>
      </c>
      <c r="D569" t="str">
        <f>" "</f>
        <v xml:space="preserve"> </v>
      </c>
      <c r="E569"/>
      <c r="F569" s="19">
        <v>42501.615208333336</v>
      </c>
      <c r="G569"/>
      <c r="H569">
        <v>1</v>
      </c>
      <c r="I569">
        <v>0</v>
      </c>
      <c r="J569"/>
      <c r="K569"/>
      <c r="L569"/>
      <c r="M569" s="1">
        <v>42531</v>
      </c>
      <c r="N569" t="s">
        <v>102</v>
      </c>
      <c r="O569"/>
      <c r="P569"/>
      <c r="Q569"/>
    </row>
    <row r="570" spans="1:17" x14ac:dyDescent="0.3">
      <c r="A570" t="str">
        <f>"16917"</f>
        <v>16917</v>
      </c>
      <c r="B570">
        <v>64196</v>
      </c>
      <c r="C570">
        <v>1</v>
      </c>
      <c r="D570" t="str">
        <f>" "</f>
        <v xml:space="preserve"> </v>
      </c>
      <c r="E570"/>
      <c r="F570" s="19">
        <v>42478.65797453704</v>
      </c>
      <c r="G570"/>
      <c r="H570">
        <v>1</v>
      </c>
      <c r="I570">
        <v>0</v>
      </c>
      <c r="J570"/>
      <c r="K570"/>
      <c r="L570"/>
      <c r="M570" s="1">
        <v>42496</v>
      </c>
      <c r="N570" t="s">
        <v>102</v>
      </c>
      <c r="O570"/>
      <c r="P570"/>
      <c r="Q570"/>
    </row>
    <row r="571" spans="1:17" x14ac:dyDescent="0.3">
      <c r="A571" t="str">
        <f>"16916"</f>
        <v>16916</v>
      </c>
      <c r="B571">
        <v>64309</v>
      </c>
      <c r="C571">
        <v>1</v>
      </c>
      <c r="D571" t="str">
        <f>" "</f>
        <v xml:space="preserve"> </v>
      </c>
      <c r="E571"/>
      <c r="F571" s="19">
        <v>42478.533622685187</v>
      </c>
      <c r="G571"/>
      <c r="H571">
        <v>1</v>
      </c>
      <c r="I571">
        <v>0</v>
      </c>
      <c r="J571"/>
      <c r="K571"/>
      <c r="L571"/>
      <c r="M571" s="1">
        <v>42486</v>
      </c>
      <c r="N571" t="s">
        <v>102</v>
      </c>
      <c r="O571"/>
      <c r="P571"/>
      <c r="Q571"/>
    </row>
    <row r="572" spans="1:17" x14ac:dyDescent="0.3">
      <c r="A572" t="str">
        <f>"16916"</f>
        <v>16916</v>
      </c>
      <c r="B572">
        <v>64422</v>
      </c>
      <c r="C572">
        <v>2</v>
      </c>
      <c r="D572" t="str">
        <f>" "</f>
        <v xml:space="preserve"> </v>
      </c>
      <c r="E572"/>
      <c r="F572" s="19">
        <v>42503.330555555556</v>
      </c>
      <c r="G572"/>
      <c r="H572">
        <v>1</v>
      </c>
      <c r="I572">
        <v>0</v>
      </c>
      <c r="J572"/>
      <c r="K572"/>
      <c r="L572"/>
      <c r="M572" s="1">
        <v>42521</v>
      </c>
      <c r="N572" t="s">
        <v>102</v>
      </c>
      <c r="O572"/>
      <c r="P572"/>
      <c r="Q572"/>
    </row>
    <row r="573" spans="1:17" x14ac:dyDescent="0.3">
      <c r="A573" t="str">
        <f>"16914"</f>
        <v>16914</v>
      </c>
      <c r="B573">
        <v>64535</v>
      </c>
      <c r="C573">
        <v>1</v>
      </c>
      <c r="D573" t="str">
        <f>" "</f>
        <v xml:space="preserve"> </v>
      </c>
      <c r="E573"/>
      <c r="F573" s="19">
        <v>42474.455497685187</v>
      </c>
      <c r="G573"/>
      <c r="H573">
        <v>4</v>
      </c>
      <c r="I573">
        <v>0</v>
      </c>
      <c r="J573"/>
      <c r="K573"/>
      <c r="L573"/>
      <c r="M573" s="1">
        <v>42529</v>
      </c>
      <c r="N573" t="s">
        <v>102</v>
      </c>
      <c r="O573"/>
      <c r="P573"/>
      <c r="Q573"/>
    </row>
    <row r="574" spans="1:17" x14ac:dyDescent="0.3">
      <c r="A574" t="str">
        <f>"16914"</f>
        <v>16914</v>
      </c>
      <c r="B574">
        <v>64648</v>
      </c>
      <c r="C574">
        <v>2</v>
      </c>
      <c r="D574" t="str">
        <f>" "</f>
        <v xml:space="preserve"> </v>
      </c>
      <c r="E574"/>
      <c r="F574" s="19">
        <v>42474.455497685187</v>
      </c>
      <c r="G574"/>
      <c r="H574">
        <v>1</v>
      </c>
      <c r="I574">
        <v>0</v>
      </c>
      <c r="J574"/>
      <c r="K574"/>
      <c r="L574"/>
      <c r="M574" s="1">
        <v>42529</v>
      </c>
      <c r="N574" t="s">
        <v>102</v>
      </c>
      <c r="O574"/>
      <c r="P574"/>
      <c r="Q574"/>
    </row>
    <row r="575" spans="1:17" x14ac:dyDescent="0.3">
      <c r="A575" t="str">
        <f>"16914"</f>
        <v>16914</v>
      </c>
      <c r="B575">
        <v>64761</v>
      </c>
      <c r="C575">
        <v>3</v>
      </c>
      <c r="D575" t="str">
        <f>" "</f>
        <v xml:space="preserve"> </v>
      </c>
      <c r="E575"/>
      <c r="F575" s="19">
        <v>42474.455497685187</v>
      </c>
      <c r="G575"/>
      <c r="H575">
        <v>1</v>
      </c>
      <c r="I575">
        <v>0</v>
      </c>
      <c r="J575"/>
      <c r="K575"/>
      <c r="L575"/>
      <c r="M575" s="1">
        <v>42529</v>
      </c>
      <c r="N575" t="s">
        <v>102</v>
      </c>
      <c r="O575"/>
      <c r="P575"/>
      <c r="Q575"/>
    </row>
    <row r="576" spans="1:17" x14ac:dyDescent="0.3">
      <c r="A576" t="str">
        <f>"16914"</f>
        <v>16914</v>
      </c>
      <c r="B576">
        <v>64874</v>
      </c>
      <c r="C576">
        <v>4</v>
      </c>
      <c r="D576" t="str">
        <f>" "</f>
        <v xml:space="preserve"> </v>
      </c>
      <c r="E576"/>
      <c r="F576" s="19">
        <v>42474.455497685187</v>
      </c>
      <c r="G576"/>
      <c r="H576">
        <v>1</v>
      </c>
      <c r="I576">
        <v>0</v>
      </c>
      <c r="J576"/>
      <c r="K576"/>
      <c r="L576"/>
      <c r="M576" s="1">
        <v>42529</v>
      </c>
      <c r="N576" t="s">
        <v>102</v>
      </c>
      <c r="O576"/>
      <c r="P576"/>
      <c r="Q576"/>
    </row>
    <row r="577" spans="1:17" x14ac:dyDescent="0.3">
      <c r="A577" t="str">
        <f>"16914"</f>
        <v>16914</v>
      </c>
      <c r="B577">
        <v>64987</v>
      </c>
      <c r="C577">
        <v>5</v>
      </c>
      <c r="D577" t="str">
        <f>" "</f>
        <v xml:space="preserve"> </v>
      </c>
      <c r="E577"/>
      <c r="F577" s="19">
        <v>42474.455497685187</v>
      </c>
      <c r="G577"/>
      <c r="H577">
        <v>4</v>
      </c>
      <c r="I577">
        <v>0</v>
      </c>
      <c r="J577"/>
      <c r="K577"/>
      <c r="L577"/>
      <c r="M577" s="1">
        <v>42529</v>
      </c>
      <c r="N577" t="s">
        <v>102</v>
      </c>
      <c r="O577"/>
      <c r="P577"/>
      <c r="Q577"/>
    </row>
    <row r="578" spans="1:17" x14ac:dyDescent="0.3">
      <c r="A578" t="str">
        <f>"16914"</f>
        <v>16914</v>
      </c>
      <c r="B578">
        <v>65100</v>
      </c>
      <c r="C578">
        <v>6</v>
      </c>
      <c r="D578" t="str">
        <f>" "</f>
        <v xml:space="preserve"> </v>
      </c>
      <c r="E578"/>
      <c r="F578" s="19">
        <v>42474.455497685187</v>
      </c>
      <c r="G578"/>
      <c r="H578">
        <v>4</v>
      </c>
      <c r="I578">
        <v>0</v>
      </c>
      <c r="J578"/>
      <c r="K578"/>
      <c r="L578"/>
      <c r="M578" s="1">
        <v>42529</v>
      </c>
      <c r="N578" t="s">
        <v>102</v>
      </c>
      <c r="O578"/>
      <c r="P578"/>
      <c r="Q578"/>
    </row>
    <row r="579" spans="1:17" x14ac:dyDescent="0.3">
      <c r="A579" t="str">
        <f>"16914"</f>
        <v>16914</v>
      </c>
      <c r="B579">
        <v>65213</v>
      </c>
      <c r="C579">
        <v>7</v>
      </c>
      <c r="D579" t="str">
        <f>" "</f>
        <v xml:space="preserve"> </v>
      </c>
      <c r="E579"/>
      <c r="F579" s="19">
        <v>42474.455497685187</v>
      </c>
      <c r="G579"/>
      <c r="H579">
        <v>4</v>
      </c>
      <c r="I579">
        <v>0</v>
      </c>
      <c r="J579"/>
      <c r="K579"/>
      <c r="L579"/>
      <c r="M579" s="1">
        <v>42529</v>
      </c>
      <c r="N579" t="s">
        <v>102</v>
      </c>
      <c r="O579"/>
      <c r="P579"/>
      <c r="Q579"/>
    </row>
    <row r="580" spans="1:17" x14ac:dyDescent="0.3">
      <c r="A580" t="str">
        <f>"16914"</f>
        <v>16914</v>
      </c>
      <c r="B580">
        <v>65326</v>
      </c>
      <c r="C580">
        <v>8</v>
      </c>
      <c r="D580" t="str">
        <f>" "</f>
        <v xml:space="preserve"> </v>
      </c>
      <c r="E580"/>
      <c r="F580" s="19">
        <v>42474.455497685187</v>
      </c>
      <c r="G580"/>
      <c r="H580">
        <v>4</v>
      </c>
      <c r="I580">
        <v>0</v>
      </c>
      <c r="J580"/>
      <c r="K580"/>
      <c r="L580"/>
      <c r="M580" s="1">
        <v>42529</v>
      </c>
      <c r="N580" t="s">
        <v>102</v>
      </c>
      <c r="O580"/>
      <c r="P580"/>
      <c r="Q580"/>
    </row>
    <row r="581" spans="1:17" x14ac:dyDescent="0.3">
      <c r="A581" t="str">
        <f>"16914"</f>
        <v>16914</v>
      </c>
      <c r="B581">
        <v>65439</v>
      </c>
      <c r="C581">
        <v>9</v>
      </c>
      <c r="D581" t="str">
        <f>" "</f>
        <v xml:space="preserve"> </v>
      </c>
      <c r="E581"/>
      <c r="F581" s="19">
        <v>42474.455497685187</v>
      </c>
      <c r="G581"/>
      <c r="H581">
        <v>4</v>
      </c>
      <c r="I581">
        <v>0</v>
      </c>
      <c r="J581"/>
      <c r="K581"/>
      <c r="L581"/>
      <c r="M581" s="1">
        <v>42529</v>
      </c>
      <c r="N581" t="s">
        <v>102</v>
      </c>
      <c r="O581"/>
      <c r="P581"/>
      <c r="Q581"/>
    </row>
    <row r="582" spans="1:17" x14ac:dyDescent="0.3">
      <c r="A582" t="str">
        <f>"16914"</f>
        <v>16914</v>
      </c>
      <c r="B582">
        <v>65552</v>
      </c>
      <c r="C582">
        <v>10</v>
      </c>
      <c r="D582" t="str">
        <f>" "</f>
        <v xml:space="preserve"> </v>
      </c>
      <c r="E582"/>
      <c r="F582" s="19">
        <v>42474.455497685187</v>
      </c>
      <c r="G582"/>
      <c r="H582">
        <v>4</v>
      </c>
      <c r="I582">
        <v>0</v>
      </c>
      <c r="J582"/>
      <c r="K582"/>
      <c r="L582"/>
      <c r="M582" s="1">
        <v>42529</v>
      </c>
      <c r="N582" t="s">
        <v>102</v>
      </c>
      <c r="O582"/>
      <c r="P582"/>
      <c r="Q582"/>
    </row>
    <row r="583" spans="1:17" x14ac:dyDescent="0.3">
      <c r="A583" t="str">
        <f>"16911"</f>
        <v>16911</v>
      </c>
      <c r="B583">
        <v>65665</v>
      </c>
      <c r="C583">
        <v>1</v>
      </c>
      <c r="D583" t="str">
        <f>" "</f>
        <v xml:space="preserve"> </v>
      </c>
      <c r="E583"/>
      <c r="F583" s="19">
        <v>42474.451736111114</v>
      </c>
      <c r="G583"/>
      <c r="H583">
        <v>5</v>
      </c>
      <c r="I583">
        <v>0</v>
      </c>
      <c r="J583"/>
      <c r="K583"/>
      <c r="L583"/>
      <c r="M583" s="1">
        <v>42531</v>
      </c>
      <c r="N583" t="s">
        <v>102</v>
      </c>
      <c r="O583"/>
      <c r="P583"/>
      <c r="Q583"/>
    </row>
    <row r="584" spans="1:17" x14ac:dyDescent="0.3">
      <c r="A584" t="str">
        <f>"16909"</f>
        <v>16909</v>
      </c>
      <c r="B584">
        <v>65778</v>
      </c>
      <c r="C584">
        <v>1</v>
      </c>
      <c r="D584" t="str">
        <f>" "</f>
        <v xml:space="preserve"> </v>
      </c>
      <c r="E584"/>
      <c r="F584" s="19">
        <v>42474.395138888889</v>
      </c>
      <c r="G584"/>
      <c r="H584">
        <v>3</v>
      </c>
      <c r="I584">
        <v>0</v>
      </c>
      <c r="J584"/>
      <c r="K584"/>
      <c r="L584"/>
      <c r="M584" s="1">
        <v>42538</v>
      </c>
      <c r="N584" t="s">
        <v>102</v>
      </c>
      <c r="O584"/>
      <c r="P584"/>
      <c r="Q584"/>
    </row>
    <row r="585" spans="1:17" x14ac:dyDescent="0.3">
      <c r="A585" t="str">
        <f>"16907"</f>
        <v>16907</v>
      </c>
      <c r="B585">
        <v>65891</v>
      </c>
      <c r="C585">
        <v>1</v>
      </c>
      <c r="D585" t="str">
        <f>" "</f>
        <v xml:space="preserve"> </v>
      </c>
      <c r="E585"/>
      <c r="F585" s="19">
        <v>42473.560057870367</v>
      </c>
      <c r="G585"/>
      <c r="H585">
        <v>3</v>
      </c>
      <c r="I585">
        <v>0</v>
      </c>
      <c r="J585"/>
      <c r="K585"/>
      <c r="L585"/>
      <c r="M585" s="1">
        <v>42515</v>
      </c>
      <c r="N585" t="s">
        <v>102</v>
      </c>
      <c r="O585"/>
      <c r="P585"/>
      <c r="Q585"/>
    </row>
    <row r="586" spans="1:17" x14ac:dyDescent="0.3">
      <c r="A586" t="str">
        <f>"16907"</f>
        <v>16907</v>
      </c>
      <c r="B586">
        <v>66004</v>
      </c>
      <c r="C586">
        <v>2</v>
      </c>
      <c r="D586" t="str">
        <f>" "</f>
        <v xml:space="preserve"> </v>
      </c>
      <c r="E586"/>
      <c r="F586" s="19">
        <v>42473.560057870367</v>
      </c>
      <c r="G586"/>
      <c r="H586">
        <v>3</v>
      </c>
      <c r="I586">
        <v>0</v>
      </c>
      <c r="J586"/>
      <c r="K586"/>
      <c r="L586"/>
      <c r="M586" s="1">
        <v>42494</v>
      </c>
      <c r="N586" t="s">
        <v>102</v>
      </c>
      <c r="O586"/>
      <c r="P586"/>
      <c r="Q586"/>
    </row>
    <row r="587" spans="1:17" x14ac:dyDescent="0.3">
      <c r="A587" t="str">
        <f>"16906"</f>
        <v>16906</v>
      </c>
      <c r="B587">
        <v>66117</v>
      </c>
      <c r="C587">
        <v>1</v>
      </c>
      <c r="D587" t="str">
        <f>" "</f>
        <v xml:space="preserve"> </v>
      </c>
      <c r="E587"/>
      <c r="F587" s="19">
        <v>42473.638773148145</v>
      </c>
      <c r="G587"/>
      <c r="H587">
        <v>8</v>
      </c>
      <c r="I587">
        <v>0</v>
      </c>
      <c r="J587"/>
      <c r="K587"/>
      <c r="L587"/>
      <c r="M587" s="1">
        <v>42538</v>
      </c>
      <c r="N587" t="s">
        <v>102</v>
      </c>
      <c r="O587"/>
      <c r="P587"/>
      <c r="Q587"/>
    </row>
    <row r="588" spans="1:17" x14ac:dyDescent="0.3">
      <c r="A588" t="str">
        <f>"16905"</f>
        <v>16905</v>
      </c>
      <c r="B588">
        <v>66230</v>
      </c>
      <c r="C588">
        <v>1</v>
      </c>
      <c r="D588" t="str">
        <f>" "</f>
        <v xml:space="preserve"> </v>
      </c>
      <c r="E588"/>
      <c r="F588" s="19">
        <v>42473.623518518521</v>
      </c>
      <c r="G588"/>
      <c r="H588">
        <v>4</v>
      </c>
      <c r="I588">
        <v>0</v>
      </c>
      <c r="J588"/>
      <c r="K588"/>
      <c r="L588"/>
      <c r="M588" s="1">
        <v>42538</v>
      </c>
      <c r="N588" t="s">
        <v>102</v>
      </c>
      <c r="O588"/>
      <c r="P588"/>
      <c r="Q588"/>
    </row>
    <row r="589" spans="1:17" x14ac:dyDescent="0.3">
      <c r="A589" t="str">
        <f>"16903"</f>
        <v>16903</v>
      </c>
      <c r="B589">
        <v>66343</v>
      </c>
      <c r="C589">
        <v>1</v>
      </c>
      <c r="D589" t="str">
        <f>" "</f>
        <v xml:space="preserve"> </v>
      </c>
      <c r="E589"/>
      <c r="F589" s="19">
        <v>42473.434386574074</v>
      </c>
      <c r="G589"/>
      <c r="H589">
        <v>2</v>
      </c>
      <c r="I589">
        <v>0</v>
      </c>
      <c r="J589"/>
      <c r="K589"/>
      <c r="L589"/>
      <c r="M589" s="1">
        <v>42494</v>
      </c>
      <c r="N589" t="s">
        <v>102</v>
      </c>
      <c r="O589"/>
      <c r="P589"/>
      <c r="Q589"/>
    </row>
    <row r="590" spans="1:17" x14ac:dyDescent="0.3">
      <c r="A590" t="str">
        <f>"16903"</f>
        <v>16903</v>
      </c>
      <c r="B590">
        <v>66456</v>
      </c>
      <c r="C590">
        <v>2</v>
      </c>
      <c r="D590" t="str">
        <f>" "</f>
        <v xml:space="preserve"> </v>
      </c>
      <c r="E590"/>
      <c r="F590" s="19">
        <v>42473.434386574074</v>
      </c>
      <c r="G590"/>
      <c r="H590">
        <v>2</v>
      </c>
      <c r="I590">
        <v>0</v>
      </c>
      <c r="J590"/>
      <c r="K590"/>
      <c r="L590"/>
      <c r="M590" s="1">
        <v>42494</v>
      </c>
      <c r="N590" t="s">
        <v>102</v>
      </c>
      <c r="O590"/>
      <c r="P590"/>
      <c r="Q590"/>
    </row>
    <row r="591" spans="1:17" x14ac:dyDescent="0.3">
      <c r="A591" t="str">
        <f>"16903"</f>
        <v>16903</v>
      </c>
      <c r="B591">
        <v>66569</v>
      </c>
      <c r="C591">
        <v>3</v>
      </c>
      <c r="D591" t="str">
        <f>" "</f>
        <v xml:space="preserve"> </v>
      </c>
      <c r="E591"/>
      <c r="F591" s="19">
        <v>42473.434386574074</v>
      </c>
      <c r="G591"/>
      <c r="H591">
        <v>2</v>
      </c>
      <c r="I591">
        <v>0</v>
      </c>
      <c r="J591"/>
      <c r="K591"/>
      <c r="L591"/>
      <c r="M591" s="1">
        <v>42502</v>
      </c>
      <c r="N591" t="s">
        <v>102</v>
      </c>
      <c r="O591"/>
      <c r="P591"/>
      <c r="Q591"/>
    </row>
    <row r="592" spans="1:17" x14ac:dyDescent="0.3">
      <c r="A592" t="str">
        <f>"16902"</f>
        <v>16902</v>
      </c>
      <c r="B592">
        <v>66682</v>
      </c>
      <c r="C592">
        <v>1</v>
      </c>
      <c r="D592" t="str">
        <f>" "</f>
        <v xml:space="preserve"> </v>
      </c>
      <c r="E592"/>
      <c r="F592" s="19">
        <v>42473.61383101852</v>
      </c>
      <c r="G592"/>
      <c r="H592">
        <v>4</v>
      </c>
      <c r="I592">
        <v>0</v>
      </c>
      <c r="J592"/>
      <c r="K592"/>
      <c r="L592"/>
      <c r="M592" s="1">
        <v>42538</v>
      </c>
      <c r="N592" t="s">
        <v>102</v>
      </c>
      <c r="O592"/>
      <c r="P592"/>
      <c r="Q592"/>
    </row>
    <row r="593" spans="1:17" x14ac:dyDescent="0.3">
      <c r="A593" t="str">
        <f>"16900"</f>
        <v>16900</v>
      </c>
      <c r="B593">
        <v>66795</v>
      </c>
      <c r="C593">
        <v>1</v>
      </c>
      <c r="D593" t="str">
        <f>" "</f>
        <v xml:space="preserve"> </v>
      </c>
      <c r="E593"/>
      <c r="F593" s="19">
        <v>42473.632638888892</v>
      </c>
      <c r="G593"/>
      <c r="H593">
        <v>2</v>
      </c>
      <c r="I593">
        <v>0</v>
      </c>
      <c r="J593"/>
      <c r="K593"/>
      <c r="L593"/>
      <c r="M593" s="1">
        <v>42538</v>
      </c>
      <c r="N593" t="s">
        <v>102</v>
      </c>
      <c r="O593"/>
      <c r="P593"/>
      <c r="Q593"/>
    </row>
    <row r="594" spans="1:17" x14ac:dyDescent="0.3">
      <c r="A594" t="str">
        <f>"16897"</f>
        <v>16897</v>
      </c>
      <c r="B594">
        <v>66908</v>
      </c>
      <c r="C594">
        <v>1</v>
      </c>
      <c r="D594" t="str">
        <f>" "</f>
        <v xml:space="preserve"> </v>
      </c>
      <c r="E594"/>
      <c r="F594" s="19">
        <v>42472.611793981479</v>
      </c>
      <c r="G594"/>
      <c r="H594">
        <v>10</v>
      </c>
      <c r="I594">
        <v>0</v>
      </c>
      <c r="J594"/>
      <c r="K594"/>
      <c r="L594"/>
      <c r="M594" s="1">
        <v>42524</v>
      </c>
      <c r="N594" t="s">
        <v>102</v>
      </c>
      <c r="O594"/>
      <c r="P594"/>
      <c r="Q594"/>
    </row>
    <row r="595" spans="1:17" x14ac:dyDescent="0.3">
      <c r="A595" t="str">
        <f>"16895"</f>
        <v>16895</v>
      </c>
      <c r="B595">
        <v>67021</v>
      </c>
      <c r="C595">
        <v>1</v>
      </c>
      <c r="D595" t="str">
        <f>" "</f>
        <v xml:space="preserve"> </v>
      </c>
      <c r="E595"/>
      <c r="F595" s="19">
        <v>42472.54892361111</v>
      </c>
      <c r="G595"/>
      <c r="H595">
        <v>2</v>
      </c>
      <c r="I595">
        <v>0</v>
      </c>
      <c r="J595"/>
      <c r="K595"/>
      <c r="L595"/>
      <c r="M595" s="1">
        <v>42531</v>
      </c>
      <c r="N595" t="s">
        <v>102</v>
      </c>
      <c r="O595"/>
      <c r="P595"/>
      <c r="Q595"/>
    </row>
    <row r="596" spans="1:17" x14ac:dyDescent="0.3">
      <c r="A596" t="str">
        <f>"16893"</f>
        <v>16893</v>
      </c>
      <c r="B596">
        <v>67134</v>
      </c>
      <c r="C596">
        <v>1</v>
      </c>
      <c r="D596" t="str">
        <f>" "</f>
        <v xml:space="preserve"> </v>
      </c>
      <c r="E596"/>
      <c r="F596" s="19">
        <v>42472.430127314816</v>
      </c>
      <c r="G596"/>
      <c r="H596">
        <v>1</v>
      </c>
      <c r="I596">
        <v>0</v>
      </c>
      <c r="J596"/>
      <c r="K596"/>
      <c r="L596"/>
      <c r="M596" s="1">
        <v>42522</v>
      </c>
      <c r="N596" t="s">
        <v>102</v>
      </c>
      <c r="O596"/>
      <c r="P596"/>
      <c r="Q596"/>
    </row>
    <row r="597" spans="1:17" x14ac:dyDescent="0.3">
      <c r="A597" t="str">
        <f>"16893"</f>
        <v>16893</v>
      </c>
      <c r="B597">
        <v>67247</v>
      </c>
      <c r="C597">
        <v>2</v>
      </c>
      <c r="D597" t="str">
        <f>" "</f>
        <v xml:space="preserve"> </v>
      </c>
      <c r="E597"/>
      <c r="F597" s="19">
        <v>42472.430127314816</v>
      </c>
      <c r="G597"/>
      <c r="H597">
        <v>1</v>
      </c>
      <c r="I597">
        <v>0</v>
      </c>
      <c r="J597"/>
      <c r="K597"/>
      <c r="L597"/>
      <c r="M597" s="1">
        <v>42522</v>
      </c>
      <c r="N597" t="s">
        <v>102</v>
      </c>
      <c r="O597"/>
      <c r="P597"/>
      <c r="Q597"/>
    </row>
    <row r="598" spans="1:17" x14ac:dyDescent="0.3">
      <c r="A598" t="str">
        <f>"16893"</f>
        <v>16893</v>
      </c>
      <c r="B598">
        <v>67360</v>
      </c>
      <c r="C598">
        <v>3</v>
      </c>
      <c r="D598" t="str">
        <f>" "</f>
        <v xml:space="preserve"> </v>
      </c>
      <c r="E598"/>
      <c r="F598" s="19">
        <v>42472.430127314816</v>
      </c>
      <c r="G598"/>
      <c r="H598">
        <v>1</v>
      </c>
      <c r="I598">
        <v>0</v>
      </c>
      <c r="J598"/>
      <c r="K598"/>
      <c r="L598"/>
      <c r="M598" s="1">
        <v>42522</v>
      </c>
      <c r="N598" t="s">
        <v>102</v>
      </c>
      <c r="O598"/>
      <c r="P598"/>
      <c r="Q598"/>
    </row>
    <row r="599" spans="1:17" x14ac:dyDescent="0.3">
      <c r="A599" t="str">
        <f>"16890"</f>
        <v>16890</v>
      </c>
      <c r="B599">
        <v>67473</v>
      </c>
      <c r="C599">
        <v>1</v>
      </c>
      <c r="D599" t="str">
        <f>" "</f>
        <v xml:space="preserve"> </v>
      </c>
      <c r="E599"/>
      <c r="F599" s="19">
        <v>42472.367673611108</v>
      </c>
      <c r="G599"/>
      <c r="H599">
        <v>5</v>
      </c>
      <c r="I599">
        <v>0</v>
      </c>
      <c r="J599"/>
      <c r="K599"/>
      <c r="L599"/>
      <c r="M599" s="1">
        <v>42524</v>
      </c>
      <c r="N599" t="s">
        <v>102</v>
      </c>
      <c r="O599"/>
      <c r="P599"/>
      <c r="Q599"/>
    </row>
    <row r="600" spans="1:17" x14ac:dyDescent="0.3">
      <c r="A600" t="str">
        <f>"16888"</f>
        <v>16888</v>
      </c>
      <c r="B600">
        <v>67586</v>
      </c>
      <c r="C600">
        <v>1</v>
      </c>
      <c r="D600" t="str">
        <f>" "</f>
        <v xml:space="preserve"> </v>
      </c>
      <c r="E600"/>
      <c r="F600" s="19">
        <v>42472.335347222222</v>
      </c>
      <c r="G600"/>
      <c r="H600">
        <v>10</v>
      </c>
      <c r="I600">
        <v>0</v>
      </c>
      <c r="J600"/>
      <c r="K600"/>
      <c r="L600"/>
      <c r="M600" s="1">
        <v>42524</v>
      </c>
      <c r="N600" t="s">
        <v>102</v>
      </c>
      <c r="O600"/>
      <c r="P600"/>
      <c r="Q600"/>
    </row>
    <row r="601" spans="1:17" x14ac:dyDescent="0.3">
      <c r="A601" t="str">
        <f>"16886"</f>
        <v>16886</v>
      </c>
      <c r="B601">
        <v>67699</v>
      </c>
      <c r="C601">
        <v>1</v>
      </c>
      <c r="D601" t="str">
        <f>" "</f>
        <v xml:space="preserve"> </v>
      </c>
      <c r="E601"/>
      <c r="F601" s="19">
        <v>42471.639120370368</v>
      </c>
      <c r="G601"/>
      <c r="H601">
        <v>3</v>
      </c>
      <c r="I601">
        <v>0</v>
      </c>
      <c r="J601"/>
      <c r="K601"/>
      <c r="L601"/>
      <c r="M601" s="1">
        <v>42531</v>
      </c>
      <c r="N601" t="s">
        <v>102</v>
      </c>
      <c r="O601"/>
      <c r="P601"/>
      <c r="Q601"/>
    </row>
    <row r="602" spans="1:17" x14ac:dyDescent="0.3">
      <c r="A602" t="str">
        <f>"16885"</f>
        <v>16885</v>
      </c>
      <c r="B602">
        <v>67812</v>
      </c>
      <c r="C602">
        <v>1</v>
      </c>
      <c r="D602" t="str">
        <f>" "</f>
        <v xml:space="preserve"> </v>
      </c>
      <c r="E602"/>
      <c r="F602" s="19">
        <v>42471.60423611111</v>
      </c>
      <c r="G602"/>
      <c r="H602">
        <v>12</v>
      </c>
      <c r="I602">
        <v>0</v>
      </c>
      <c r="J602"/>
      <c r="K602"/>
      <c r="L602"/>
      <c r="M602" s="1">
        <v>42531</v>
      </c>
      <c r="N602" t="s">
        <v>102</v>
      </c>
      <c r="O602"/>
      <c r="P602"/>
      <c r="Q602"/>
    </row>
    <row r="603" spans="1:17" x14ac:dyDescent="0.3">
      <c r="A603" t="str">
        <f>"16883"</f>
        <v>16883</v>
      </c>
      <c r="B603">
        <v>67925</v>
      </c>
      <c r="C603">
        <v>1</v>
      </c>
      <c r="D603" t="str">
        <f>" "</f>
        <v xml:space="preserve"> </v>
      </c>
      <c r="E603"/>
      <c r="F603" s="19">
        <v>42471.555138888885</v>
      </c>
      <c r="G603"/>
      <c r="H603">
        <v>1</v>
      </c>
      <c r="I603">
        <v>0</v>
      </c>
      <c r="J603"/>
      <c r="K603"/>
      <c r="L603"/>
      <c r="M603" s="1">
        <v>42524</v>
      </c>
      <c r="N603" t="s">
        <v>102</v>
      </c>
      <c r="O603"/>
      <c r="P603"/>
      <c r="Q603"/>
    </row>
    <row r="604" spans="1:17" x14ac:dyDescent="0.3">
      <c r="A604" t="str">
        <f>"16878"</f>
        <v>16878</v>
      </c>
      <c r="B604">
        <v>68038</v>
      </c>
      <c r="C604">
        <v>1</v>
      </c>
      <c r="D604" t="str">
        <f>"SO"</f>
        <v>SO</v>
      </c>
      <c r="E604"/>
      <c r="F604" s="19">
        <v>42468.417731481481</v>
      </c>
      <c r="G604"/>
      <c r="H604">
        <v>1</v>
      </c>
      <c r="I604">
        <v>0</v>
      </c>
      <c r="J604"/>
      <c r="K604"/>
      <c r="L604"/>
      <c r="M604" s="1">
        <v>42475</v>
      </c>
      <c r="N604" t="s">
        <v>102</v>
      </c>
      <c r="O604"/>
      <c r="P604"/>
      <c r="Q604"/>
    </row>
    <row r="605" spans="1:17" x14ac:dyDescent="0.3">
      <c r="A605" t="str">
        <f>"16875"</f>
        <v>16875</v>
      </c>
      <c r="B605">
        <v>68151</v>
      </c>
      <c r="C605">
        <v>2</v>
      </c>
      <c r="D605" t="str">
        <f>" "</f>
        <v xml:space="preserve"> </v>
      </c>
      <c r="E605"/>
      <c r="F605" s="19">
        <v>42467.527581018519</v>
      </c>
      <c r="G605"/>
      <c r="H605">
        <v>1</v>
      </c>
      <c r="I605">
        <v>0</v>
      </c>
      <c r="J605"/>
      <c r="K605"/>
      <c r="L605"/>
      <c r="M605" s="1">
        <v>42556</v>
      </c>
      <c r="N605" t="s">
        <v>102</v>
      </c>
      <c r="O605"/>
      <c r="P605"/>
      <c r="Q605"/>
    </row>
    <row r="606" spans="1:17" x14ac:dyDescent="0.3">
      <c r="A606" t="str">
        <f>"16875"</f>
        <v>16875</v>
      </c>
      <c r="B606">
        <v>68264</v>
      </c>
      <c r="C606">
        <v>3</v>
      </c>
      <c r="D606" t="str">
        <f>" "</f>
        <v xml:space="preserve"> </v>
      </c>
      <c r="E606"/>
      <c r="F606" s="19">
        <v>42467.527581018519</v>
      </c>
      <c r="G606"/>
      <c r="H606">
        <v>10</v>
      </c>
      <c r="I606">
        <v>0</v>
      </c>
      <c r="J606"/>
      <c r="K606"/>
      <c r="L606"/>
      <c r="M606" s="1">
        <v>42628</v>
      </c>
      <c r="N606" t="s">
        <v>102</v>
      </c>
      <c r="O606"/>
      <c r="P606"/>
      <c r="Q606"/>
    </row>
    <row r="607" spans="1:17" x14ac:dyDescent="0.3">
      <c r="A607" t="str">
        <f>"16875"</f>
        <v>16875</v>
      </c>
      <c r="B607">
        <v>68377</v>
      </c>
      <c r="C607">
        <v>4</v>
      </c>
      <c r="D607" t="str">
        <f>" "</f>
        <v xml:space="preserve"> </v>
      </c>
      <c r="E607"/>
      <c r="F607" s="19">
        <v>42467.527581018519</v>
      </c>
      <c r="G607"/>
      <c r="H607">
        <v>1</v>
      </c>
      <c r="I607">
        <v>0</v>
      </c>
      <c r="J607"/>
      <c r="K607"/>
      <c r="L607"/>
      <c r="M607" s="1">
        <v>42628</v>
      </c>
      <c r="N607" t="s">
        <v>102</v>
      </c>
      <c r="O607"/>
      <c r="P607"/>
      <c r="Q607"/>
    </row>
    <row r="608" spans="1:17" x14ac:dyDescent="0.3">
      <c r="A608" t="str">
        <f>"16871"</f>
        <v>16871</v>
      </c>
      <c r="B608">
        <v>68490</v>
      </c>
      <c r="C608">
        <v>1</v>
      </c>
      <c r="D608" t="str">
        <f>" "</f>
        <v xml:space="preserve"> </v>
      </c>
      <c r="E608"/>
      <c r="F608" s="19">
        <v>42467.343912037039</v>
      </c>
      <c r="G608"/>
      <c r="H608">
        <v>1</v>
      </c>
      <c r="I608">
        <v>0</v>
      </c>
      <c r="J608"/>
      <c r="K608"/>
      <c r="L608"/>
      <c r="M608" s="1">
        <v>42578</v>
      </c>
      <c r="N608" t="s">
        <v>102</v>
      </c>
      <c r="O608"/>
      <c r="P608"/>
      <c r="Q608"/>
    </row>
    <row r="609" spans="1:17" x14ac:dyDescent="0.3">
      <c r="A609" t="str">
        <f>"16870"</f>
        <v>16870</v>
      </c>
      <c r="B609">
        <v>68603</v>
      </c>
      <c r="C609">
        <v>1</v>
      </c>
      <c r="D609" t="str">
        <f>" "</f>
        <v xml:space="preserve"> </v>
      </c>
      <c r="E609"/>
      <c r="F609" s="19">
        <v>42466.563842592594</v>
      </c>
      <c r="G609"/>
      <c r="H609">
        <v>1</v>
      </c>
      <c r="I609">
        <v>0</v>
      </c>
      <c r="J609"/>
      <c r="K609"/>
      <c r="L609"/>
      <c r="M609" s="1">
        <v>42515</v>
      </c>
      <c r="N609" t="s">
        <v>102</v>
      </c>
      <c r="O609"/>
      <c r="P609"/>
      <c r="Q609"/>
    </row>
    <row r="610" spans="1:17" x14ac:dyDescent="0.3">
      <c r="A610" t="str">
        <f>"16868"</f>
        <v>16868</v>
      </c>
      <c r="B610">
        <v>68716</v>
      </c>
      <c r="C610">
        <v>2</v>
      </c>
      <c r="D610" t="str">
        <f>" "</f>
        <v xml:space="preserve"> </v>
      </c>
      <c r="E610"/>
      <c r="F610" s="19">
        <v>42467.40552083333</v>
      </c>
      <c r="G610"/>
      <c r="H610">
        <v>1</v>
      </c>
      <c r="I610">
        <v>0</v>
      </c>
      <c r="J610"/>
      <c r="K610"/>
      <c r="L610"/>
      <c r="M610" s="1">
        <v>42467</v>
      </c>
      <c r="N610" t="s">
        <v>102</v>
      </c>
      <c r="O610"/>
      <c r="P610"/>
      <c r="Q610"/>
    </row>
    <row r="611" spans="1:17" x14ac:dyDescent="0.3">
      <c r="A611" t="str">
        <f>"16866"</f>
        <v>16866</v>
      </c>
      <c r="B611">
        <v>68829</v>
      </c>
      <c r="C611">
        <v>2</v>
      </c>
      <c r="D611" t="str">
        <f>" "</f>
        <v xml:space="preserve"> </v>
      </c>
      <c r="E611"/>
      <c r="F611" s="19">
        <v>42478.601273148146</v>
      </c>
      <c r="G611"/>
      <c r="H611">
        <v>1</v>
      </c>
      <c r="I611">
        <v>0</v>
      </c>
      <c r="J611"/>
      <c r="K611"/>
      <c r="L611"/>
      <c r="M611" s="1">
        <v>42496</v>
      </c>
      <c r="N611" t="s">
        <v>102</v>
      </c>
      <c r="O611"/>
      <c r="P611"/>
      <c r="Q611"/>
    </row>
    <row r="612" spans="1:17" x14ac:dyDescent="0.3">
      <c r="A612" t="str">
        <f>"16865"</f>
        <v>16865</v>
      </c>
      <c r="B612">
        <v>68942</v>
      </c>
      <c r="C612">
        <v>1</v>
      </c>
      <c r="D612" t="str">
        <f>" "</f>
        <v xml:space="preserve"> </v>
      </c>
      <c r="E612"/>
      <c r="F612" s="19">
        <v>42465.548506944448</v>
      </c>
      <c r="G612"/>
      <c r="H612">
        <v>1</v>
      </c>
      <c r="I612">
        <v>0</v>
      </c>
      <c r="J612"/>
      <c r="K612"/>
      <c r="L612"/>
      <c r="M612" s="1">
        <v>42536</v>
      </c>
      <c r="N612" t="s">
        <v>102</v>
      </c>
      <c r="O612"/>
      <c r="P612"/>
      <c r="Q612"/>
    </row>
    <row r="613" spans="1:17" x14ac:dyDescent="0.3">
      <c r="A613" t="str">
        <f>"16865"</f>
        <v>16865</v>
      </c>
      <c r="B613">
        <v>69055</v>
      </c>
      <c r="C613">
        <v>2</v>
      </c>
      <c r="D613" t="str">
        <f>" "</f>
        <v xml:space="preserve"> </v>
      </c>
      <c r="E613"/>
      <c r="F613" s="19">
        <v>42465.548506944448</v>
      </c>
      <c r="G613"/>
      <c r="H613">
        <v>1</v>
      </c>
      <c r="I613">
        <v>0</v>
      </c>
      <c r="J613"/>
      <c r="K613"/>
      <c r="L613"/>
      <c r="M613" s="1">
        <v>42536</v>
      </c>
      <c r="N613" t="s">
        <v>102</v>
      </c>
      <c r="O613"/>
      <c r="P613"/>
      <c r="Q613"/>
    </row>
    <row r="614" spans="1:17" x14ac:dyDescent="0.3">
      <c r="A614" t="str">
        <f>"16865"</f>
        <v>16865</v>
      </c>
      <c r="B614">
        <v>69168</v>
      </c>
      <c r="C614">
        <v>3</v>
      </c>
      <c r="D614" t="str">
        <f>" "</f>
        <v xml:space="preserve"> </v>
      </c>
      <c r="E614"/>
      <c r="F614" s="19">
        <v>42465.548506944448</v>
      </c>
      <c r="G614"/>
      <c r="H614">
        <v>1</v>
      </c>
      <c r="I614">
        <v>0</v>
      </c>
      <c r="J614"/>
      <c r="K614"/>
      <c r="L614"/>
      <c r="M614" s="1">
        <v>42536</v>
      </c>
      <c r="N614" t="s">
        <v>102</v>
      </c>
      <c r="O614"/>
      <c r="P614"/>
      <c r="Q614"/>
    </row>
    <row r="615" spans="1:17" x14ac:dyDescent="0.3">
      <c r="A615" t="str">
        <f>"16865"</f>
        <v>16865</v>
      </c>
      <c r="B615">
        <v>69281</v>
      </c>
      <c r="C615">
        <v>4</v>
      </c>
      <c r="D615" t="str">
        <f>" "</f>
        <v xml:space="preserve"> </v>
      </c>
      <c r="E615"/>
      <c r="F615" s="19">
        <v>42465.548506944448</v>
      </c>
      <c r="G615"/>
      <c r="H615">
        <v>2</v>
      </c>
      <c r="I615">
        <v>0</v>
      </c>
      <c r="J615"/>
      <c r="K615"/>
      <c r="L615"/>
      <c r="M615" s="1">
        <v>42536</v>
      </c>
      <c r="N615" t="s">
        <v>102</v>
      </c>
      <c r="O615"/>
      <c r="P615"/>
      <c r="Q615"/>
    </row>
    <row r="616" spans="1:17" x14ac:dyDescent="0.3">
      <c r="A616" t="str">
        <f>"16865"</f>
        <v>16865</v>
      </c>
      <c r="B616">
        <v>69394</v>
      </c>
      <c r="C616">
        <v>5</v>
      </c>
      <c r="D616" t="str">
        <f>" "</f>
        <v xml:space="preserve"> </v>
      </c>
      <c r="E616"/>
      <c r="F616" s="19">
        <v>42465.548506944448</v>
      </c>
      <c r="G616"/>
      <c r="H616">
        <v>1</v>
      </c>
      <c r="I616">
        <v>0</v>
      </c>
      <c r="J616"/>
      <c r="K616"/>
      <c r="L616"/>
      <c r="M616" s="1">
        <v>42536</v>
      </c>
      <c r="N616" t="s">
        <v>102</v>
      </c>
      <c r="O616"/>
      <c r="P616"/>
      <c r="Q616"/>
    </row>
    <row r="617" spans="1:17" x14ac:dyDescent="0.3">
      <c r="A617" t="str">
        <f>"16859"</f>
        <v>16859</v>
      </c>
      <c r="B617">
        <v>69507</v>
      </c>
      <c r="C617">
        <v>2</v>
      </c>
      <c r="D617" t="str">
        <f>"AN"</f>
        <v>AN</v>
      </c>
      <c r="E617"/>
      <c r="F617" s="19">
        <v>42460.562627314815</v>
      </c>
      <c r="G617"/>
      <c r="H617">
        <v>9</v>
      </c>
      <c r="I617">
        <v>0</v>
      </c>
      <c r="J617"/>
      <c r="K617"/>
      <c r="L617"/>
      <c r="M617" s="1">
        <v>42485</v>
      </c>
      <c r="N617" t="s">
        <v>102</v>
      </c>
      <c r="O617"/>
      <c r="P617"/>
      <c r="Q617"/>
    </row>
    <row r="618" spans="1:17" x14ac:dyDescent="0.3">
      <c r="A618" t="str">
        <f>"16859"</f>
        <v>16859</v>
      </c>
      <c r="B618">
        <v>69620</v>
      </c>
      <c r="C618">
        <v>3</v>
      </c>
      <c r="D618" t="str">
        <f>"AN"</f>
        <v>AN</v>
      </c>
      <c r="E618"/>
      <c r="F618" s="19">
        <v>42460.591956018521</v>
      </c>
      <c r="G618"/>
      <c r="H618">
        <v>9</v>
      </c>
      <c r="I618">
        <v>0</v>
      </c>
      <c r="J618"/>
      <c r="K618"/>
      <c r="L618"/>
      <c r="M618" s="1">
        <v>42485</v>
      </c>
      <c r="N618" t="s">
        <v>102</v>
      </c>
      <c r="O618"/>
      <c r="P618"/>
      <c r="Q618"/>
    </row>
    <row r="619" spans="1:17" x14ac:dyDescent="0.3">
      <c r="A619" t="str">
        <f>"16855"</f>
        <v>16855</v>
      </c>
      <c r="B619">
        <v>69733</v>
      </c>
      <c r="C619">
        <v>1</v>
      </c>
      <c r="D619" t="str">
        <f>" "</f>
        <v xml:space="preserve"> </v>
      </c>
      <c r="E619"/>
      <c r="F619" s="19">
        <v>42459.34270833333</v>
      </c>
      <c r="G619"/>
      <c r="H619">
        <v>2</v>
      </c>
      <c r="I619">
        <v>0</v>
      </c>
      <c r="J619"/>
      <c r="K619"/>
      <c r="L619"/>
      <c r="M619" s="1">
        <v>42503</v>
      </c>
      <c r="N619" t="s">
        <v>102</v>
      </c>
      <c r="O619"/>
      <c r="P619"/>
      <c r="Q619"/>
    </row>
    <row r="620" spans="1:17" x14ac:dyDescent="0.3">
      <c r="A620" t="str">
        <f>"16854"</f>
        <v>16854</v>
      </c>
      <c r="B620">
        <v>69846</v>
      </c>
      <c r="C620">
        <v>1</v>
      </c>
      <c r="D620" t="str">
        <f>" "</f>
        <v xml:space="preserve"> </v>
      </c>
      <c r="E620"/>
      <c r="F620" s="19">
        <v>42458.731423611112</v>
      </c>
      <c r="G620"/>
      <c r="H620">
        <v>4</v>
      </c>
      <c r="I620">
        <v>0</v>
      </c>
      <c r="J620"/>
      <c r="K620"/>
      <c r="L620"/>
      <c r="M620" s="1">
        <v>42503</v>
      </c>
      <c r="N620" t="s">
        <v>102</v>
      </c>
      <c r="O620"/>
      <c r="P620"/>
      <c r="Q620"/>
    </row>
    <row r="621" spans="1:17" x14ac:dyDescent="0.3">
      <c r="A621" t="str">
        <f>"16853"</f>
        <v>16853</v>
      </c>
      <c r="B621">
        <v>69959</v>
      </c>
      <c r="C621">
        <v>1</v>
      </c>
      <c r="D621" t="str">
        <f>" "</f>
        <v xml:space="preserve"> </v>
      </c>
      <c r="E621"/>
      <c r="F621" s="19">
        <v>42458.634016203701</v>
      </c>
      <c r="G621"/>
      <c r="H621">
        <v>24</v>
      </c>
      <c r="I621">
        <v>0</v>
      </c>
      <c r="J621"/>
      <c r="K621"/>
      <c r="L621"/>
      <c r="M621" s="1">
        <v>42503</v>
      </c>
      <c r="N621" t="s">
        <v>102</v>
      </c>
      <c r="O621"/>
      <c r="P621"/>
      <c r="Q621"/>
    </row>
    <row r="622" spans="1:17" x14ac:dyDescent="0.3">
      <c r="A622" t="str">
        <f>"16852"</f>
        <v>16852</v>
      </c>
      <c r="B622">
        <v>70072</v>
      </c>
      <c r="C622">
        <v>1</v>
      </c>
      <c r="D622" t="str">
        <f>" "</f>
        <v xml:space="preserve"> </v>
      </c>
      <c r="E622"/>
      <c r="F622" s="19">
        <v>42458.35365740741</v>
      </c>
      <c r="G622"/>
      <c r="H622">
        <v>2</v>
      </c>
      <c r="I622">
        <v>0</v>
      </c>
      <c r="J622"/>
      <c r="K622"/>
      <c r="L622"/>
      <c r="M622" s="1">
        <v>42524</v>
      </c>
      <c r="N622" t="s">
        <v>102</v>
      </c>
      <c r="O622"/>
      <c r="P622"/>
      <c r="Q622"/>
    </row>
    <row r="623" spans="1:17" x14ac:dyDescent="0.3">
      <c r="A623" t="str">
        <f>"16850"</f>
        <v>16850</v>
      </c>
      <c r="B623">
        <v>70185</v>
      </c>
      <c r="C623">
        <v>1</v>
      </c>
      <c r="D623" t="str">
        <f>" "</f>
        <v xml:space="preserve"> </v>
      </c>
      <c r="E623"/>
      <c r="F623" s="19">
        <v>42453.603854166664</v>
      </c>
      <c r="G623"/>
      <c r="H623">
        <v>2</v>
      </c>
      <c r="I623">
        <v>0</v>
      </c>
      <c r="J623"/>
      <c r="K623"/>
      <c r="L623"/>
      <c r="M623" s="1">
        <v>42524</v>
      </c>
      <c r="N623" t="s">
        <v>102</v>
      </c>
      <c r="O623"/>
      <c r="P623"/>
      <c r="Q623"/>
    </row>
    <row r="624" spans="1:17" x14ac:dyDescent="0.3">
      <c r="A624" t="str">
        <f>"16849"</f>
        <v>16849</v>
      </c>
      <c r="B624">
        <v>70298</v>
      </c>
      <c r="C624">
        <v>1</v>
      </c>
      <c r="D624" t="str">
        <f>" "</f>
        <v xml:space="preserve"> </v>
      </c>
      <c r="E624"/>
      <c r="F624" s="19">
        <v>42453.585752314815</v>
      </c>
      <c r="G624"/>
      <c r="H624">
        <v>2</v>
      </c>
      <c r="I624">
        <v>0</v>
      </c>
      <c r="J624"/>
      <c r="K624"/>
      <c r="L624"/>
      <c r="M624" s="1">
        <v>42524</v>
      </c>
      <c r="N624" t="s">
        <v>102</v>
      </c>
      <c r="O624"/>
      <c r="P624"/>
      <c r="Q624"/>
    </row>
    <row r="625" spans="1:17" x14ac:dyDescent="0.3">
      <c r="A625" t="str">
        <f>"16848"</f>
        <v>16848</v>
      </c>
      <c r="B625">
        <v>70411</v>
      </c>
      <c r="C625">
        <v>1</v>
      </c>
      <c r="D625" t="str">
        <f>" "</f>
        <v xml:space="preserve"> </v>
      </c>
      <c r="E625"/>
      <c r="F625" s="19">
        <v>42453.540937500002</v>
      </c>
      <c r="G625"/>
      <c r="H625">
        <v>2</v>
      </c>
      <c r="I625">
        <v>0</v>
      </c>
      <c r="J625"/>
      <c r="K625"/>
      <c r="L625"/>
      <c r="M625" s="1">
        <v>42531</v>
      </c>
      <c r="N625" t="s">
        <v>102</v>
      </c>
      <c r="O625"/>
      <c r="P625"/>
      <c r="Q625"/>
    </row>
    <row r="626" spans="1:17" x14ac:dyDescent="0.3">
      <c r="A626" t="str">
        <f>"16845"</f>
        <v>16845</v>
      </c>
      <c r="B626">
        <v>70524</v>
      </c>
      <c r="C626">
        <v>1</v>
      </c>
      <c r="D626" t="str">
        <f>" "</f>
        <v xml:space="preserve"> </v>
      </c>
      <c r="E626"/>
      <c r="F626" s="19">
        <v>42452.411736111113</v>
      </c>
      <c r="G626"/>
      <c r="H626">
        <v>1</v>
      </c>
      <c r="I626">
        <v>0</v>
      </c>
      <c r="J626"/>
      <c r="K626"/>
      <c r="L626"/>
      <c r="M626" s="1">
        <v>42529</v>
      </c>
      <c r="N626" t="s">
        <v>102</v>
      </c>
      <c r="O626"/>
      <c r="P626"/>
      <c r="Q626"/>
    </row>
    <row r="627" spans="1:17" x14ac:dyDescent="0.3">
      <c r="A627" t="str">
        <f>"16845"</f>
        <v>16845</v>
      </c>
      <c r="B627">
        <v>70637</v>
      </c>
      <c r="C627">
        <v>2</v>
      </c>
      <c r="D627" t="str">
        <f>" "</f>
        <v xml:space="preserve"> </v>
      </c>
      <c r="E627"/>
      <c r="F627" s="19">
        <v>42452.411736111113</v>
      </c>
      <c r="G627"/>
      <c r="H627">
        <v>6</v>
      </c>
      <c r="I627">
        <v>0</v>
      </c>
      <c r="J627"/>
      <c r="K627"/>
      <c r="L627"/>
      <c r="M627" s="1">
        <v>42529</v>
      </c>
      <c r="N627" t="s">
        <v>102</v>
      </c>
      <c r="O627"/>
      <c r="P627"/>
      <c r="Q627"/>
    </row>
    <row r="628" spans="1:17" x14ac:dyDescent="0.3">
      <c r="A628" t="str">
        <f>"16845"</f>
        <v>16845</v>
      </c>
      <c r="B628">
        <v>70750</v>
      </c>
      <c r="C628">
        <v>3</v>
      </c>
      <c r="D628" t="str">
        <f>" "</f>
        <v xml:space="preserve"> </v>
      </c>
      <c r="E628"/>
      <c r="F628" s="19">
        <v>42452.411736111113</v>
      </c>
      <c r="G628"/>
      <c r="H628">
        <v>6</v>
      </c>
      <c r="I628">
        <v>0</v>
      </c>
      <c r="J628"/>
      <c r="K628"/>
      <c r="L628"/>
      <c r="M628" s="1">
        <v>42529</v>
      </c>
      <c r="N628" t="s">
        <v>102</v>
      </c>
      <c r="O628"/>
      <c r="P628"/>
      <c r="Q628"/>
    </row>
    <row r="629" spans="1:17" x14ac:dyDescent="0.3">
      <c r="A629" t="str">
        <f>"16844"</f>
        <v>16844</v>
      </c>
      <c r="B629">
        <v>70863</v>
      </c>
      <c r="C629">
        <v>1</v>
      </c>
      <c r="D629" t="str">
        <f>" "</f>
        <v xml:space="preserve"> </v>
      </c>
      <c r="E629"/>
      <c r="F629" s="19">
        <v>42452.337604166663</v>
      </c>
      <c r="G629"/>
      <c r="H629">
        <v>1</v>
      </c>
      <c r="I629">
        <v>0</v>
      </c>
      <c r="J629"/>
      <c r="K629"/>
      <c r="L629"/>
      <c r="M629" s="1">
        <v>42499</v>
      </c>
      <c r="N629" t="s">
        <v>102</v>
      </c>
      <c r="O629"/>
      <c r="P629"/>
      <c r="Q629"/>
    </row>
    <row r="630" spans="1:17" x14ac:dyDescent="0.3">
      <c r="A630" t="str">
        <f>"16841"</f>
        <v>16841</v>
      </c>
      <c r="B630">
        <v>70976</v>
      </c>
      <c r="C630">
        <v>1</v>
      </c>
      <c r="D630" t="str">
        <f>" "</f>
        <v xml:space="preserve"> </v>
      </c>
      <c r="E630"/>
      <c r="F630" s="19">
        <v>42451.538356481484</v>
      </c>
      <c r="G630"/>
      <c r="H630">
        <v>50</v>
      </c>
      <c r="I630">
        <v>0</v>
      </c>
      <c r="J630"/>
      <c r="K630"/>
      <c r="L630"/>
      <c r="M630" s="1">
        <v>42524</v>
      </c>
      <c r="N630" t="s">
        <v>102</v>
      </c>
      <c r="O630"/>
      <c r="P630"/>
      <c r="Q630"/>
    </row>
    <row r="631" spans="1:17" x14ac:dyDescent="0.3">
      <c r="A631" t="str">
        <f>"16830"</f>
        <v>16830</v>
      </c>
      <c r="B631">
        <v>71089</v>
      </c>
      <c r="C631">
        <v>1</v>
      </c>
      <c r="D631" t="str">
        <f>" "</f>
        <v xml:space="preserve"> </v>
      </c>
      <c r="E631"/>
      <c r="F631" s="19">
        <v>42446.400636574072</v>
      </c>
      <c r="G631"/>
      <c r="H631">
        <v>1</v>
      </c>
      <c r="I631">
        <v>0</v>
      </c>
      <c r="J631"/>
      <c r="K631"/>
      <c r="L631"/>
      <c r="M631" s="1">
        <v>42451</v>
      </c>
      <c r="N631" t="s">
        <v>102</v>
      </c>
      <c r="O631"/>
      <c r="P631"/>
      <c r="Q631"/>
    </row>
    <row r="632" spans="1:17" x14ac:dyDescent="0.3">
      <c r="A632" t="str">
        <f>"16828"</f>
        <v>16828</v>
      </c>
      <c r="B632">
        <v>71202</v>
      </c>
      <c r="C632">
        <v>1</v>
      </c>
      <c r="D632" t="str">
        <f>"SO"</f>
        <v>SO</v>
      </c>
      <c r="E632"/>
      <c r="F632" s="19">
        <v>42445.659768518519</v>
      </c>
      <c r="G632"/>
      <c r="H632">
        <v>1</v>
      </c>
      <c r="I632">
        <v>0</v>
      </c>
      <c r="J632"/>
      <c r="K632"/>
      <c r="L632"/>
      <c r="M632" s="1">
        <v>42447</v>
      </c>
      <c r="N632" t="s">
        <v>102</v>
      </c>
      <c r="O632"/>
      <c r="P632"/>
      <c r="Q632"/>
    </row>
    <row r="633" spans="1:17" x14ac:dyDescent="0.3">
      <c r="A633" t="str">
        <f>"16826"</f>
        <v>16826</v>
      </c>
      <c r="B633">
        <v>71315</v>
      </c>
      <c r="C633">
        <v>1</v>
      </c>
      <c r="D633" t="str">
        <f>" "</f>
        <v xml:space="preserve"> </v>
      </c>
      <c r="E633"/>
      <c r="F633" s="19">
        <v>42445.387083333335</v>
      </c>
      <c r="G633"/>
      <c r="H633">
        <v>3</v>
      </c>
      <c r="I633">
        <v>0</v>
      </c>
      <c r="J633"/>
      <c r="K633"/>
      <c r="L633"/>
      <c r="M633" s="1">
        <v>42517</v>
      </c>
      <c r="N633" t="s">
        <v>102</v>
      </c>
      <c r="O633"/>
      <c r="P633"/>
      <c r="Q633"/>
    </row>
    <row r="634" spans="1:17" x14ac:dyDescent="0.3">
      <c r="A634" t="str">
        <f>"16824"</f>
        <v>16824</v>
      </c>
      <c r="B634">
        <v>71428</v>
      </c>
      <c r="C634">
        <v>1</v>
      </c>
      <c r="D634" t="str">
        <f>" "</f>
        <v xml:space="preserve"> </v>
      </c>
      <c r="E634"/>
      <c r="F634" s="19">
        <v>42444.665532407409</v>
      </c>
      <c r="G634"/>
      <c r="H634">
        <v>5</v>
      </c>
      <c r="I634">
        <v>0</v>
      </c>
      <c r="J634"/>
      <c r="K634"/>
      <c r="L634"/>
      <c r="M634" s="1">
        <v>42517</v>
      </c>
      <c r="N634" t="s">
        <v>102</v>
      </c>
      <c r="O634"/>
      <c r="P634"/>
      <c r="Q634"/>
    </row>
    <row r="635" spans="1:17" x14ac:dyDescent="0.3">
      <c r="A635" t="str">
        <f>"16823"</f>
        <v>16823</v>
      </c>
      <c r="B635">
        <v>71541</v>
      </c>
      <c r="C635">
        <v>1</v>
      </c>
      <c r="D635" t="str">
        <f>" "</f>
        <v xml:space="preserve"> </v>
      </c>
      <c r="E635"/>
      <c r="F635" s="19">
        <v>42444.646215277775</v>
      </c>
      <c r="G635"/>
      <c r="H635">
        <v>5</v>
      </c>
      <c r="I635">
        <v>0</v>
      </c>
      <c r="J635"/>
      <c r="K635"/>
      <c r="L635"/>
      <c r="M635" s="1">
        <v>42517</v>
      </c>
      <c r="N635" t="s">
        <v>102</v>
      </c>
      <c r="O635"/>
      <c r="P635"/>
      <c r="Q635"/>
    </row>
    <row r="636" spans="1:17" x14ac:dyDescent="0.3">
      <c r="A636" t="str">
        <f>"16822"</f>
        <v>16822</v>
      </c>
      <c r="B636">
        <v>71654</v>
      </c>
      <c r="C636">
        <v>1</v>
      </c>
      <c r="D636" t="str">
        <f>" "</f>
        <v xml:space="preserve"> </v>
      </c>
      <c r="E636"/>
      <c r="F636" s="19">
        <v>42444.613425925927</v>
      </c>
      <c r="G636"/>
      <c r="H636">
        <v>5</v>
      </c>
      <c r="I636">
        <v>0</v>
      </c>
      <c r="J636"/>
      <c r="K636"/>
      <c r="L636"/>
      <c r="M636" s="1">
        <v>42517</v>
      </c>
      <c r="N636" t="s">
        <v>102</v>
      </c>
      <c r="O636"/>
      <c r="P636"/>
      <c r="Q636"/>
    </row>
    <row r="637" spans="1:17" x14ac:dyDescent="0.3">
      <c r="A637" t="str">
        <f>"16819"</f>
        <v>16819</v>
      </c>
      <c r="B637">
        <v>71767</v>
      </c>
      <c r="C637">
        <v>1</v>
      </c>
      <c r="D637" t="str">
        <f>" "</f>
        <v xml:space="preserve"> </v>
      </c>
      <c r="E637"/>
      <c r="F637" s="19">
        <v>42443.416666666664</v>
      </c>
      <c r="G637"/>
      <c r="H637">
        <v>5</v>
      </c>
      <c r="I637">
        <v>0</v>
      </c>
      <c r="J637"/>
      <c r="K637"/>
      <c r="L637"/>
      <c r="M637" s="1">
        <v>42586</v>
      </c>
      <c r="N637" t="s">
        <v>102</v>
      </c>
      <c r="O637"/>
      <c r="P637"/>
      <c r="Q637"/>
    </row>
    <row r="638" spans="1:17" x14ac:dyDescent="0.3">
      <c r="A638" t="str">
        <f>"16819"</f>
        <v>16819</v>
      </c>
      <c r="B638">
        <v>71880</v>
      </c>
      <c r="C638">
        <v>2</v>
      </c>
      <c r="D638" t="str">
        <f>" "</f>
        <v xml:space="preserve"> </v>
      </c>
      <c r="E638"/>
      <c r="F638" s="19">
        <v>42493.596076388887</v>
      </c>
      <c r="G638"/>
      <c r="H638">
        <v>5</v>
      </c>
      <c r="I638">
        <v>0</v>
      </c>
      <c r="J638"/>
      <c r="K638"/>
      <c r="L638"/>
      <c r="M638" s="1">
        <v>42586</v>
      </c>
      <c r="N638" t="s">
        <v>102</v>
      </c>
      <c r="O638"/>
      <c r="P638"/>
      <c r="Q638"/>
    </row>
    <row r="639" spans="1:17" x14ac:dyDescent="0.3">
      <c r="A639" t="str">
        <f>"16816"</f>
        <v>16816</v>
      </c>
      <c r="B639">
        <v>71993</v>
      </c>
      <c r="C639">
        <v>1</v>
      </c>
      <c r="D639" t="str">
        <f>" "</f>
        <v xml:space="preserve"> </v>
      </c>
      <c r="E639"/>
      <c r="F639" s="19">
        <v>42438.399502314816</v>
      </c>
      <c r="G639"/>
      <c r="H639">
        <v>1</v>
      </c>
      <c r="I639">
        <v>0</v>
      </c>
      <c r="J639"/>
      <c r="K639"/>
      <c r="L639"/>
      <c r="M639" s="1">
        <v>42734</v>
      </c>
      <c r="N639" t="s">
        <v>102</v>
      </c>
      <c r="O639"/>
      <c r="P639"/>
      <c r="Q639"/>
    </row>
    <row r="640" spans="1:17" x14ac:dyDescent="0.3">
      <c r="A640" t="str">
        <f>"16805"</f>
        <v>16805</v>
      </c>
      <c r="B640">
        <v>72106</v>
      </c>
      <c r="C640">
        <v>1</v>
      </c>
      <c r="D640" t="str">
        <f>" "</f>
        <v xml:space="preserve"> </v>
      </c>
      <c r="E640"/>
      <c r="F640" s="19">
        <v>42436.451631944445</v>
      </c>
      <c r="G640"/>
      <c r="H640">
        <v>1</v>
      </c>
      <c r="I640">
        <v>0</v>
      </c>
      <c r="J640"/>
      <c r="K640"/>
      <c r="L640"/>
      <c r="M640" s="1">
        <v>42440</v>
      </c>
      <c r="N640" t="s">
        <v>102</v>
      </c>
      <c r="O640"/>
      <c r="P640"/>
      <c r="Q640"/>
    </row>
    <row r="641" spans="1:17" x14ac:dyDescent="0.3">
      <c r="A641" t="str">
        <f>"16804"</f>
        <v>16804</v>
      </c>
      <c r="B641">
        <v>72219</v>
      </c>
      <c r="C641">
        <v>3</v>
      </c>
      <c r="D641" t="str">
        <f>" "</f>
        <v xml:space="preserve"> </v>
      </c>
      <c r="E641"/>
      <c r="F641" s="19">
        <v>42436.423252314817</v>
      </c>
      <c r="G641"/>
      <c r="H641">
        <v>3</v>
      </c>
      <c r="I641">
        <v>0</v>
      </c>
      <c r="J641"/>
      <c r="K641"/>
      <c r="L641"/>
      <c r="M641" s="1">
        <v>42510</v>
      </c>
      <c r="N641" t="s">
        <v>102</v>
      </c>
      <c r="O641"/>
      <c r="P641"/>
      <c r="Q641"/>
    </row>
    <row r="642" spans="1:17" x14ac:dyDescent="0.3">
      <c r="A642" t="str">
        <f>"16804"</f>
        <v>16804</v>
      </c>
      <c r="B642">
        <v>72332</v>
      </c>
      <c r="C642">
        <v>4</v>
      </c>
      <c r="D642" t="str">
        <f>" "</f>
        <v xml:space="preserve"> </v>
      </c>
      <c r="E642"/>
      <c r="F642" s="19">
        <v>42436.423252314817</v>
      </c>
      <c r="G642"/>
      <c r="H642">
        <v>3</v>
      </c>
      <c r="I642">
        <v>0</v>
      </c>
      <c r="J642"/>
      <c r="K642"/>
      <c r="L642"/>
      <c r="M642" s="1">
        <v>42510</v>
      </c>
      <c r="N642" t="s">
        <v>102</v>
      </c>
      <c r="O642"/>
      <c r="P642"/>
      <c r="Q642"/>
    </row>
    <row r="643" spans="1:17" x14ac:dyDescent="0.3">
      <c r="A643" t="str">
        <f>"16802"</f>
        <v>16802</v>
      </c>
      <c r="B643">
        <v>72445</v>
      </c>
      <c r="C643">
        <v>1</v>
      </c>
      <c r="D643" t="str">
        <f>" "</f>
        <v xml:space="preserve"> </v>
      </c>
      <c r="E643"/>
      <c r="F643" s="19">
        <v>42432.654236111113</v>
      </c>
      <c r="G643"/>
      <c r="H643">
        <v>1</v>
      </c>
      <c r="I643">
        <v>0</v>
      </c>
      <c r="J643"/>
      <c r="K643"/>
      <c r="L643"/>
      <c r="M643" s="1">
        <v>42446</v>
      </c>
      <c r="N643" t="s">
        <v>102</v>
      </c>
      <c r="O643"/>
      <c r="P643"/>
      <c r="Q643"/>
    </row>
    <row r="644" spans="1:17" x14ac:dyDescent="0.3">
      <c r="A644" t="str">
        <f>"16784"</f>
        <v>16784</v>
      </c>
      <c r="B644">
        <v>72558</v>
      </c>
      <c r="C644">
        <v>4</v>
      </c>
      <c r="D644" t="str">
        <f>"SO"</f>
        <v>SO</v>
      </c>
      <c r="E644"/>
      <c r="F644" s="19">
        <v>42424.323391203703</v>
      </c>
      <c r="G644"/>
      <c r="H644">
        <v>1</v>
      </c>
      <c r="I644">
        <v>0</v>
      </c>
      <c r="J644"/>
      <c r="K644"/>
      <c r="L644"/>
      <c r="M644" s="1">
        <v>42425</v>
      </c>
      <c r="N644" t="s">
        <v>102</v>
      </c>
      <c r="O644"/>
      <c r="P644"/>
      <c r="Q644"/>
    </row>
    <row r="645" spans="1:17" x14ac:dyDescent="0.3">
      <c r="A645" t="str">
        <f>"16776"</f>
        <v>16776</v>
      </c>
      <c r="B645">
        <v>72671</v>
      </c>
      <c r="C645">
        <v>1</v>
      </c>
      <c r="D645" t="str">
        <f>" "</f>
        <v xml:space="preserve"> </v>
      </c>
      <c r="E645"/>
      <c r="F645" s="19">
        <v>42419.485648148147</v>
      </c>
      <c r="G645"/>
      <c r="H645">
        <v>1</v>
      </c>
      <c r="I645">
        <v>0</v>
      </c>
      <c r="J645"/>
      <c r="K645"/>
      <c r="L645"/>
      <c r="M645" s="1">
        <v>42447</v>
      </c>
      <c r="N645" t="s">
        <v>102</v>
      </c>
      <c r="O645"/>
      <c r="P645"/>
      <c r="Q645"/>
    </row>
    <row r="646" spans="1:17" x14ac:dyDescent="0.3">
      <c r="A646" t="str">
        <f>"16744"</f>
        <v>16744</v>
      </c>
      <c r="B646">
        <v>72784</v>
      </c>
      <c r="C646">
        <v>1</v>
      </c>
      <c r="D646" t="str">
        <f>" "</f>
        <v xml:space="preserve"> </v>
      </c>
      <c r="E646"/>
      <c r="F646" s="19">
        <v>42402.664131944446</v>
      </c>
      <c r="G646"/>
      <c r="H646">
        <v>1</v>
      </c>
      <c r="I646">
        <v>0</v>
      </c>
      <c r="J646"/>
      <c r="K646"/>
      <c r="L646"/>
      <c r="M646" s="1">
        <v>42521</v>
      </c>
      <c r="N646" t="s">
        <v>102</v>
      </c>
      <c r="O646"/>
      <c r="P646"/>
      <c r="Q646"/>
    </row>
    <row r="647" spans="1:17" x14ac:dyDescent="0.3">
      <c r="A647" t="str">
        <f>"16744"</f>
        <v>16744</v>
      </c>
      <c r="B647">
        <v>72897</v>
      </c>
      <c r="C647">
        <v>2</v>
      </c>
      <c r="D647" t="str">
        <f>" "</f>
        <v xml:space="preserve"> </v>
      </c>
      <c r="E647"/>
      <c r="F647" s="19">
        <v>42402.664131944446</v>
      </c>
      <c r="G647"/>
      <c r="H647">
        <v>1</v>
      </c>
      <c r="I647">
        <v>0</v>
      </c>
      <c r="J647"/>
      <c r="K647"/>
      <c r="L647"/>
      <c r="M647" s="1">
        <v>42521</v>
      </c>
      <c r="N647" t="s">
        <v>102</v>
      </c>
      <c r="O647"/>
      <c r="P647"/>
      <c r="Q647"/>
    </row>
    <row r="648" spans="1:17" x14ac:dyDescent="0.3">
      <c r="A648" t="str">
        <f>"16744"</f>
        <v>16744</v>
      </c>
      <c r="B648">
        <v>73010</v>
      </c>
      <c r="C648">
        <v>3</v>
      </c>
      <c r="D648" t="str">
        <f>" "</f>
        <v xml:space="preserve"> </v>
      </c>
      <c r="E648"/>
      <c r="F648" s="19">
        <v>42402.664131944446</v>
      </c>
      <c r="G648"/>
      <c r="H648">
        <v>1</v>
      </c>
      <c r="I648">
        <v>0</v>
      </c>
      <c r="J648"/>
      <c r="K648"/>
      <c r="L648"/>
      <c r="M648" s="1">
        <v>42521</v>
      </c>
      <c r="N648" t="s">
        <v>102</v>
      </c>
      <c r="O648"/>
      <c r="P648"/>
      <c r="Q648"/>
    </row>
    <row r="649" spans="1:17" x14ac:dyDescent="0.3">
      <c r="A649" t="str">
        <f>"16723"</f>
        <v>16723</v>
      </c>
      <c r="B649">
        <v>73123</v>
      </c>
      <c r="C649">
        <v>2</v>
      </c>
      <c r="D649" t="str">
        <f>" "</f>
        <v xml:space="preserve"> </v>
      </c>
      <c r="E649"/>
      <c r="F649" s="19">
        <v>42396.641585648147</v>
      </c>
      <c r="G649"/>
      <c r="H649">
        <v>2</v>
      </c>
      <c r="I649">
        <v>0</v>
      </c>
      <c r="J649"/>
      <c r="K649"/>
      <c r="L649"/>
      <c r="M649" s="1">
        <v>42507</v>
      </c>
      <c r="N649" t="s">
        <v>102</v>
      </c>
      <c r="O649"/>
      <c r="P649"/>
      <c r="Q649"/>
    </row>
    <row r="650" spans="1:17" x14ac:dyDescent="0.3">
      <c r="A650" t="str">
        <f>"16719"</f>
        <v>16719</v>
      </c>
      <c r="B650">
        <v>73236</v>
      </c>
      <c r="C650">
        <v>1</v>
      </c>
      <c r="D650" t="str">
        <f>" "</f>
        <v xml:space="preserve"> </v>
      </c>
      <c r="E650"/>
      <c r="F650" s="19">
        <v>42396.395937499998</v>
      </c>
      <c r="G650"/>
      <c r="H650">
        <v>16</v>
      </c>
      <c r="I650">
        <v>0</v>
      </c>
      <c r="J650"/>
      <c r="K650"/>
      <c r="L650"/>
      <c r="M650" s="1">
        <v>42419</v>
      </c>
      <c r="N650" t="s">
        <v>102</v>
      </c>
      <c r="O650"/>
      <c r="P650"/>
      <c r="Q650"/>
    </row>
    <row r="651" spans="1:17" x14ac:dyDescent="0.3">
      <c r="A651" t="str">
        <f>"16683"</f>
        <v>16683</v>
      </c>
      <c r="B651">
        <v>73349</v>
      </c>
      <c r="C651">
        <v>1</v>
      </c>
      <c r="D651" t="str">
        <f>" "</f>
        <v xml:space="preserve"> </v>
      </c>
      <c r="E651"/>
      <c r="F651" s="19">
        <v>42381.482118055559</v>
      </c>
      <c r="G651"/>
      <c r="H651">
        <v>1</v>
      </c>
      <c r="I651">
        <v>0</v>
      </c>
      <c r="J651"/>
      <c r="K651"/>
      <c r="L651"/>
      <c r="M651" s="1">
        <v>42398</v>
      </c>
      <c r="N651" t="s">
        <v>102</v>
      </c>
      <c r="O651"/>
      <c r="P651"/>
      <c r="Q651"/>
    </row>
    <row r="652" spans="1:17" x14ac:dyDescent="0.3">
      <c r="A652" t="str">
        <f>"16628"</f>
        <v>16628</v>
      </c>
      <c r="B652">
        <v>73462</v>
      </c>
      <c r="C652">
        <v>1</v>
      </c>
      <c r="D652" t="str">
        <f>" "</f>
        <v xml:space="preserve"> </v>
      </c>
      <c r="E652"/>
      <c r="F652" s="19">
        <v>42352.462858796294</v>
      </c>
      <c r="G652"/>
      <c r="H652">
        <v>1</v>
      </c>
      <c r="I652">
        <v>0</v>
      </c>
      <c r="J652"/>
      <c r="K652"/>
      <c r="L652"/>
      <c r="M652" s="1">
        <v>42369</v>
      </c>
      <c r="N652" t="s">
        <v>102</v>
      </c>
      <c r="O652"/>
      <c r="P652"/>
      <c r="Q652"/>
    </row>
    <row r="653" spans="1:17" x14ac:dyDescent="0.3">
      <c r="A653" t="str">
        <f>"16622"</f>
        <v>16622</v>
      </c>
      <c r="B653">
        <v>73575</v>
      </c>
      <c r="C653">
        <v>1</v>
      </c>
      <c r="D653" t="str">
        <f>" "</f>
        <v xml:space="preserve"> </v>
      </c>
      <c r="E653"/>
      <c r="F653" s="19">
        <v>42348.45820601852</v>
      </c>
      <c r="G653"/>
      <c r="H653">
        <v>1</v>
      </c>
      <c r="I653">
        <v>0</v>
      </c>
      <c r="J653"/>
      <c r="K653"/>
      <c r="L653"/>
      <c r="M653" s="1">
        <v>42408</v>
      </c>
      <c r="N653" t="s">
        <v>102</v>
      </c>
      <c r="O653"/>
      <c r="P653"/>
      <c r="Q653"/>
    </row>
    <row r="654" spans="1:17" x14ac:dyDescent="0.3">
      <c r="A654" t="str">
        <f>"16616"</f>
        <v>16616</v>
      </c>
      <c r="B654">
        <v>73688</v>
      </c>
      <c r="C654">
        <v>2</v>
      </c>
      <c r="D654" t="str">
        <f>"SO"</f>
        <v>SO</v>
      </c>
      <c r="E654"/>
      <c r="F654" s="19">
        <v>42346.664548611108</v>
      </c>
      <c r="G654"/>
      <c r="H654">
        <v>1</v>
      </c>
      <c r="I654">
        <v>0</v>
      </c>
      <c r="J654"/>
      <c r="K654"/>
      <c r="L654"/>
      <c r="M654" s="1">
        <v>42384</v>
      </c>
      <c r="N654" t="s">
        <v>102</v>
      </c>
      <c r="O654"/>
      <c r="P654"/>
      <c r="Q654"/>
    </row>
    <row r="655" spans="1:17" x14ac:dyDescent="0.3">
      <c r="A655" t="str">
        <f>"16616"</f>
        <v>16616</v>
      </c>
      <c r="B655">
        <v>73801</v>
      </c>
      <c r="C655">
        <v>13</v>
      </c>
      <c r="D655" t="str">
        <f>"SO"</f>
        <v>SO</v>
      </c>
      <c r="E655"/>
      <c r="F655" s="19">
        <v>42346.664548611108</v>
      </c>
      <c r="G655"/>
      <c r="H655">
        <v>1</v>
      </c>
      <c r="I655">
        <v>0</v>
      </c>
      <c r="J655"/>
      <c r="K655"/>
      <c r="L655"/>
      <c r="M655" s="1">
        <v>42412</v>
      </c>
      <c r="N655" t="s">
        <v>102</v>
      </c>
      <c r="O655"/>
      <c r="P655"/>
      <c r="Q655"/>
    </row>
    <row r="656" spans="1:17" x14ac:dyDescent="0.3">
      <c r="A656" t="str">
        <f>"16569"</f>
        <v>16569</v>
      </c>
      <c r="B656">
        <v>73914</v>
      </c>
      <c r="C656">
        <v>1</v>
      </c>
      <c r="D656" t="str">
        <f>" "</f>
        <v xml:space="preserve"> </v>
      </c>
      <c r="E656"/>
      <c r="F656" s="19">
        <v>42320.32949074074</v>
      </c>
      <c r="G656"/>
      <c r="H656">
        <v>1</v>
      </c>
      <c r="I656">
        <v>0</v>
      </c>
      <c r="J656"/>
      <c r="K656"/>
      <c r="L656"/>
      <c r="M656" s="1">
        <v>42734</v>
      </c>
      <c r="N656" t="s">
        <v>102</v>
      </c>
      <c r="O656"/>
      <c r="P656"/>
      <c r="Q656"/>
    </row>
    <row r="657" spans="1:17" x14ac:dyDescent="0.3">
      <c r="A657" t="str">
        <f>"16569"</f>
        <v>16569</v>
      </c>
      <c r="B657">
        <v>74027</v>
      </c>
      <c r="C657">
        <v>2</v>
      </c>
      <c r="D657" t="str">
        <f>" "</f>
        <v xml:space="preserve"> </v>
      </c>
      <c r="E657"/>
      <c r="F657" s="19">
        <v>42320.32949074074</v>
      </c>
      <c r="G657"/>
      <c r="H657">
        <v>1</v>
      </c>
      <c r="I657">
        <v>0</v>
      </c>
      <c r="J657"/>
      <c r="K657"/>
      <c r="L657"/>
      <c r="M657" s="1">
        <v>42734</v>
      </c>
      <c r="N657" t="s">
        <v>102</v>
      </c>
      <c r="O657"/>
      <c r="P657"/>
      <c r="Q657"/>
    </row>
    <row r="658" spans="1:17" x14ac:dyDescent="0.3">
      <c r="A658" t="str">
        <f>"16569"</f>
        <v>16569</v>
      </c>
      <c r="B658">
        <v>74140</v>
      </c>
      <c r="C658">
        <v>7</v>
      </c>
      <c r="D658" t="str">
        <f>" "</f>
        <v xml:space="preserve"> </v>
      </c>
      <c r="E658"/>
      <c r="F658" s="19">
        <v>42478.445879629631</v>
      </c>
      <c r="G658"/>
      <c r="H658">
        <v>10</v>
      </c>
      <c r="I658">
        <v>0</v>
      </c>
      <c r="J658"/>
      <c r="K658"/>
      <c r="L658"/>
      <c r="M658" s="1">
        <v>42493</v>
      </c>
      <c r="N658" t="s">
        <v>102</v>
      </c>
      <c r="O658"/>
      <c r="P658"/>
      <c r="Q658"/>
    </row>
    <row r="659" spans="1:17" x14ac:dyDescent="0.3">
      <c r="A659" t="str">
        <f>"16535"</f>
        <v>16535</v>
      </c>
      <c r="B659">
        <v>74253</v>
      </c>
      <c r="C659">
        <v>1</v>
      </c>
      <c r="D659" t="str">
        <f>"AN"</f>
        <v>AN</v>
      </c>
      <c r="E659"/>
      <c r="F659" s="19">
        <v>42305.580277777779</v>
      </c>
      <c r="G659"/>
      <c r="H659">
        <v>3</v>
      </c>
      <c r="I659">
        <v>0</v>
      </c>
      <c r="J659"/>
      <c r="K659"/>
      <c r="L659"/>
      <c r="M659" s="1">
        <v>42328</v>
      </c>
      <c r="N659" t="s">
        <v>102</v>
      </c>
      <c r="O659"/>
      <c r="P659"/>
      <c r="Q659"/>
    </row>
    <row r="660" spans="1:17" x14ac:dyDescent="0.3">
      <c r="A660" t="str">
        <f>"16485"</f>
        <v>16485</v>
      </c>
      <c r="B660">
        <v>74366</v>
      </c>
      <c r="C660">
        <v>1</v>
      </c>
      <c r="D660" t="str">
        <f>" "</f>
        <v xml:space="preserve"> </v>
      </c>
      <c r="E660"/>
      <c r="F660" s="19">
        <v>42286.343657407408</v>
      </c>
      <c r="G660"/>
      <c r="H660">
        <v>1</v>
      </c>
      <c r="I660">
        <v>0</v>
      </c>
      <c r="J660"/>
      <c r="K660"/>
      <c r="L660"/>
      <c r="M660" s="1">
        <v>42286</v>
      </c>
      <c r="N660" t="s">
        <v>102</v>
      </c>
      <c r="O660"/>
      <c r="P660"/>
      <c r="Q660"/>
    </row>
    <row r="661" spans="1:17" x14ac:dyDescent="0.3">
      <c r="A661" t="str">
        <f>"16483"</f>
        <v>16483</v>
      </c>
      <c r="B661">
        <v>74479</v>
      </c>
      <c r="C661">
        <v>1</v>
      </c>
      <c r="D661" t="str">
        <f>"SO"</f>
        <v>SO</v>
      </c>
      <c r="E661"/>
      <c r="F661" s="19">
        <v>42285.41909722222</v>
      </c>
      <c r="G661"/>
      <c r="H661">
        <v>1</v>
      </c>
      <c r="I661">
        <v>0</v>
      </c>
      <c r="J661"/>
      <c r="K661"/>
      <c r="L661"/>
      <c r="M661" s="1">
        <v>42285</v>
      </c>
      <c r="N661" t="s">
        <v>102</v>
      </c>
      <c r="O661"/>
      <c r="P661"/>
      <c r="Q661"/>
    </row>
    <row r="662" spans="1:17" x14ac:dyDescent="0.3">
      <c r="A662" t="str">
        <f>"16443"</f>
        <v>16443</v>
      </c>
      <c r="B662">
        <v>74592</v>
      </c>
      <c r="C662">
        <v>1</v>
      </c>
      <c r="D662" t="str">
        <f>"SO"</f>
        <v>SO</v>
      </c>
      <c r="E662"/>
      <c r="F662" s="19">
        <v>42261.670138888891</v>
      </c>
      <c r="G662"/>
      <c r="H662">
        <v>1</v>
      </c>
      <c r="I662">
        <v>0</v>
      </c>
      <c r="J662"/>
      <c r="K662"/>
      <c r="L662"/>
      <c r="M662" s="1">
        <v>42282</v>
      </c>
      <c r="N662" t="s">
        <v>102</v>
      </c>
      <c r="O662"/>
      <c r="P662"/>
      <c r="Q662"/>
    </row>
    <row r="663" spans="1:17" x14ac:dyDescent="0.3">
      <c r="A663" t="str">
        <f>"16437"</f>
        <v>16437</v>
      </c>
      <c r="B663">
        <v>74705</v>
      </c>
      <c r="C663">
        <v>1</v>
      </c>
      <c r="D663" t="str">
        <f>" "</f>
        <v xml:space="preserve"> </v>
      </c>
      <c r="E663"/>
      <c r="F663" s="19">
        <v>42256.6721875</v>
      </c>
      <c r="G663"/>
      <c r="H663">
        <v>1</v>
      </c>
      <c r="I663">
        <v>0</v>
      </c>
      <c r="J663"/>
      <c r="K663"/>
      <c r="L663"/>
      <c r="M663"/>
      <c r="N663" t="s">
        <v>102</v>
      </c>
      <c r="O663"/>
      <c r="P663"/>
      <c r="Q663"/>
    </row>
    <row r="664" spans="1:17" x14ac:dyDescent="0.3">
      <c r="A664" t="str">
        <f>"16436"</f>
        <v>16436</v>
      </c>
      <c r="B664">
        <v>74818</v>
      </c>
      <c r="C664">
        <v>1</v>
      </c>
      <c r="D664" t="str">
        <f>" "</f>
        <v xml:space="preserve"> </v>
      </c>
      <c r="E664"/>
      <c r="F664" s="19">
        <v>42256.671678240738</v>
      </c>
      <c r="G664"/>
      <c r="H664">
        <v>1</v>
      </c>
      <c r="I664">
        <v>0</v>
      </c>
      <c r="J664"/>
      <c r="K664"/>
      <c r="L664"/>
      <c r="M664"/>
      <c r="N664" t="s">
        <v>102</v>
      </c>
      <c r="O664"/>
      <c r="P664"/>
      <c r="Q664"/>
    </row>
    <row r="665" spans="1:17" x14ac:dyDescent="0.3">
      <c r="A665" t="str">
        <f>"16435"</f>
        <v>16435</v>
      </c>
      <c r="B665">
        <v>74931</v>
      </c>
      <c r="C665">
        <v>1</v>
      </c>
      <c r="D665" t="str">
        <f>" "</f>
        <v xml:space="preserve"> </v>
      </c>
      <c r="E665"/>
      <c r="F665" s="19">
        <v>42256.671111111114</v>
      </c>
      <c r="G665"/>
      <c r="H665">
        <v>1</v>
      </c>
      <c r="I665">
        <v>0</v>
      </c>
      <c r="J665"/>
      <c r="K665"/>
      <c r="L665"/>
      <c r="M665"/>
      <c r="N665" t="s">
        <v>102</v>
      </c>
      <c r="O665"/>
      <c r="P665"/>
      <c r="Q665"/>
    </row>
    <row r="666" spans="1:17" x14ac:dyDescent="0.3">
      <c r="A666" t="str">
        <f>"16434"</f>
        <v>16434</v>
      </c>
      <c r="B666">
        <v>75044</v>
      </c>
      <c r="C666">
        <v>1</v>
      </c>
      <c r="D666" t="str">
        <f>" "</f>
        <v xml:space="preserve"> </v>
      </c>
      <c r="E666"/>
      <c r="F666" s="19">
        <v>42256.670543981483</v>
      </c>
      <c r="G666"/>
      <c r="H666">
        <v>1</v>
      </c>
      <c r="I666">
        <v>0</v>
      </c>
      <c r="J666"/>
      <c r="K666"/>
      <c r="L666"/>
      <c r="M666"/>
      <c r="N666" t="s">
        <v>102</v>
      </c>
      <c r="O666"/>
      <c r="P666"/>
      <c r="Q666"/>
    </row>
    <row r="667" spans="1:17" x14ac:dyDescent="0.3">
      <c r="A667" t="str">
        <f>"16432"</f>
        <v>16432</v>
      </c>
      <c r="B667">
        <v>75157</v>
      </c>
      <c r="C667">
        <v>1</v>
      </c>
      <c r="D667" t="str">
        <f>" "</f>
        <v xml:space="preserve"> </v>
      </c>
      <c r="E667"/>
      <c r="F667" s="19">
        <v>42256.670138888891</v>
      </c>
      <c r="G667"/>
      <c r="H667">
        <v>1</v>
      </c>
      <c r="I667">
        <v>0</v>
      </c>
      <c r="J667"/>
      <c r="K667"/>
      <c r="L667"/>
      <c r="M667"/>
      <c r="N667" t="s">
        <v>102</v>
      </c>
      <c r="O667"/>
      <c r="P667"/>
      <c r="Q667"/>
    </row>
    <row r="668" spans="1:17" x14ac:dyDescent="0.3">
      <c r="A668" t="str">
        <f>"16413"</f>
        <v>16413</v>
      </c>
      <c r="B668">
        <v>75270</v>
      </c>
      <c r="C668">
        <v>2</v>
      </c>
      <c r="D668" t="str">
        <f>" "</f>
        <v xml:space="preserve"> </v>
      </c>
      <c r="E668"/>
      <c r="F668" s="19">
        <v>42244.477500000001</v>
      </c>
      <c r="G668"/>
      <c r="H668">
        <v>2</v>
      </c>
      <c r="I668">
        <v>0</v>
      </c>
      <c r="J668"/>
      <c r="K668"/>
      <c r="L668"/>
      <c r="M668"/>
      <c r="N668" t="s">
        <v>102</v>
      </c>
      <c r="O668"/>
      <c r="P668"/>
      <c r="Q668"/>
    </row>
    <row r="669" spans="1:17" x14ac:dyDescent="0.3">
      <c r="A669" t="str">
        <f>"16371"</f>
        <v>16371</v>
      </c>
      <c r="B669">
        <v>75383</v>
      </c>
      <c r="C669">
        <v>1</v>
      </c>
      <c r="D669" t="str">
        <f>"SO"</f>
        <v>SO</v>
      </c>
      <c r="E669"/>
      <c r="F669" s="19">
        <v>42207.359872685185</v>
      </c>
      <c r="G669"/>
      <c r="H669">
        <v>1</v>
      </c>
      <c r="I669">
        <v>0</v>
      </c>
      <c r="J669"/>
      <c r="K669"/>
      <c r="L669"/>
      <c r="M669"/>
      <c r="N669" t="s">
        <v>102</v>
      </c>
      <c r="O669"/>
      <c r="P669"/>
      <c r="Q669"/>
    </row>
    <row r="670" spans="1:17" x14ac:dyDescent="0.3">
      <c r="A670" t="str">
        <f>"16368"</f>
        <v>16368</v>
      </c>
      <c r="B670">
        <v>75496</v>
      </c>
      <c r="C670">
        <v>1</v>
      </c>
      <c r="D670" t="str">
        <f>" "</f>
        <v xml:space="preserve"> </v>
      </c>
      <c r="E670"/>
      <c r="F670" s="19">
        <v>42206.553055555552</v>
      </c>
      <c r="G670"/>
      <c r="H670">
        <v>5</v>
      </c>
      <c r="I670">
        <v>0</v>
      </c>
      <c r="J670"/>
      <c r="K670"/>
      <c r="L670"/>
      <c r="M670" s="1">
        <v>42430</v>
      </c>
      <c r="N670" t="s">
        <v>102</v>
      </c>
      <c r="O670"/>
      <c r="P670"/>
      <c r="Q670"/>
    </row>
    <row r="671" spans="1:17" x14ac:dyDescent="0.3">
      <c r="A671" t="str">
        <f>"16258"</f>
        <v>16258</v>
      </c>
      <c r="B671">
        <v>75609</v>
      </c>
      <c r="C671">
        <v>1</v>
      </c>
      <c r="D671" t="str">
        <f>"SO"</f>
        <v>SO</v>
      </c>
      <c r="E671"/>
      <c r="F671" s="19">
        <v>42150.598263888889</v>
      </c>
      <c r="G671"/>
      <c r="H671">
        <v>1</v>
      </c>
      <c r="I671">
        <v>0</v>
      </c>
      <c r="J671"/>
      <c r="K671"/>
      <c r="L671"/>
      <c r="M671" s="1">
        <v>42151</v>
      </c>
      <c r="N671" t="s">
        <v>102</v>
      </c>
      <c r="O671"/>
      <c r="P671"/>
      <c r="Q671"/>
    </row>
    <row r="672" spans="1:17" x14ac:dyDescent="0.3">
      <c r="A672" t="str">
        <f>"16230"</f>
        <v>16230</v>
      </c>
      <c r="B672">
        <v>75722</v>
      </c>
      <c r="C672">
        <v>1</v>
      </c>
      <c r="D672" t="str">
        <f>"SO"</f>
        <v>SO</v>
      </c>
      <c r="E672"/>
      <c r="F672" s="19">
        <v>42135.327013888891</v>
      </c>
      <c r="G672"/>
      <c r="H672">
        <v>12</v>
      </c>
      <c r="I672">
        <v>0</v>
      </c>
      <c r="J672"/>
      <c r="K672"/>
      <c r="L672"/>
      <c r="M672" s="1">
        <v>42137</v>
      </c>
      <c r="N672" t="s">
        <v>102</v>
      </c>
      <c r="O672"/>
      <c r="P672"/>
      <c r="Q672"/>
    </row>
    <row r="673" spans="1:17" x14ac:dyDescent="0.3">
      <c r="A673" t="str">
        <f>"16230"</f>
        <v>16230</v>
      </c>
      <c r="B673">
        <v>75835</v>
      </c>
      <c r="C673">
        <v>2</v>
      </c>
      <c r="D673" t="str">
        <f>"SO"</f>
        <v>SO</v>
      </c>
      <c r="E673"/>
      <c r="F673" s="19">
        <v>42135.327013888891</v>
      </c>
      <c r="G673"/>
      <c r="H673">
        <v>12</v>
      </c>
      <c r="I673">
        <v>0</v>
      </c>
      <c r="J673"/>
      <c r="K673"/>
      <c r="L673"/>
      <c r="M673" s="1">
        <v>42137</v>
      </c>
      <c r="N673" t="s">
        <v>102</v>
      </c>
      <c r="O673"/>
      <c r="P673"/>
      <c r="Q673"/>
    </row>
    <row r="674" spans="1:17" x14ac:dyDescent="0.3">
      <c r="A674" t="str">
        <f>"16230"</f>
        <v>16230</v>
      </c>
      <c r="B674">
        <v>75948</v>
      </c>
      <c r="C674">
        <v>3</v>
      </c>
      <c r="D674" t="str">
        <f>"SO"</f>
        <v>SO</v>
      </c>
      <c r="E674"/>
      <c r="F674" s="19">
        <v>42135.327013888891</v>
      </c>
      <c r="G674"/>
      <c r="H674">
        <v>12</v>
      </c>
      <c r="I674">
        <v>0</v>
      </c>
      <c r="J674"/>
      <c r="K674"/>
      <c r="L674"/>
      <c r="M674" s="1">
        <v>42137</v>
      </c>
      <c r="N674" t="s">
        <v>102</v>
      </c>
      <c r="O674"/>
      <c r="P674"/>
      <c r="Q674"/>
    </row>
    <row r="675" spans="1:17" x14ac:dyDescent="0.3">
      <c r="A675" t="str">
        <f>"16202"</f>
        <v>16202</v>
      </c>
      <c r="B675">
        <v>76061</v>
      </c>
      <c r="C675">
        <v>1</v>
      </c>
      <c r="D675" t="str">
        <f>"SO"</f>
        <v>SO</v>
      </c>
      <c r="E675"/>
      <c r="F675" s="19">
        <v>42118.402685185189</v>
      </c>
      <c r="G675"/>
      <c r="H675">
        <v>4</v>
      </c>
      <c r="I675">
        <v>0</v>
      </c>
      <c r="J675"/>
      <c r="K675"/>
      <c r="L675"/>
      <c r="M675" s="1">
        <v>42118</v>
      </c>
      <c r="N675" t="s">
        <v>102</v>
      </c>
      <c r="O675"/>
      <c r="P675"/>
      <c r="Q675"/>
    </row>
    <row r="676" spans="1:17" x14ac:dyDescent="0.3">
      <c r="A676" t="str">
        <f>"16202"</f>
        <v>16202</v>
      </c>
      <c r="B676">
        <v>76174</v>
      </c>
      <c r="C676">
        <v>2</v>
      </c>
      <c r="D676" t="str">
        <f>"SO"</f>
        <v>SO</v>
      </c>
      <c r="E676"/>
      <c r="F676" s="19">
        <v>42118.402685185189</v>
      </c>
      <c r="G676"/>
      <c r="H676">
        <v>3</v>
      </c>
      <c r="I676">
        <v>0</v>
      </c>
      <c r="J676"/>
      <c r="K676"/>
      <c r="L676"/>
      <c r="M676" s="1">
        <v>42118</v>
      </c>
      <c r="N676" t="s">
        <v>102</v>
      </c>
      <c r="O676"/>
      <c r="P676"/>
      <c r="Q676"/>
    </row>
    <row r="677" spans="1:17" x14ac:dyDescent="0.3">
      <c r="A677" t="str">
        <f>"16202"</f>
        <v>16202</v>
      </c>
      <c r="B677">
        <v>76287</v>
      </c>
      <c r="C677">
        <v>3</v>
      </c>
      <c r="D677" t="str">
        <f>"SO"</f>
        <v>SO</v>
      </c>
      <c r="E677"/>
      <c r="F677" s="19">
        <v>42118.402685185189</v>
      </c>
      <c r="G677"/>
      <c r="H677">
        <v>1</v>
      </c>
      <c r="I677">
        <v>0</v>
      </c>
      <c r="J677"/>
      <c r="K677"/>
      <c r="L677"/>
      <c r="M677" s="1">
        <v>42118</v>
      </c>
      <c r="N677" t="s">
        <v>102</v>
      </c>
      <c r="O677"/>
      <c r="P677"/>
      <c r="Q677"/>
    </row>
    <row r="678" spans="1:17" x14ac:dyDescent="0.3">
      <c r="A678" t="str">
        <f>"16181"</f>
        <v>16181</v>
      </c>
      <c r="B678">
        <v>76400</v>
      </c>
      <c r="C678">
        <v>1</v>
      </c>
      <c r="D678" t="str">
        <f>" "</f>
        <v xml:space="preserve"> </v>
      </c>
      <c r="E678"/>
      <c r="F678" s="19">
        <v>42108.458634259259</v>
      </c>
      <c r="G678"/>
      <c r="H678">
        <v>1</v>
      </c>
      <c r="I678">
        <v>0</v>
      </c>
      <c r="J678"/>
      <c r="K678"/>
      <c r="L678"/>
      <c r="M678" s="1">
        <v>42369</v>
      </c>
      <c r="N678" t="s">
        <v>102</v>
      </c>
      <c r="O678"/>
      <c r="P678"/>
      <c r="Q678"/>
    </row>
    <row r="679" spans="1:17" x14ac:dyDescent="0.3">
      <c r="A679" t="str">
        <f>"16132"</f>
        <v>16132</v>
      </c>
      <c r="B679">
        <v>76513</v>
      </c>
      <c r="C679">
        <v>1</v>
      </c>
      <c r="D679" t="str">
        <f>" "</f>
        <v xml:space="preserve"> </v>
      </c>
      <c r="E679"/>
      <c r="F679" s="19">
        <v>42093.656585648147</v>
      </c>
      <c r="G679"/>
      <c r="H679">
        <v>1</v>
      </c>
      <c r="I679">
        <v>0</v>
      </c>
      <c r="J679"/>
      <c r="K679"/>
      <c r="L679"/>
      <c r="M679" s="1">
        <v>42369</v>
      </c>
      <c r="N679" t="s">
        <v>102</v>
      </c>
      <c r="O679"/>
      <c r="P679"/>
      <c r="Q679"/>
    </row>
    <row r="680" spans="1:17" x14ac:dyDescent="0.3">
      <c r="A680" t="str">
        <f>"16032"</f>
        <v>16032</v>
      </c>
      <c r="B680">
        <v>76626</v>
      </c>
      <c r="C680">
        <v>1</v>
      </c>
      <c r="D680" t="str">
        <f>"SO"</f>
        <v>SO</v>
      </c>
      <c r="E680"/>
      <c r="F680" s="19">
        <v>42058.441099537034</v>
      </c>
      <c r="G680"/>
      <c r="H680">
        <v>1</v>
      </c>
      <c r="I680">
        <v>0</v>
      </c>
      <c r="J680"/>
      <c r="K680"/>
      <c r="L680"/>
      <c r="M680" s="1">
        <v>42069</v>
      </c>
      <c r="N680" t="s">
        <v>102</v>
      </c>
      <c r="O680"/>
      <c r="P680"/>
      <c r="Q680"/>
    </row>
    <row r="681" spans="1:17" x14ac:dyDescent="0.3">
      <c r="A681" t="str">
        <f>"15986"</f>
        <v>15986</v>
      </c>
      <c r="B681">
        <v>76739</v>
      </c>
      <c r="C681">
        <v>1</v>
      </c>
      <c r="D681" t="str">
        <f>"SO"</f>
        <v>SO</v>
      </c>
      <c r="E681"/>
      <c r="F681" s="19">
        <v>42041.445347222223</v>
      </c>
      <c r="G681"/>
      <c r="H681">
        <v>1</v>
      </c>
      <c r="I681">
        <v>0</v>
      </c>
      <c r="J681"/>
      <c r="K681"/>
      <c r="L681"/>
      <c r="M681" s="1">
        <v>42352</v>
      </c>
      <c r="N681" t="s">
        <v>102</v>
      </c>
      <c r="O681"/>
      <c r="P681"/>
      <c r="Q681"/>
    </row>
    <row r="682" spans="1:17" x14ac:dyDescent="0.3">
      <c r="A682" t="str">
        <f>"15958"</f>
        <v>15958</v>
      </c>
      <c r="B682">
        <v>76852</v>
      </c>
      <c r="C682">
        <v>1</v>
      </c>
      <c r="D682" t="str">
        <f>" "</f>
        <v xml:space="preserve"> </v>
      </c>
      <c r="E682"/>
      <c r="F682" s="19">
        <v>42026.426770833335</v>
      </c>
      <c r="G682"/>
      <c r="H682">
        <v>1</v>
      </c>
      <c r="I682">
        <v>0</v>
      </c>
      <c r="J682"/>
      <c r="K682"/>
      <c r="L682"/>
      <c r="M682" s="1">
        <v>42074</v>
      </c>
      <c r="N682" t="s">
        <v>102</v>
      </c>
      <c r="O682"/>
      <c r="P682"/>
      <c r="Q682"/>
    </row>
    <row r="683" spans="1:17" x14ac:dyDescent="0.3">
      <c r="A683" t="str">
        <f>"15910"</f>
        <v>15910</v>
      </c>
      <c r="B683">
        <v>76965</v>
      </c>
      <c r="C683">
        <v>11</v>
      </c>
      <c r="D683" t="str">
        <f>"SO"</f>
        <v>SO</v>
      </c>
      <c r="E683"/>
      <c r="F683" s="19">
        <v>42213.561203703706</v>
      </c>
      <c r="G683"/>
      <c r="H683">
        <v>1</v>
      </c>
      <c r="I683">
        <v>0</v>
      </c>
      <c r="J683"/>
      <c r="K683"/>
      <c r="L683"/>
      <c r="M683" s="1">
        <v>42216</v>
      </c>
      <c r="N683" t="s">
        <v>102</v>
      </c>
      <c r="O683"/>
      <c r="P683"/>
      <c r="Q683"/>
    </row>
    <row r="684" spans="1:17" x14ac:dyDescent="0.3">
      <c r="A684" t="str">
        <f>"15910"</f>
        <v>15910</v>
      </c>
      <c r="B684">
        <v>77078</v>
      </c>
      <c r="C684">
        <v>15</v>
      </c>
      <c r="D684" t="str">
        <f>"SO"</f>
        <v>SO</v>
      </c>
      <c r="E684"/>
      <c r="F684" s="19">
        <v>42269.349016203705</v>
      </c>
      <c r="G684"/>
      <c r="H684">
        <v>1</v>
      </c>
      <c r="I684">
        <v>0</v>
      </c>
      <c r="J684"/>
      <c r="K684"/>
      <c r="L684"/>
      <c r="M684" s="1">
        <v>42369</v>
      </c>
      <c r="N684" t="s">
        <v>102</v>
      </c>
      <c r="O684"/>
      <c r="P684"/>
      <c r="Q684"/>
    </row>
    <row r="685" spans="1:17" x14ac:dyDescent="0.3">
      <c r="A685" t="str">
        <f>"15861"</f>
        <v>15861</v>
      </c>
      <c r="B685">
        <v>77191</v>
      </c>
      <c r="C685">
        <v>1</v>
      </c>
      <c r="D685" t="str">
        <f>" "</f>
        <v xml:space="preserve"> </v>
      </c>
      <c r="E685"/>
      <c r="F685" s="19">
        <v>41977.337650462963</v>
      </c>
      <c r="G685"/>
      <c r="H685">
        <v>2</v>
      </c>
      <c r="I685">
        <v>0</v>
      </c>
      <c r="J685"/>
      <c r="K685"/>
      <c r="L685"/>
      <c r="M685" s="1">
        <v>42013</v>
      </c>
      <c r="N685" t="s">
        <v>102</v>
      </c>
      <c r="O685"/>
      <c r="P685"/>
      <c r="Q685"/>
    </row>
    <row r="686" spans="1:17" x14ac:dyDescent="0.3">
      <c r="A686" t="str">
        <f>"15839"</f>
        <v>15839</v>
      </c>
      <c r="B686">
        <v>77304</v>
      </c>
      <c r="C686">
        <v>1</v>
      </c>
      <c r="D686" t="str">
        <f>" "</f>
        <v xml:space="preserve"> </v>
      </c>
      <c r="E686"/>
      <c r="F686" s="19">
        <v>41968.674976851849</v>
      </c>
      <c r="G686"/>
      <c r="H686">
        <v>2</v>
      </c>
      <c r="I686">
        <v>0</v>
      </c>
      <c r="J686"/>
      <c r="K686"/>
      <c r="L686"/>
      <c r="M686" s="1">
        <v>41991</v>
      </c>
      <c r="N686" t="s">
        <v>102</v>
      </c>
      <c r="O686"/>
      <c r="P686"/>
      <c r="Q686"/>
    </row>
    <row r="687" spans="1:17" x14ac:dyDescent="0.3">
      <c r="A687" t="str">
        <f>"15839"</f>
        <v>15839</v>
      </c>
      <c r="B687">
        <v>77417</v>
      </c>
      <c r="C687">
        <v>2</v>
      </c>
      <c r="D687" t="str">
        <f>" "</f>
        <v xml:space="preserve"> </v>
      </c>
      <c r="E687"/>
      <c r="F687" s="19">
        <v>41968.674976851849</v>
      </c>
      <c r="G687"/>
      <c r="H687">
        <v>1</v>
      </c>
      <c r="I687">
        <v>0</v>
      </c>
      <c r="J687"/>
      <c r="K687"/>
      <c r="L687"/>
      <c r="M687" s="1">
        <v>41985</v>
      </c>
      <c r="N687" t="s">
        <v>102</v>
      </c>
      <c r="O687"/>
      <c r="P687"/>
      <c r="Q687"/>
    </row>
    <row r="688" spans="1:17" x14ac:dyDescent="0.3">
      <c r="A688" t="str">
        <f>"15823"</f>
        <v>15823</v>
      </c>
      <c r="B688">
        <v>77530</v>
      </c>
      <c r="C688">
        <v>1</v>
      </c>
      <c r="D688" t="str">
        <f>" "</f>
        <v xml:space="preserve"> </v>
      </c>
      <c r="E688"/>
      <c r="F688" s="19">
        <v>41963.565763888888</v>
      </c>
      <c r="G688"/>
      <c r="H688">
        <v>1</v>
      </c>
      <c r="I688">
        <v>0</v>
      </c>
      <c r="J688"/>
      <c r="K688"/>
      <c r="L688"/>
      <c r="M688" s="1">
        <v>41963</v>
      </c>
      <c r="N688" t="s">
        <v>102</v>
      </c>
      <c r="O688"/>
      <c r="P688"/>
      <c r="Q688"/>
    </row>
    <row r="689" spans="1:17" x14ac:dyDescent="0.3">
      <c r="A689" t="str">
        <f>"15822"</f>
        <v>15822</v>
      </c>
      <c r="B689">
        <v>77643</v>
      </c>
      <c r="C689">
        <v>1</v>
      </c>
      <c r="D689" t="str">
        <f>" "</f>
        <v xml:space="preserve"> </v>
      </c>
      <c r="E689"/>
      <c r="F689" s="19">
        <v>41963.321064814816</v>
      </c>
      <c r="G689"/>
      <c r="H689">
        <v>1</v>
      </c>
      <c r="I689">
        <v>0</v>
      </c>
      <c r="J689"/>
      <c r="K689"/>
      <c r="L689"/>
      <c r="M689" s="1">
        <v>41971</v>
      </c>
      <c r="N689" t="s">
        <v>102</v>
      </c>
      <c r="O689"/>
      <c r="P689"/>
      <c r="Q689"/>
    </row>
    <row r="690" spans="1:17" x14ac:dyDescent="0.3">
      <c r="A690" t="str">
        <f>"15560"</f>
        <v>15560</v>
      </c>
      <c r="B690">
        <v>77756</v>
      </c>
      <c r="C690">
        <v>1</v>
      </c>
      <c r="D690" t="str">
        <f>"SO"</f>
        <v>SO</v>
      </c>
      <c r="E690"/>
      <c r="F690" s="19">
        <v>41876.327569444446</v>
      </c>
      <c r="G690"/>
      <c r="H690">
        <v>54</v>
      </c>
      <c r="I690">
        <v>0</v>
      </c>
      <c r="J690"/>
      <c r="K690"/>
      <c r="L690"/>
      <c r="M690" s="1">
        <v>41880</v>
      </c>
      <c r="N690" t="s">
        <v>102</v>
      </c>
      <c r="O690"/>
      <c r="P690"/>
      <c r="Q690"/>
    </row>
    <row r="691" spans="1:17" x14ac:dyDescent="0.3">
      <c r="A691" t="str">
        <f>"15458"</f>
        <v>15458</v>
      </c>
      <c r="B691">
        <v>77869</v>
      </c>
      <c r="C691">
        <v>1</v>
      </c>
      <c r="D691" t="str">
        <f>"SO"</f>
        <v>SO</v>
      </c>
      <c r="E691"/>
      <c r="F691" s="19">
        <v>41828.444293981483</v>
      </c>
      <c r="G691"/>
      <c r="H691">
        <v>5</v>
      </c>
      <c r="I691">
        <v>0</v>
      </c>
      <c r="J691"/>
      <c r="K691"/>
      <c r="L691"/>
      <c r="M691" s="1">
        <v>41829</v>
      </c>
      <c r="N691" t="s">
        <v>102</v>
      </c>
      <c r="O691"/>
      <c r="P691"/>
      <c r="Q691"/>
    </row>
    <row r="692" spans="1:17" x14ac:dyDescent="0.3">
      <c r="A692" t="str">
        <f>"15416"</f>
        <v>15416</v>
      </c>
      <c r="B692">
        <v>77982</v>
      </c>
      <c r="C692">
        <v>1</v>
      </c>
      <c r="D692" t="str">
        <f>" "</f>
        <v xml:space="preserve"> </v>
      </c>
      <c r="E692"/>
      <c r="F692" s="19">
        <v>41806.569016203706</v>
      </c>
      <c r="G692"/>
      <c r="H692">
        <v>1</v>
      </c>
      <c r="I692">
        <v>0</v>
      </c>
      <c r="J692"/>
      <c r="K692"/>
      <c r="L692"/>
      <c r="M692" s="1">
        <v>41953</v>
      </c>
      <c r="N692" t="s">
        <v>102</v>
      </c>
      <c r="O692"/>
      <c r="P692"/>
      <c r="Q692"/>
    </row>
    <row r="693" spans="1:17" x14ac:dyDescent="0.3">
      <c r="A693" t="str">
        <f>"15372"</f>
        <v>15372</v>
      </c>
      <c r="B693">
        <v>78095</v>
      </c>
      <c r="C693">
        <v>1</v>
      </c>
      <c r="D693" t="str">
        <f>" "</f>
        <v xml:space="preserve"> </v>
      </c>
      <c r="E693"/>
      <c r="F693" s="19">
        <v>41780.65384259259</v>
      </c>
      <c r="G693"/>
      <c r="H693">
        <v>2</v>
      </c>
      <c r="I693">
        <v>0</v>
      </c>
      <c r="J693"/>
      <c r="K693"/>
      <c r="L693"/>
      <c r="M693" s="1">
        <v>41787</v>
      </c>
      <c r="N693" t="s">
        <v>102</v>
      </c>
      <c r="O693"/>
      <c r="P693"/>
      <c r="Q693"/>
    </row>
    <row r="694" spans="1:17" x14ac:dyDescent="0.3">
      <c r="A694" t="str">
        <f>"15367"</f>
        <v>15367</v>
      </c>
      <c r="B694">
        <v>78208</v>
      </c>
      <c r="C694">
        <v>1</v>
      </c>
      <c r="D694" t="str">
        <f>"SO"</f>
        <v>SO</v>
      </c>
      <c r="E694"/>
      <c r="F694" s="19">
        <v>41779.481203703705</v>
      </c>
      <c r="G694"/>
      <c r="H694">
        <v>18</v>
      </c>
      <c r="I694">
        <v>0</v>
      </c>
      <c r="J694"/>
      <c r="K694"/>
      <c r="L694"/>
      <c r="M694" s="1">
        <v>41782</v>
      </c>
      <c r="N694" t="s">
        <v>102</v>
      </c>
      <c r="O694"/>
      <c r="P694"/>
      <c r="Q694"/>
    </row>
    <row r="695" spans="1:17" x14ac:dyDescent="0.3">
      <c r="A695" t="str">
        <f>"15367"</f>
        <v>15367</v>
      </c>
      <c r="B695">
        <v>78321</v>
      </c>
      <c r="C695">
        <v>2</v>
      </c>
      <c r="D695" t="str">
        <f>"SO"</f>
        <v>SO</v>
      </c>
      <c r="E695"/>
      <c r="F695" s="19">
        <v>41779.481203703705</v>
      </c>
      <c r="G695"/>
      <c r="H695">
        <v>36</v>
      </c>
      <c r="I695">
        <v>0</v>
      </c>
      <c r="J695"/>
      <c r="K695"/>
      <c r="L695"/>
      <c r="M695" s="1">
        <v>41782</v>
      </c>
      <c r="N695" t="s">
        <v>102</v>
      </c>
      <c r="O695"/>
      <c r="P695"/>
      <c r="Q695"/>
    </row>
    <row r="696" spans="1:17" x14ac:dyDescent="0.3">
      <c r="A696" t="str">
        <f>"15301"</f>
        <v>15301</v>
      </c>
      <c r="B696">
        <v>78434</v>
      </c>
      <c r="C696">
        <v>1</v>
      </c>
      <c r="D696" t="str">
        <f>"SO"</f>
        <v>SO</v>
      </c>
      <c r="E696"/>
      <c r="F696" s="19">
        <v>41746.405624999999</v>
      </c>
      <c r="G696"/>
      <c r="H696">
        <v>40</v>
      </c>
      <c r="I696">
        <v>0</v>
      </c>
      <c r="J696"/>
      <c r="K696"/>
      <c r="L696"/>
      <c r="M696" s="1">
        <v>41751</v>
      </c>
      <c r="N696" t="s">
        <v>102</v>
      </c>
      <c r="O696"/>
      <c r="P696"/>
      <c r="Q696"/>
    </row>
    <row r="697" spans="1:17" x14ac:dyDescent="0.3">
      <c r="A697" t="str">
        <f>"15298"</f>
        <v>15298</v>
      </c>
      <c r="B697">
        <v>78547</v>
      </c>
      <c r="C697">
        <v>1</v>
      </c>
      <c r="D697" t="str">
        <f>"AN"</f>
        <v>AN</v>
      </c>
      <c r="E697"/>
      <c r="F697" s="19">
        <v>41747.342534722222</v>
      </c>
      <c r="G697"/>
      <c r="H697">
        <v>1</v>
      </c>
      <c r="I697">
        <v>0</v>
      </c>
      <c r="J697"/>
      <c r="K697"/>
      <c r="L697"/>
      <c r="M697" s="1">
        <v>41773</v>
      </c>
      <c r="N697" t="s">
        <v>102</v>
      </c>
      <c r="O697"/>
      <c r="P697"/>
      <c r="Q697"/>
    </row>
    <row r="698" spans="1:17" x14ac:dyDescent="0.3">
      <c r="A698" t="str">
        <f>"15286"</f>
        <v>15286</v>
      </c>
      <c r="B698">
        <v>78660</v>
      </c>
      <c r="C698">
        <v>1</v>
      </c>
      <c r="D698" t="str">
        <f>" "</f>
        <v xml:space="preserve"> </v>
      </c>
      <c r="E698"/>
      <c r="F698" s="19">
        <v>41738.636076388888</v>
      </c>
      <c r="G698"/>
      <c r="H698">
        <v>1</v>
      </c>
      <c r="I698">
        <v>0</v>
      </c>
      <c r="J698"/>
      <c r="K698"/>
      <c r="L698"/>
      <c r="M698" s="1">
        <v>41738</v>
      </c>
      <c r="N698" t="s">
        <v>102</v>
      </c>
      <c r="O698"/>
      <c r="P698"/>
      <c r="Q698"/>
    </row>
    <row r="699" spans="1:17" x14ac:dyDescent="0.3">
      <c r="A699" t="str">
        <f>"15193"</f>
        <v>15193</v>
      </c>
      <c r="B699">
        <v>78773</v>
      </c>
      <c r="C699">
        <v>2</v>
      </c>
      <c r="D699" t="str">
        <f>"SO"</f>
        <v>SO</v>
      </c>
      <c r="E699"/>
      <c r="F699" s="19">
        <v>41751.460277777776</v>
      </c>
      <c r="G699"/>
      <c r="H699">
        <v>3</v>
      </c>
      <c r="I699">
        <v>0</v>
      </c>
      <c r="J699"/>
      <c r="K699"/>
      <c r="L699"/>
      <c r="M699" s="1">
        <v>41710</v>
      </c>
      <c r="N699" t="s">
        <v>102</v>
      </c>
      <c r="O699"/>
      <c r="P699"/>
      <c r="Q699"/>
    </row>
    <row r="700" spans="1:17" x14ac:dyDescent="0.3">
      <c r="A700" t="str">
        <f>"15180"</f>
        <v>15180</v>
      </c>
      <c r="B700">
        <v>78886</v>
      </c>
      <c r="C700">
        <v>1</v>
      </c>
      <c r="D700" t="str">
        <f>" "</f>
        <v xml:space="preserve"> </v>
      </c>
      <c r="E700"/>
      <c r="F700" s="19">
        <v>41698.350821759261</v>
      </c>
      <c r="G700"/>
      <c r="H700">
        <v>1</v>
      </c>
      <c r="I700">
        <v>0</v>
      </c>
      <c r="J700"/>
      <c r="K700"/>
      <c r="L700"/>
      <c r="M700" s="1">
        <v>42004</v>
      </c>
      <c r="N700" t="s">
        <v>102</v>
      </c>
      <c r="O700"/>
      <c r="P700"/>
      <c r="Q700"/>
    </row>
    <row r="701" spans="1:17" x14ac:dyDescent="0.3">
      <c r="A701" t="str">
        <f>"15149"</f>
        <v>15149</v>
      </c>
      <c r="B701">
        <v>78999</v>
      </c>
      <c r="C701">
        <v>2</v>
      </c>
      <c r="D701" t="str">
        <f>"SO"</f>
        <v>SO</v>
      </c>
      <c r="E701"/>
      <c r="F701" s="19">
        <v>41682.461828703701</v>
      </c>
      <c r="G701"/>
      <c r="H701">
        <v>1</v>
      </c>
      <c r="I701">
        <v>0</v>
      </c>
      <c r="J701"/>
      <c r="K701"/>
      <c r="L701"/>
      <c r="M701" s="1">
        <v>41687</v>
      </c>
      <c r="N701" t="s">
        <v>102</v>
      </c>
      <c r="O701"/>
      <c r="P701"/>
      <c r="Q701"/>
    </row>
    <row r="702" spans="1:17" x14ac:dyDescent="0.3">
      <c r="A702" t="str">
        <f>"15133"</f>
        <v>15133</v>
      </c>
      <c r="B702">
        <v>79112</v>
      </c>
      <c r="C702">
        <v>1</v>
      </c>
      <c r="D702" t="str">
        <f>" "</f>
        <v xml:space="preserve"> </v>
      </c>
      <c r="E702"/>
      <c r="F702" s="19">
        <v>41674.482129629629</v>
      </c>
      <c r="G702"/>
      <c r="H702">
        <v>1</v>
      </c>
      <c r="I702">
        <v>0</v>
      </c>
      <c r="J702"/>
      <c r="K702"/>
      <c r="L702"/>
      <c r="M702" s="1">
        <v>41698</v>
      </c>
      <c r="N702" t="s">
        <v>102</v>
      </c>
      <c r="O702"/>
      <c r="P702"/>
      <c r="Q702"/>
    </row>
    <row r="703" spans="1:17" x14ac:dyDescent="0.3">
      <c r="A703" t="str">
        <f>"15094"</f>
        <v>15094</v>
      </c>
      <c r="B703">
        <v>79225</v>
      </c>
      <c r="C703">
        <v>1</v>
      </c>
      <c r="D703" t="str">
        <f>"SO"</f>
        <v>SO</v>
      </c>
      <c r="E703"/>
      <c r="F703" s="19">
        <v>41656.438009259262</v>
      </c>
      <c r="G703"/>
      <c r="H703">
        <v>2</v>
      </c>
      <c r="I703">
        <v>0</v>
      </c>
      <c r="J703"/>
      <c r="K703"/>
      <c r="L703"/>
      <c r="M703" s="1">
        <v>41670</v>
      </c>
      <c r="N703" t="s">
        <v>102</v>
      </c>
      <c r="O703"/>
      <c r="P703"/>
      <c r="Q703"/>
    </row>
    <row r="704" spans="1:17" x14ac:dyDescent="0.3">
      <c r="A704" t="str">
        <f>"15089"</f>
        <v>15089</v>
      </c>
      <c r="B704">
        <v>79338</v>
      </c>
      <c r="C704">
        <v>1</v>
      </c>
      <c r="D704" t="str">
        <f>" "</f>
        <v xml:space="preserve"> </v>
      </c>
      <c r="E704"/>
      <c r="F704" s="19">
        <v>41652.453888888886</v>
      </c>
      <c r="G704"/>
      <c r="H704">
        <v>1</v>
      </c>
      <c r="I704">
        <v>0</v>
      </c>
      <c r="J704"/>
      <c r="K704"/>
      <c r="L704"/>
      <c r="M704" s="1">
        <v>41684</v>
      </c>
      <c r="N704" t="s">
        <v>102</v>
      </c>
      <c r="O704"/>
      <c r="P704"/>
      <c r="Q704"/>
    </row>
    <row r="705" spans="1:17" x14ac:dyDescent="0.3">
      <c r="A705" t="str">
        <f>"15081"</f>
        <v>15081</v>
      </c>
      <c r="B705">
        <v>79451</v>
      </c>
      <c r="C705">
        <v>1</v>
      </c>
      <c r="D705" t="str">
        <f>"SO"</f>
        <v>SO</v>
      </c>
      <c r="E705"/>
      <c r="F705" s="19">
        <v>41632.355219907404</v>
      </c>
      <c r="G705"/>
      <c r="H705">
        <v>1</v>
      </c>
      <c r="I705">
        <v>0</v>
      </c>
      <c r="J705"/>
      <c r="K705"/>
      <c r="L705"/>
      <c r="M705" s="1">
        <v>42004</v>
      </c>
      <c r="N705" t="s">
        <v>102</v>
      </c>
      <c r="O705"/>
      <c r="P705"/>
      <c r="Q705"/>
    </row>
    <row r="706" spans="1:17" x14ac:dyDescent="0.3">
      <c r="A706" t="str">
        <f>"15081"</f>
        <v>15081</v>
      </c>
      <c r="B706">
        <v>79564</v>
      </c>
      <c r="C706">
        <v>3</v>
      </c>
      <c r="D706" t="str">
        <f>"SO"</f>
        <v>SO</v>
      </c>
      <c r="E706"/>
      <c r="F706" s="19">
        <v>41705.411863425928</v>
      </c>
      <c r="G706"/>
      <c r="H706">
        <v>3</v>
      </c>
      <c r="I706">
        <v>0</v>
      </c>
      <c r="J706"/>
      <c r="K706"/>
      <c r="L706"/>
      <c r="M706" s="1">
        <v>41712</v>
      </c>
      <c r="N706" t="s">
        <v>102</v>
      </c>
      <c r="O706"/>
      <c r="P706"/>
      <c r="Q706"/>
    </row>
    <row r="707" spans="1:17" x14ac:dyDescent="0.3">
      <c r="A707" t="str">
        <f>"15081"</f>
        <v>15081</v>
      </c>
      <c r="B707">
        <v>79677</v>
      </c>
      <c r="C707">
        <v>7</v>
      </c>
      <c r="D707" t="str">
        <f>"SO"</f>
        <v>SO</v>
      </c>
      <c r="E707"/>
      <c r="F707" s="19">
        <v>41842.317708333336</v>
      </c>
      <c r="G707"/>
      <c r="H707">
        <v>1</v>
      </c>
      <c r="I707">
        <v>0</v>
      </c>
      <c r="J707"/>
      <c r="K707"/>
      <c r="L707"/>
      <c r="M707" s="1">
        <v>42004</v>
      </c>
      <c r="N707" t="s">
        <v>102</v>
      </c>
      <c r="O707"/>
      <c r="P707"/>
      <c r="Q707"/>
    </row>
    <row r="708" spans="1:17" x14ac:dyDescent="0.3">
      <c r="A708" t="str">
        <f>"15076"</f>
        <v>15076</v>
      </c>
      <c r="B708">
        <v>79790</v>
      </c>
      <c r="C708">
        <v>1</v>
      </c>
      <c r="D708" t="str">
        <f>"SO"</f>
        <v>SO</v>
      </c>
      <c r="E708"/>
      <c r="F708" s="19">
        <v>41627.666030092594</v>
      </c>
      <c r="G708"/>
      <c r="H708">
        <v>1</v>
      </c>
      <c r="I708">
        <v>0</v>
      </c>
      <c r="J708"/>
      <c r="K708"/>
      <c r="L708"/>
      <c r="M708" s="1">
        <v>41673</v>
      </c>
      <c r="N708" t="s">
        <v>102</v>
      </c>
      <c r="O708"/>
      <c r="P708"/>
      <c r="Q708"/>
    </row>
    <row r="709" spans="1:17" x14ac:dyDescent="0.3">
      <c r="A709" t="str">
        <f>"15076"</f>
        <v>15076</v>
      </c>
      <c r="B709">
        <v>79903</v>
      </c>
      <c r="C709">
        <v>3</v>
      </c>
      <c r="D709" t="str">
        <f>"SO"</f>
        <v>SO</v>
      </c>
      <c r="E709"/>
      <c r="F709" s="19">
        <v>41627.666030092594</v>
      </c>
      <c r="G709"/>
      <c r="H709">
        <v>2</v>
      </c>
      <c r="I709">
        <v>0</v>
      </c>
      <c r="J709"/>
      <c r="K709"/>
      <c r="L709"/>
      <c r="M709" s="1">
        <v>41673</v>
      </c>
      <c r="N709" t="s">
        <v>102</v>
      </c>
      <c r="O709"/>
      <c r="P709"/>
      <c r="Q709"/>
    </row>
    <row r="710" spans="1:17" x14ac:dyDescent="0.3">
      <c r="A710" t="str">
        <f>"15057"</f>
        <v>15057</v>
      </c>
      <c r="B710">
        <v>80016</v>
      </c>
      <c r="C710">
        <v>1</v>
      </c>
      <c r="D710" t="str">
        <f>"SO"</f>
        <v>SO</v>
      </c>
      <c r="E710"/>
      <c r="F710" s="19">
        <v>41620.323981481481</v>
      </c>
      <c r="G710"/>
      <c r="H710">
        <v>2</v>
      </c>
      <c r="I710">
        <v>0</v>
      </c>
      <c r="J710"/>
      <c r="K710"/>
      <c r="L710"/>
      <c r="M710" s="1">
        <v>41626</v>
      </c>
      <c r="N710" t="s">
        <v>102</v>
      </c>
      <c r="O710"/>
      <c r="P710"/>
      <c r="Q710"/>
    </row>
    <row r="711" spans="1:17" x14ac:dyDescent="0.3">
      <c r="A711" t="str">
        <f>"14910"</f>
        <v>14910</v>
      </c>
      <c r="B711">
        <v>80129</v>
      </c>
      <c r="C711">
        <v>1</v>
      </c>
      <c r="D711" t="str">
        <f>"SO"</f>
        <v>SO</v>
      </c>
      <c r="E711"/>
      <c r="F711" s="19">
        <v>41537.407430555555</v>
      </c>
      <c r="G711"/>
      <c r="H711">
        <v>1</v>
      </c>
      <c r="I711">
        <v>0</v>
      </c>
      <c r="J711"/>
      <c r="K711"/>
      <c r="L711"/>
      <c r="M711" s="1">
        <v>41554</v>
      </c>
      <c r="N711" t="s">
        <v>102</v>
      </c>
      <c r="O711"/>
      <c r="P711"/>
      <c r="Q711"/>
    </row>
    <row r="712" spans="1:17" x14ac:dyDescent="0.3">
      <c r="A712" t="str">
        <f>"14865"</f>
        <v>14865</v>
      </c>
      <c r="B712">
        <v>80242</v>
      </c>
      <c r="C712">
        <v>1</v>
      </c>
      <c r="D712" t="str">
        <f>"SO"</f>
        <v>SO</v>
      </c>
      <c r="E712"/>
      <c r="F712" s="19">
        <v>41500.636840277781</v>
      </c>
      <c r="G712"/>
      <c r="H712">
        <v>36</v>
      </c>
      <c r="I712">
        <v>0</v>
      </c>
      <c r="J712"/>
      <c r="K712"/>
      <c r="L712"/>
      <c r="M712" s="1">
        <v>41506</v>
      </c>
      <c r="N712" t="s">
        <v>102</v>
      </c>
      <c r="O712"/>
      <c r="P712"/>
      <c r="Q712"/>
    </row>
    <row r="713" spans="1:17" x14ac:dyDescent="0.3">
      <c r="A713" t="str">
        <f>"14825"</f>
        <v>14825</v>
      </c>
      <c r="B713">
        <v>80355</v>
      </c>
      <c r="C713">
        <v>1</v>
      </c>
      <c r="D713" t="str">
        <f>"SO"</f>
        <v>SO</v>
      </c>
      <c r="E713"/>
      <c r="F713" s="19">
        <v>41495.339155092595</v>
      </c>
      <c r="G713"/>
      <c r="H713">
        <v>1</v>
      </c>
      <c r="I713">
        <v>0</v>
      </c>
      <c r="J713"/>
      <c r="K713"/>
      <c r="L713"/>
      <c r="M713" s="1">
        <v>41533</v>
      </c>
      <c r="N713" t="s">
        <v>102</v>
      </c>
      <c r="O713"/>
      <c r="P713"/>
      <c r="Q713"/>
    </row>
    <row r="714" spans="1:17" x14ac:dyDescent="0.3">
      <c r="A714" t="str">
        <f>"14813"</f>
        <v>14813</v>
      </c>
      <c r="B714">
        <v>80468</v>
      </c>
      <c r="C714">
        <v>1</v>
      </c>
      <c r="D714" t="str">
        <f>" "</f>
        <v xml:space="preserve"> </v>
      </c>
      <c r="E714"/>
      <c r="F714" s="19">
        <v>41488.340844907405</v>
      </c>
      <c r="G714"/>
      <c r="H714">
        <v>1</v>
      </c>
      <c r="I714">
        <v>0</v>
      </c>
      <c r="J714"/>
      <c r="K714"/>
      <c r="L714"/>
      <c r="M714" s="1">
        <v>41639</v>
      </c>
      <c r="N714" t="s">
        <v>102</v>
      </c>
      <c r="O714"/>
      <c r="P714"/>
      <c r="Q714"/>
    </row>
    <row r="715" spans="1:17" x14ac:dyDescent="0.3">
      <c r="A715" t="str">
        <f>"14781"</f>
        <v>14781</v>
      </c>
      <c r="B715">
        <v>80581</v>
      </c>
      <c r="C715">
        <v>2</v>
      </c>
      <c r="D715" t="str">
        <f>" "</f>
        <v xml:space="preserve"> </v>
      </c>
      <c r="E715"/>
      <c r="F715" s="19">
        <v>41478.471122685187</v>
      </c>
      <c r="G715"/>
      <c r="H715">
        <v>1</v>
      </c>
      <c r="I715">
        <v>0</v>
      </c>
      <c r="J715"/>
      <c r="K715"/>
      <c r="L715"/>
      <c r="M715" s="1">
        <v>41495</v>
      </c>
      <c r="N715" t="s">
        <v>102</v>
      </c>
      <c r="O715"/>
      <c r="P715"/>
      <c r="Q715"/>
    </row>
    <row r="716" spans="1:17" x14ac:dyDescent="0.3">
      <c r="A716" t="str">
        <f>"14775"</f>
        <v>14775</v>
      </c>
      <c r="B716">
        <v>80694</v>
      </c>
      <c r="C716">
        <v>1</v>
      </c>
      <c r="D716" t="str">
        <f>" "</f>
        <v xml:space="preserve"> </v>
      </c>
      <c r="E716"/>
      <c r="F716" s="19">
        <v>41473.326643518521</v>
      </c>
      <c r="G716"/>
      <c r="H716">
        <v>1</v>
      </c>
      <c r="I716">
        <v>0</v>
      </c>
      <c r="J716"/>
      <c r="K716"/>
      <c r="L716"/>
      <c r="M716" s="1">
        <v>41473</v>
      </c>
      <c r="N716" t="s">
        <v>102</v>
      </c>
      <c r="O716"/>
      <c r="P716"/>
      <c r="Q716"/>
    </row>
    <row r="717" spans="1:17" x14ac:dyDescent="0.3">
      <c r="A717" t="str">
        <f>"14736"</f>
        <v>14736</v>
      </c>
      <c r="B717">
        <v>80807</v>
      </c>
      <c r="C717">
        <v>1</v>
      </c>
      <c r="D717" t="str">
        <f>"SO"</f>
        <v>SO</v>
      </c>
      <c r="E717"/>
      <c r="F717" s="19">
        <v>41452.344351851854</v>
      </c>
      <c r="G717"/>
      <c r="H717">
        <v>50</v>
      </c>
      <c r="I717">
        <v>0</v>
      </c>
      <c r="J717"/>
      <c r="K717"/>
      <c r="L717"/>
      <c r="M717" s="1">
        <v>41467</v>
      </c>
      <c r="N717" t="s">
        <v>102</v>
      </c>
      <c r="O717"/>
      <c r="P717"/>
      <c r="Q717"/>
    </row>
    <row r="718" spans="1:17" x14ac:dyDescent="0.3">
      <c r="A718" t="str">
        <f>"14705"</f>
        <v>14705</v>
      </c>
      <c r="B718">
        <v>80920</v>
      </c>
      <c r="C718">
        <v>6</v>
      </c>
      <c r="D718" t="str">
        <f>"SO"</f>
        <v>SO</v>
      </c>
      <c r="E718"/>
      <c r="F718" s="19">
        <v>41466.610752314817</v>
      </c>
      <c r="G718"/>
      <c r="H718">
        <v>1</v>
      </c>
      <c r="I718">
        <v>0</v>
      </c>
      <c r="J718"/>
      <c r="K718"/>
      <c r="L718"/>
      <c r="M718" s="1">
        <v>41467</v>
      </c>
      <c r="N718" t="s">
        <v>102</v>
      </c>
      <c r="O718"/>
      <c r="P718"/>
      <c r="Q718"/>
    </row>
    <row r="719" spans="1:17" x14ac:dyDescent="0.3">
      <c r="A719" t="str">
        <f>"14697"</f>
        <v>14697</v>
      </c>
      <c r="B719">
        <v>81033</v>
      </c>
      <c r="C719">
        <v>1</v>
      </c>
      <c r="D719" t="str">
        <f>" "</f>
        <v xml:space="preserve"> </v>
      </c>
      <c r="E719"/>
      <c r="F719" s="19">
        <v>41429.453055555554</v>
      </c>
      <c r="G719"/>
      <c r="H719">
        <v>1</v>
      </c>
      <c r="I719">
        <v>0</v>
      </c>
      <c r="J719"/>
      <c r="K719"/>
      <c r="L719"/>
      <c r="M719" s="1">
        <v>41639</v>
      </c>
      <c r="N719" t="s">
        <v>102</v>
      </c>
      <c r="O719"/>
      <c r="P719"/>
      <c r="Q719"/>
    </row>
    <row r="720" spans="1:17" x14ac:dyDescent="0.3">
      <c r="A720" t="str">
        <f>"14697"</f>
        <v>14697</v>
      </c>
      <c r="B720">
        <v>81146</v>
      </c>
      <c r="C720">
        <v>2</v>
      </c>
      <c r="D720" t="str">
        <f>" "</f>
        <v xml:space="preserve"> </v>
      </c>
      <c r="E720"/>
      <c r="F720" s="19">
        <v>41457.316550925927</v>
      </c>
      <c r="G720"/>
      <c r="H720">
        <v>48</v>
      </c>
      <c r="I720">
        <v>0</v>
      </c>
      <c r="J720"/>
      <c r="K720"/>
      <c r="L720"/>
      <c r="M720" s="1">
        <v>41474</v>
      </c>
      <c r="N720" t="s">
        <v>102</v>
      </c>
      <c r="O720"/>
      <c r="P720"/>
      <c r="Q720"/>
    </row>
    <row r="721" spans="1:17" x14ac:dyDescent="0.3">
      <c r="A721" t="str">
        <f>"14697"</f>
        <v>14697</v>
      </c>
      <c r="B721">
        <v>81259</v>
      </c>
      <c r="C721">
        <v>3</v>
      </c>
      <c r="D721" t="str">
        <f>" "</f>
        <v xml:space="preserve"> </v>
      </c>
      <c r="E721"/>
      <c r="F721" s="19">
        <v>41457.316550925927</v>
      </c>
      <c r="G721"/>
      <c r="H721">
        <v>20</v>
      </c>
      <c r="I721">
        <v>0</v>
      </c>
      <c r="J721"/>
      <c r="K721"/>
      <c r="L721"/>
      <c r="M721" s="1">
        <v>41474</v>
      </c>
      <c r="N721" t="s">
        <v>102</v>
      </c>
      <c r="O721"/>
      <c r="P721"/>
      <c r="Q721"/>
    </row>
    <row r="722" spans="1:17" x14ac:dyDescent="0.3">
      <c r="A722" t="str">
        <f>"14645"</f>
        <v>14645</v>
      </c>
      <c r="B722">
        <v>81372</v>
      </c>
      <c r="C722">
        <v>2</v>
      </c>
      <c r="D722" t="str">
        <f>" "</f>
        <v xml:space="preserve"> </v>
      </c>
      <c r="E722"/>
      <c r="F722" s="19">
        <v>41381.575219907405</v>
      </c>
      <c r="G722"/>
      <c r="H722">
        <v>5</v>
      </c>
      <c r="I722">
        <v>0</v>
      </c>
      <c r="J722"/>
      <c r="K722"/>
      <c r="L722"/>
      <c r="M722" s="1">
        <v>41416</v>
      </c>
      <c r="N722" t="s">
        <v>102</v>
      </c>
      <c r="O722"/>
      <c r="P722"/>
      <c r="Q722"/>
    </row>
    <row r="723" spans="1:17" x14ac:dyDescent="0.3">
      <c r="A723" t="str">
        <f>"14625"</f>
        <v>14625</v>
      </c>
      <c r="B723">
        <v>81485</v>
      </c>
      <c r="C723">
        <v>6</v>
      </c>
      <c r="D723" t="str">
        <f>"SO"</f>
        <v>SO</v>
      </c>
      <c r="E723"/>
      <c r="F723" s="19">
        <v>41376.663055555553</v>
      </c>
      <c r="G723"/>
      <c r="H723">
        <v>1</v>
      </c>
      <c r="I723">
        <v>0</v>
      </c>
      <c r="J723"/>
      <c r="K723"/>
      <c r="L723"/>
      <c r="M723" s="1">
        <v>41593</v>
      </c>
      <c r="N723" t="s">
        <v>102</v>
      </c>
      <c r="O723"/>
      <c r="P723"/>
      <c r="Q723"/>
    </row>
    <row r="724" spans="1:17" x14ac:dyDescent="0.3">
      <c r="A724" t="str">
        <f>"14625"</f>
        <v>14625</v>
      </c>
      <c r="B724">
        <v>81598</v>
      </c>
      <c r="C724">
        <v>8</v>
      </c>
      <c r="D724" t="str">
        <f>"SO"</f>
        <v>SO</v>
      </c>
      <c r="E724"/>
      <c r="F724" s="19">
        <v>41578.392696759256</v>
      </c>
      <c r="G724"/>
      <c r="H724">
        <v>1</v>
      </c>
      <c r="I724">
        <v>0</v>
      </c>
      <c r="J724"/>
      <c r="K724"/>
      <c r="L724"/>
      <c r="M724" s="1">
        <v>41578</v>
      </c>
      <c r="N724" t="s">
        <v>102</v>
      </c>
      <c r="O724"/>
      <c r="P724"/>
      <c r="Q724"/>
    </row>
    <row r="725" spans="1:17" x14ac:dyDescent="0.3">
      <c r="A725" t="str">
        <f>"14606"</f>
        <v>14606</v>
      </c>
      <c r="B725">
        <v>81711</v>
      </c>
      <c r="C725">
        <v>2</v>
      </c>
      <c r="D725" t="str">
        <f>"SO"</f>
        <v>SO</v>
      </c>
      <c r="E725"/>
      <c r="F725" s="19">
        <v>41372.327986111108</v>
      </c>
      <c r="G725"/>
      <c r="H725">
        <v>72</v>
      </c>
      <c r="I725">
        <v>0</v>
      </c>
      <c r="J725"/>
      <c r="K725"/>
      <c r="L725"/>
      <c r="M725" s="1">
        <v>41411</v>
      </c>
      <c r="N725" t="s">
        <v>102</v>
      </c>
      <c r="O725"/>
      <c r="P725"/>
      <c r="Q725"/>
    </row>
    <row r="726" spans="1:17" x14ac:dyDescent="0.3">
      <c r="A726" t="str">
        <f>"14560"</f>
        <v>14560</v>
      </c>
      <c r="B726">
        <v>81824</v>
      </c>
      <c r="C726">
        <v>1</v>
      </c>
      <c r="D726" t="str">
        <f>" "</f>
        <v xml:space="preserve"> </v>
      </c>
      <c r="E726"/>
      <c r="F726" s="19">
        <v>41347.334351851852</v>
      </c>
      <c r="G726"/>
      <c r="H726">
        <v>1</v>
      </c>
      <c r="I726">
        <v>0</v>
      </c>
      <c r="J726"/>
      <c r="K726"/>
      <c r="L726"/>
      <c r="M726" s="1">
        <v>41639</v>
      </c>
      <c r="N726" t="s">
        <v>102</v>
      </c>
      <c r="O726"/>
      <c r="P726"/>
      <c r="Q726"/>
    </row>
    <row r="727" spans="1:17" x14ac:dyDescent="0.3">
      <c r="A727" t="str">
        <f>"14514"</f>
        <v>14514</v>
      </c>
      <c r="B727">
        <v>81937</v>
      </c>
      <c r="C727">
        <v>1</v>
      </c>
      <c r="D727" t="str">
        <f>" "</f>
        <v xml:space="preserve"> </v>
      </c>
      <c r="E727"/>
      <c r="F727" s="19">
        <v>41326.315335648149</v>
      </c>
      <c r="G727"/>
      <c r="H727">
        <v>1</v>
      </c>
      <c r="I727">
        <v>0</v>
      </c>
      <c r="J727"/>
      <c r="K727"/>
      <c r="L727"/>
      <c r="M727" s="1">
        <v>41639</v>
      </c>
      <c r="N727" t="s">
        <v>102</v>
      </c>
      <c r="O727"/>
      <c r="P727"/>
      <c r="Q727"/>
    </row>
    <row r="728" spans="1:17" x14ac:dyDescent="0.3">
      <c r="A728" t="str">
        <f>"14513"</f>
        <v>14513</v>
      </c>
      <c r="B728">
        <v>82050</v>
      </c>
      <c r="C728">
        <v>1</v>
      </c>
      <c r="D728" t="str">
        <f>" "</f>
        <v xml:space="preserve"> </v>
      </c>
      <c r="E728"/>
      <c r="F728" s="19">
        <v>41326.3125</v>
      </c>
      <c r="G728"/>
      <c r="H728">
        <v>1</v>
      </c>
      <c r="I728">
        <v>0</v>
      </c>
      <c r="J728"/>
      <c r="K728"/>
      <c r="L728"/>
      <c r="M728" s="1">
        <v>41333</v>
      </c>
      <c r="N728" t="s">
        <v>102</v>
      </c>
      <c r="O728"/>
      <c r="P728"/>
      <c r="Q728"/>
    </row>
    <row r="729" spans="1:17" x14ac:dyDescent="0.3">
      <c r="A729" t="str">
        <f>"14427"</f>
        <v>14427</v>
      </c>
      <c r="B729">
        <v>82163</v>
      </c>
      <c r="C729">
        <v>1</v>
      </c>
      <c r="D729" t="str">
        <f>"SO"</f>
        <v>SO</v>
      </c>
      <c r="E729"/>
      <c r="F729" s="19">
        <v>41289.588819444441</v>
      </c>
      <c r="G729"/>
      <c r="H729">
        <v>3</v>
      </c>
      <c r="I729">
        <v>0</v>
      </c>
      <c r="J729"/>
      <c r="K729"/>
      <c r="L729"/>
      <c r="M729" s="1">
        <v>41292</v>
      </c>
      <c r="N729" t="s">
        <v>102</v>
      </c>
      <c r="O729"/>
      <c r="P729"/>
      <c r="Q729"/>
    </row>
    <row r="730" spans="1:17" x14ac:dyDescent="0.3">
      <c r="A730" t="str">
        <f>"14419"</f>
        <v>14419</v>
      </c>
      <c r="B730">
        <v>82276</v>
      </c>
      <c r="C730">
        <v>1</v>
      </c>
      <c r="D730" t="str">
        <f>" "</f>
        <v xml:space="preserve"> </v>
      </c>
      <c r="E730"/>
      <c r="F730" s="19">
        <v>41277.474027777775</v>
      </c>
      <c r="G730"/>
      <c r="H730">
        <v>1</v>
      </c>
      <c r="I730">
        <v>0</v>
      </c>
      <c r="J730"/>
      <c r="K730"/>
      <c r="L730"/>
      <c r="M730" s="1">
        <v>41639</v>
      </c>
      <c r="N730" t="s">
        <v>102</v>
      </c>
      <c r="O730"/>
      <c r="P730"/>
      <c r="Q730"/>
    </row>
    <row r="731" spans="1:17" x14ac:dyDescent="0.3">
      <c r="A731" t="str">
        <f>"14418"</f>
        <v>14418</v>
      </c>
      <c r="B731">
        <v>82389</v>
      </c>
      <c r="C731">
        <v>1</v>
      </c>
      <c r="D731" t="str">
        <f>" "</f>
        <v xml:space="preserve"> </v>
      </c>
      <c r="E731"/>
      <c r="F731" s="19">
        <v>41277.473715277774</v>
      </c>
      <c r="G731"/>
      <c r="H731">
        <v>1</v>
      </c>
      <c r="I731">
        <v>0</v>
      </c>
      <c r="J731"/>
      <c r="K731"/>
      <c r="L731"/>
      <c r="M731" s="1">
        <v>41639</v>
      </c>
      <c r="N731" t="s">
        <v>102</v>
      </c>
      <c r="O731"/>
      <c r="P731"/>
      <c r="Q731"/>
    </row>
    <row r="732" spans="1:17" x14ac:dyDescent="0.3">
      <c r="A732" t="str">
        <f>"14417"</f>
        <v>14417</v>
      </c>
      <c r="B732">
        <v>82502</v>
      </c>
      <c r="C732">
        <v>1</v>
      </c>
      <c r="D732" t="str">
        <f>" "</f>
        <v xml:space="preserve"> </v>
      </c>
      <c r="E732"/>
      <c r="F732" s="19">
        <v>41277.473425925928</v>
      </c>
      <c r="G732"/>
      <c r="H732">
        <v>1</v>
      </c>
      <c r="I732">
        <v>0</v>
      </c>
      <c r="J732"/>
      <c r="K732"/>
      <c r="L732"/>
      <c r="M732" s="1">
        <v>41639</v>
      </c>
      <c r="N732" t="s">
        <v>102</v>
      </c>
      <c r="O732"/>
      <c r="P732"/>
      <c r="Q732"/>
    </row>
    <row r="733" spans="1:17" x14ac:dyDescent="0.3">
      <c r="A733" t="str">
        <f>"14416"</f>
        <v>14416</v>
      </c>
      <c r="B733">
        <v>82615</v>
      </c>
      <c r="C733">
        <v>1</v>
      </c>
      <c r="D733" t="str">
        <f>" "</f>
        <v xml:space="preserve"> </v>
      </c>
      <c r="E733"/>
      <c r="F733" s="19">
        <v>41277.473124999997</v>
      </c>
      <c r="G733"/>
      <c r="H733">
        <v>1</v>
      </c>
      <c r="I733">
        <v>0</v>
      </c>
      <c r="J733"/>
      <c r="K733"/>
      <c r="L733"/>
      <c r="M733" s="1">
        <v>41639</v>
      </c>
      <c r="N733" t="s">
        <v>102</v>
      </c>
      <c r="O733"/>
      <c r="P733"/>
      <c r="Q733"/>
    </row>
    <row r="734" spans="1:17" x14ac:dyDescent="0.3">
      <c r="A734" t="str">
        <f>"14415"</f>
        <v>14415</v>
      </c>
      <c r="B734">
        <v>82728</v>
      </c>
      <c r="C734">
        <v>1</v>
      </c>
      <c r="D734" t="str">
        <f>" "</f>
        <v xml:space="preserve"> </v>
      </c>
      <c r="E734"/>
      <c r="F734" s="19">
        <v>41277.472777777781</v>
      </c>
      <c r="G734"/>
      <c r="H734">
        <v>1</v>
      </c>
      <c r="I734">
        <v>0</v>
      </c>
      <c r="J734"/>
      <c r="K734"/>
      <c r="L734"/>
      <c r="M734" s="1">
        <v>41639</v>
      </c>
      <c r="N734" t="s">
        <v>102</v>
      </c>
      <c r="O734"/>
      <c r="P734"/>
      <c r="Q734"/>
    </row>
    <row r="735" spans="1:17" x14ac:dyDescent="0.3">
      <c r="A735" t="str">
        <f>"14414"</f>
        <v>14414</v>
      </c>
      <c r="B735">
        <v>82841</v>
      </c>
      <c r="C735">
        <v>1</v>
      </c>
      <c r="D735" t="str">
        <f>" "</f>
        <v xml:space="preserve"> </v>
      </c>
      <c r="E735"/>
      <c r="F735" s="19">
        <v>41277.472094907411</v>
      </c>
      <c r="G735"/>
      <c r="H735">
        <v>1</v>
      </c>
      <c r="I735">
        <v>0</v>
      </c>
      <c r="J735"/>
      <c r="K735"/>
      <c r="L735"/>
      <c r="M735" s="1">
        <v>41639</v>
      </c>
      <c r="N735" t="s">
        <v>102</v>
      </c>
      <c r="O735"/>
      <c r="P735"/>
      <c r="Q735"/>
    </row>
    <row r="736" spans="1:17" x14ac:dyDescent="0.3">
      <c r="A736" t="str">
        <f>"14413"</f>
        <v>14413</v>
      </c>
      <c r="B736">
        <v>82954</v>
      </c>
      <c r="C736">
        <v>1</v>
      </c>
      <c r="D736" t="str">
        <f>" "</f>
        <v xml:space="preserve"> </v>
      </c>
      <c r="E736"/>
      <c r="F736" s="19">
        <v>41277.471550925926</v>
      </c>
      <c r="G736"/>
      <c r="H736">
        <v>1</v>
      </c>
      <c r="I736">
        <v>0</v>
      </c>
      <c r="J736"/>
      <c r="K736"/>
      <c r="L736"/>
      <c r="M736" s="1">
        <v>41639</v>
      </c>
      <c r="N736" t="s">
        <v>102</v>
      </c>
      <c r="O736"/>
      <c r="P736"/>
      <c r="Q736"/>
    </row>
    <row r="737" spans="1:17" x14ac:dyDescent="0.3">
      <c r="A737" t="str">
        <f>"14412"</f>
        <v>14412</v>
      </c>
      <c r="B737">
        <v>83067</v>
      </c>
      <c r="C737">
        <v>2</v>
      </c>
      <c r="D737" t="str">
        <f>" "</f>
        <v xml:space="preserve"> </v>
      </c>
      <c r="E737"/>
      <c r="F737" s="19">
        <v>41348.396018518521</v>
      </c>
      <c r="G737"/>
      <c r="H737">
        <v>1</v>
      </c>
      <c r="I737">
        <v>0</v>
      </c>
      <c r="J737"/>
      <c r="K737"/>
      <c r="L737"/>
      <c r="M737" s="1">
        <v>41639</v>
      </c>
      <c r="N737" t="s">
        <v>102</v>
      </c>
      <c r="O737"/>
      <c r="P737"/>
      <c r="Q737"/>
    </row>
    <row r="738" spans="1:17" x14ac:dyDescent="0.3">
      <c r="A738" t="str">
        <f>"14411"</f>
        <v>14411</v>
      </c>
      <c r="B738">
        <v>83180</v>
      </c>
      <c r="C738">
        <v>1</v>
      </c>
      <c r="D738" t="str">
        <f>" "</f>
        <v xml:space="preserve"> </v>
      </c>
      <c r="E738"/>
      <c r="F738" s="19">
        <v>41277.469189814816</v>
      </c>
      <c r="G738"/>
      <c r="H738">
        <v>1</v>
      </c>
      <c r="I738">
        <v>0</v>
      </c>
      <c r="J738"/>
      <c r="K738"/>
      <c r="L738"/>
      <c r="M738" s="1">
        <v>41639</v>
      </c>
      <c r="N738" t="s">
        <v>102</v>
      </c>
      <c r="O738"/>
      <c r="P738"/>
      <c r="Q738"/>
    </row>
    <row r="739" spans="1:17" x14ac:dyDescent="0.3">
      <c r="A739" t="str">
        <f>"14410"</f>
        <v>14410</v>
      </c>
      <c r="B739">
        <v>83293</v>
      </c>
      <c r="C739">
        <v>1</v>
      </c>
      <c r="D739" t="str">
        <f>" "</f>
        <v xml:space="preserve"> </v>
      </c>
      <c r="E739"/>
      <c r="F739" s="19">
        <v>41277.468564814815</v>
      </c>
      <c r="G739"/>
      <c r="H739">
        <v>1</v>
      </c>
      <c r="I739">
        <v>0</v>
      </c>
      <c r="J739"/>
      <c r="K739"/>
      <c r="L739"/>
      <c r="M739" s="1">
        <v>41639</v>
      </c>
      <c r="N739" t="s">
        <v>102</v>
      </c>
      <c r="O739"/>
      <c r="P739"/>
      <c r="Q739"/>
    </row>
    <row r="740" spans="1:17" x14ac:dyDescent="0.3">
      <c r="A740" t="str">
        <f>"14409"</f>
        <v>14409</v>
      </c>
      <c r="B740">
        <v>83406</v>
      </c>
      <c r="C740">
        <v>1</v>
      </c>
      <c r="D740" t="str">
        <f>" "</f>
        <v xml:space="preserve"> </v>
      </c>
      <c r="E740"/>
      <c r="F740" s="19">
        <v>41277.467858796299</v>
      </c>
      <c r="G740"/>
      <c r="H740">
        <v>1</v>
      </c>
      <c r="I740">
        <v>0</v>
      </c>
      <c r="J740"/>
      <c r="K740"/>
      <c r="L740"/>
      <c r="M740" s="1">
        <v>41639</v>
      </c>
      <c r="N740" t="s">
        <v>102</v>
      </c>
      <c r="O740"/>
      <c r="P740"/>
      <c r="Q740"/>
    </row>
    <row r="741" spans="1:17" x14ac:dyDescent="0.3">
      <c r="A741" t="str">
        <f>"14408"</f>
        <v>14408</v>
      </c>
      <c r="B741">
        <v>83519</v>
      </c>
      <c r="C741">
        <v>1</v>
      </c>
      <c r="D741" t="str">
        <f>" "</f>
        <v xml:space="preserve"> </v>
      </c>
      <c r="E741"/>
      <c r="F741" s="19">
        <v>41277.467418981483</v>
      </c>
      <c r="G741"/>
      <c r="H741">
        <v>1</v>
      </c>
      <c r="I741">
        <v>0</v>
      </c>
      <c r="J741"/>
      <c r="K741"/>
      <c r="L741"/>
      <c r="M741" s="1">
        <v>41639</v>
      </c>
      <c r="N741" t="s">
        <v>102</v>
      </c>
      <c r="O741"/>
      <c r="P741"/>
      <c r="Q741"/>
    </row>
    <row r="742" spans="1:17" x14ac:dyDescent="0.3">
      <c r="A742" t="str">
        <f>"14407"</f>
        <v>14407</v>
      </c>
      <c r="B742">
        <v>83632</v>
      </c>
      <c r="C742">
        <v>1</v>
      </c>
      <c r="D742" t="str">
        <f>" "</f>
        <v xml:space="preserve"> </v>
      </c>
      <c r="E742"/>
      <c r="F742" s="19">
        <v>41277.465960648151</v>
      </c>
      <c r="G742"/>
      <c r="H742">
        <v>1</v>
      </c>
      <c r="I742">
        <v>0</v>
      </c>
      <c r="J742"/>
      <c r="K742"/>
      <c r="L742"/>
      <c r="M742" s="1">
        <v>41639</v>
      </c>
      <c r="N742" t="s">
        <v>102</v>
      </c>
      <c r="O742"/>
      <c r="P742"/>
      <c r="Q742"/>
    </row>
    <row r="743" spans="1:17" x14ac:dyDescent="0.3">
      <c r="A743" t="str">
        <f>"14406"</f>
        <v>14406</v>
      </c>
      <c r="B743">
        <v>83745</v>
      </c>
      <c r="C743">
        <v>1</v>
      </c>
      <c r="D743" t="str">
        <f>" "</f>
        <v xml:space="preserve"> </v>
      </c>
      <c r="E743"/>
      <c r="F743" s="19">
        <v>41277.465324074074</v>
      </c>
      <c r="G743"/>
      <c r="H743">
        <v>1</v>
      </c>
      <c r="I743">
        <v>0</v>
      </c>
      <c r="J743"/>
      <c r="K743"/>
      <c r="L743"/>
      <c r="M743" s="1">
        <v>41639</v>
      </c>
      <c r="N743" t="s">
        <v>102</v>
      </c>
      <c r="O743"/>
      <c r="P743"/>
      <c r="Q743"/>
    </row>
    <row r="744" spans="1:17" x14ac:dyDescent="0.3">
      <c r="A744" t="str">
        <f>"14405"</f>
        <v>14405</v>
      </c>
      <c r="B744">
        <v>83858</v>
      </c>
      <c r="C744">
        <v>1</v>
      </c>
      <c r="D744" t="str">
        <f>" "</f>
        <v xml:space="preserve"> </v>
      </c>
      <c r="E744"/>
      <c r="F744" s="19">
        <v>41277.464930555558</v>
      </c>
      <c r="G744"/>
      <c r="H744">
        <v>1</v>
      </c>
      <c r="I744">
        <v>0</v>
      </c>
      <c r="J744"/>
      <c r="K744"/>
      <c r="L744"/>
      <c r="M744" s="1">
        <v>41639</v>
      </c>
      <c r="N744" t="s">
        <v>102</v>
      </c>
      <c r="O744"/>
      <c r="P744"/>
      <c r="Q744"/>
    </row>
    <row r="745" spans="1:17" x14ac:dyDescent="0.3">
      <c r="A745" t="str">
        <f>"14404"</f>
        <v>14404</v>
      </c>
      <c r="B745">
        <v>83971</v>
      </c>
      <c r="C745">
        <v>1</v>
      </c>
      <c r="D745" t="str">
        <f>" "</f>
        <v xml:space="preserve"> </v>
      </c>
      <c r="E745"/>
      <c r="F745" s="19">
        <v>41277.464594907404</v>
      </c>
      <c r="G745"/>
      <c r="H745">
        <v>1</v>
      </c>
      <c r="I745">
        <v>0</v>
      </c>
      <c r="J745"/>
      <c r="K745"/>
      <c r="L745"/>
      <c r="M745" s="1">
        <v>41639</v>
      </c>
      <c r="N745" t="s">
        <v>102</v>
      </c>
      <c r="O745"/>
      <c r="P745"/>
      <c r="Q745"/>
    </row>
    <row r="746" spans="1:17" x14ac:dyDescent="0.3">
      <c r="A746" t="str">
        <f>"14403"</f>
        <v>14403</v>
      </c>
      <c r="B746">
        <v>84084</v>
      </c>
      <c r="C746">
        <v>1</v>
      </c>
      <c r="D746" t="str">
        <f>" "</f>
        <v xml:space="preserve"> </v>
      </c>
      <c r="E746"/>
      <c r="F746" s="19">
        <v>41277.464259259257</v>
      </c>
      <c r="G746"/>
      <c r="H746">
        <v>1</v>
      </c>
      <c r="I746">
        <v>0</v>
      </c>
      <c r="J746"/>
      <c r="K746"/>
      <c r="L746"/>
      <c r="M746" s="1">
        <v>41639</v>
      </c>
      <c r="N746" t="s">
        <v>102</v>
      </c>
      <c r="O746"/>
      <c r="P746"/>
      <c r="Q746"/>
    </row>
    <row r="747" spans="1:17" x14ac:dyDescent="0.3">
      <c r="A747" t="str">
        <f>"14402"</f>
        <v>14402</v>
      </c>
      <c r="B747">
        <v>84197</v>
      </c>
      <c r="C747">
        <v>1</v>
      </c>
      <c r="D747" t="str">
        <f>" "</f>
        <v xml:space="preserve"> </v>
      </c>
      <c r="E747"/>
      <c r="F747" s="19">
        <v>41277.463900462964</v>
      </c>
      <c r="G747"/>
      <c r="H747">
        <v>1</v>
      </c>
      <c r="I747">
        <v>0</v>
      </c>
      <c r="J747"/>
      <c r="K747"/>
      <c r="L747"/>
      <c r="M747" s="1">
        <v>41639</v>
      </c>
      <c r="N747" t="s">
        <v>102</v>
      </c>
      <c r="O747"/>
      <c r="P747"/>
      <c r="Q747"/>
    </row>
    <row r="748" spans="1:17" x14ac:dyDescent="0.3">
      <c r="A748" t="str">
        <f>"14401"</f>
        <v>14401</v>
      </c>
      <c r="B748">
        <v>84310</v>
      </c>
      <c r="C748">
        <v>1</v>
      </c>
      <c r="D748" t="str">
        <f>" "</f>
        <v xml:space="preserve"> </v>
      </c>
      <c r="E748"/>
      <c r="F748" s="19">
        <v>41277.463333333333</v>
      </c>
      <c r="G748"/>
      <c r="H748">
        <v>1</v>
      </c>
      <c r="I748">
        <v>0</v>
      </c>
      <c r="J748"/>
      <c r="K748"/>
      <c r="L748"/>
      <c r="M748" s="1">
        <v>41639</v>
      </c>
      <c r="N748" t="s">
        <v>102</v>
      </c>
      <c r="O748"/>
      <c r="P748"/>
      <c r="Q748"/>
    </row>
    <row r="749" spans="1:17" x14ac:dyDescent="0.3">
      <c r="A749" t="str">
        <f>"14400"</f>
        <v>14400</v>
      </c>
      <c r="B749">
        <v>84423</v>
      </c>
      <c r="C749">
        <v>1</v>
      </c>
      <c r="D749" t="str">
        <f>" "</f>
        <v xml:space="preserve"> </v>
      </c>
      <c r="E749"/>
      <c r="F749" s="19">
        <v>41277.462800925925</v>
      </c>
      <c r="G749"/>
      <c r="H749">
        <v>1</v>
      </c>
      <c r="I749">
        <v>0</v>
      </c>
      <c r="J749"/>
      <c r="K749"/>
      <c r="L749"/>
      <c r="M749" s="1">
        <v>41639</v>
      </c>
      <c r="N749" t="s">
        <v>102</v>
      </c>
      <c r="O749"/>
      <c r="P749"/>
      <c r="Q749"/>
    </row>
    <row r="750" spans="1:17" x14ac:dyDescent="0.3">
      <c r="A750" t="str">
        <f>"14399"</f>
        <v>14399</v>
      </c>
      <c r="B750">
        <v>84536</v>
      </c>
      <c r="C750">
        <v>1</v>
      </c>
      <c r="D750" t="str">
        <f>" "</f>
        <v xml:space="preserve"> </v>
      </c>
      <c r="E750"/>
      <c r="F750" s="19">
        <v>41277.462453703702</v>
      </c>
      <c r="G750"/>
      <c r="H750">
        <v>1</v>
      </c>
      <c r="I750">
        <v>0</v>
      </c>
      <c r="J750"/>
      <c r="K750"/>
      <c r="L750"/>
      <c r="M750" s="1">
        <v>41639</v>
      </c>
      <c r="N750" t="s">
        <v>102</v>
      </c>
      <c r="O750"/>
      <c r="P750"/>
      <c r="Q750"/>
    </row>
    <row r="751" spans="1:17" x14ac:dyDescent="0.3">
      <c r="A751" t="str">
        <f>"14398"</f>
        <v>14398</v>
      </c>
      <c r="B751">
        <v>84649</v>
      </c>
      <c r="C751">
        <v>1</v>
      </c>
      <c r="D751" t="str">
        <f>" "</f>
        <v xml:space="preserve"> </v>
      </c>
      <c r="E751"/>
      <c r="F751" s="19">
        <v>41277.462164351855</v>
      </c>
      <c r="G751"/>
      <c r="H751">
        <v>1</v>
      </c>
      <c r="I751">
        <v>0</v>
      </c>
      <c r="J751"/>
      <c r="K751"/>
      <c r="L751"/>
      <c r="M751" s="1">
        <v>42369</v>
      </c>
      <c r="N751" t="s">
        <v>102</v>
      </c>
      <c r="O751"/>
      <c r="P751"/>
      <c r="Q751"/>
    </row>
    <row r="752" spans="1:17" x14ac:dyDescent="0.3">
      <c r="A752" t="str">
        <f>"14397"</f>
        <v>14397</v>
      </c>
      <c r="B752">
        <v>84762</v>
      </c>
      <c r="C752">
        <v>1</v>
      </c>
      <c r="D752" t="str">
        <f>" "</f>
        <v xml:space="preserve"> </v>
      </c>
      <c r="E752"/>
      <c r="F752" s="19">
        <v>41277.461851851855</v>
      </c>
      <c r="G752"/>
      <c r="H752">
        <v>1</v>
      </c>
      <c r="I752">
        <v>0</v>
      </c>
      <c r="J752"/>
      <c r="K752"/>
      <c r="L752"/>
      <c r="M752" s="1">
        <v>41639</v>
      </c>
      <c r="N752" t="s">
        <v>102</v>
      </c>
      <c r="O752"/>
      <c r="P752"/>
      <c r="Q752"/>
    </row>
    <row r="753" spans="1:17" x14ac:dyDescent="0.3">
      <c r="A753" t="str">
        <f>"14396"</f>
        <v>14396</v>
      </c>
      <c r="B753">
        <v>84875</v>
      </c>
      <c r="C753">
        <v>1</v>
      </c>
      <c r="D753" t="str">
        <f>" "</f>
        <v xml:space="preserve"> </v>
      </c>
      <c r="E753"/>
      <c r="F753" s="19">
        <v>41277.461585648147</v>
      </c>
      <c r="G753"/>
      <c r="H753">
        <v>1</v>
      </c>
      <c r="I753">
        <v>0</v>
      </c>
      <c r="J753"/>
      <c r="K753"/>
      <c r="L753"/>
      <c r="M753" s="1">
        <v>41639</v>
      </c>
      <c r="N753" t="s">
        <v>102</v>
      </c>
      <c r="O753"/>
      <c r="P753"/>
      <c r="Q753"/>
    </row>
    <row r="754" spans="1:17" x14ac:dyDescent="0.3">
      <c r="A754" t="str">
        <f>"14395"</f>
        <v>14395</v>
      </c>
      <c r="B754">
        <v>84988</v>
      </c>
      <c r="C754">
        <v>1</v>
      </c>
      <c r="D754" t="str">
        <f>" "</f>
        <v xml:space="preserve"> </v>
      </c>
      <c r="E754"/>
      <c r="F754" s="19">
        <v>41277.461296296293</v>
      </c>
      <c r="G754"/>
      <c r="H754">
        <v>1</v>
      </c>
      <c r="I754">
        <v>0</v>
      </c>
      <c r="J754"/>
      <c r="K754"/>
      <c r="L754"/>
      <c r="M754" s="1">
        <v>41639</v>
      </c>
      <c r="N754" t="s">
        <v>102</v>
      </c>
      <c r="O754"/>
      <c r="P754"/>
      <c r="Q754"/>
    </row>
    <row r="755" spans="1:17" x14ac:dyDescent="0.3">
      <c r="A755" t="str">
        <f>"14394"</f>
        <v>14394</v>
      </c>
      <c r="B755">
        <v>85101</v>
      </c>
      <c r="C755">
        <v>1</v>
      </c>
      <c r="D755" t="str">
        <f>" "</f>
        <v xml:space="preserve"> </v>
      </c>
      <c r="E755"/>
      <c r="F755" s="19">
        <v>41277.461006944446</v>
      </c>
      <c r="G755"/>
      <c r="H755">
        <v>1</v>
      </c>
      <c r="I755">
        <v>0</v>
      </c>
      <c r="J755"/>
      <c r="K755"/>
      <c r="L755"/>
      <c r="M755" s="1">
        <v>41639</v>
      </c>
      <c r="N755" t="s">
        <v>102</v>
      </c>
      <c r="O755"/>
      <c r="P755"/>
      <c r="Q755"/>
    </row>
    <row r="756" spans="1:17" x14ac:dyDescent="0.3">
      <c r="A756" t="str">
        <f>"14393"</f>
        <v>14393</v>
      </c>
      <c r="B756">
        <v>85214</v>
      </c>
      <c r="C756">
        <v>1</v>
      </c>
      <c r="D756" t="str">
        <f>" "</f>
        <v xml:space="preserve"> </v>
      </c>
      <c r="E756"/>
      <c r="F756" s="19">
        <v>41277.460706018515</v>
      </c>
      <c r="G756"/>
      <c r="H756">
        <v>1</v>
      </c>
      <c r="I756">
        <v>0</v>
      </c>
      <c r="J756"/>
      <c r="K756"/>
      <c r="L756"/>
      <c r="M756" s="1">
        <v>41639</v>
      </c>
      <c r="N756" t="s">
        <v>102</v>
      </c>
      <c r="O756"/>
      <c r="P756"/>
      <c r="Q756"/>
    </row>
    <row r="757" spans="1:17" x14ac:dyDescent="0.3">
      <c r="A757" t="str">
        <f>"14392"</f>
        <v>14392</v>
      </c>
      <c r="B757">
        <v>85327</v>
      </c>
      <c r="C757">
        <v>1</v>
      </c>
      <c r="D757" t="str">
        <f>" "</f>
        <v xml:space="preserve"> </v>
      </c>
      <c r="E757"/>
      <c r="F757" s="19">
        <v>41277.460370370369</v>
      </c>
      <c r="G757"/>
      <c r="H757">
        <v>1</v>
      </c>
      <c r="I757">
        <v>0</v>
      </c>
      <c r="J757"/>
      <c r="K757"/>
      <c r="L757"/>
      <c r="M757" s="1">
        <v>41639</v>
      </c>
      <c r="N757" t="s">
        <v>102</v>
      </c>
      <c r="O757"/>
      <c r="P757"/>
      <c r="Q757"/>
    </row>
    <row r="758" spans="1:17" x14ac:dyDescent="0.3">
      <c r="A758" t="str">
        <f>"14391"</f>
        <v>14391</v>
      </c>
      <c r="B758">
        <v>85440</v>
      </c>
      <c r="C758">
        <v>1</v>
      </c>
      <c r="D758" t="str">
        <f>" "</f>
        <v xml:space="preserve"> </v>
      </c>
      <c r="E758"/>
      <c r="F758" s="19">
        <v>41277.460069444445</v>
      </c>
      <c r="G758"/>
      <c r="H758">
        <v>1</v>
      </c>
      <c r="I758">
        <v>0</v>
      </c>
      <c r="J758"/>
      <c r="K758"/>
      <c r="L758"/>
      <c r="M758" s="1">
        <v>41639</v>
      </c>
      <c r="N758" t="s">
        <v>102</v>
      </c>
      <c r="O758"/>
      <c r="P758"/>
      <c r="Q758"/>
    </row>
    <row r="759" spans="1:17" x14ac:dyDescent="0.3">
      <c r="A759" t="str">
        <f>"14390"</f>
        <v>14390</v>
      </c>
      <c r="B759">
        <v>85553</v>
      </c>
      <c r="C759">
        <v>1</v>
      </c>
      <c r="D759" t="str">
        <f>" "</f>
        <v xml:space="preserve"> </v>
      </c>
      <c r="E759"/>
      <c r="F759" s="19">
        <v>41277.459780092591</v>
      </c>
      <c r="G759"/>
      <c r="H759">
        <v>1</v>
      </c>
      <c r="I759">
        <v>0</v>
      </c>
      <c r="J759"/>
      <c r="K759"/>
      <c r="L759"/>
      <c r="M759" s="1">
        <v>41639</v>
      </c>
      <c r="N759" t="s">
        <v>102</v>
      </c>
      <c r="O759"/>
      <c r="P759"/>
      <c r="Q759"/>
    </row>
    <row r="760" spans="1:17" x14ac:dyDescent="0.3">
      <c r="A760" t="str">
        <f>"14389"</f>
        <v>14389</v>
      </c>
      <c r="B760">
        <v>85666</v>
      </c>
      <c r="C760">
        <v>1</v>
      </c>
      <c r="D760" t="str">
        <f>" "</f>
        <v xml:space="preserve"> </v>
      </c>
      <c r="E760"/>
      <c r="F760" s="19">
        <v>41277.459374999999</v>
      </c>
      <c r="G760"/>
      <c r="H760">
        <v>1</v>
      </c>
      <c r="I760">
        <v>0</v>
      </c>
      <c r="J760"/>
      <c r="K760"/>
      <c r="L760"/>
      <c r="M760" s="1">
        <v>41639</v>
      </c>
      <c r="N760" t="s">
        <v>102</v>
      </c>
      <c r="O760"/>
      <c r="P760"/>
      <c r="Q760"/>
    </row>
    <row r="761" spans="1:17" x14ac:dyDescent="0.3">
      <c r="A761" t="str">
        <f>"14388"</f>
        <v>14388</v>
      </c>
      <c r="B761">
        <v>85779</v>
      </c>
      <c r="C761">
        <v>1</v>
      </c>
      <c r="D761" t="str">
        <f>" "</f>
        <v xml:space="preserve"> </v>
      </c>
      <c r="E761"/>
      <c r="F761" s="19">
        <v>41277.459039351852</v>
      </c>
      <c r="G761"/>
      <c r="H761">
        <v>1</v>
      </c>
      <c r="I761">
        <v>0</v>
      </c>
      <c r="J761"/>
      <c r="K761"/>
      <c r="L761"/>
      <c r="M761" s="1">
        <v>41639</v>
      </c>
      <c r="N761" t="s">
        <v>102</v>
      </c>
      <c r="O761"/>
      <c r="P761"/>
      <c r="Q761"/>
    </row>
    <row r="762" spans="1:17" x14ac:dyDescent="0.3">
      <c r="A762" t="str">
        <f>"14387"</f>
        <v>14387</v>
      </c>
      <c r="B762">
        <v>85892</v>
      </c>
      <c r="C762">
        <v>1</v>
      </c>
      <c r="D762" t="str">
        <f>" "</f>
        <v xml:space="preserve"> </v>
      </c>
      <c r="E762"/>
      <c r="F762" s="19">
        <v>41277.458657407406</v>
      </c>
      <c r="G762"/>
      <c r="H762">
        <v>1</v>
      </c>
      <c r="I762">
        <v>0</v>
      </c>
      <c r="J762"/>
      <c r="K762"/>
      <c r="L762"/>
      <c r="M762" s="1">
        <v>41639</v>
      </c>
      <c r="N762" t="s">
        <v>102</v>
      </c>
      <c r="O762"/>
      <c r="P762"/>
      <c r="Q762"/>
    </row>
    <row r="763" spans="1:17" x14ac:dyDescent="0.3">
      <c r="A763" t="str">
        <f>"14386"</f>
        <v>14386</v>
      </c>
      <c r="B763">
        <v>86005</v>
      </c>
      <c r="C763">
        <v>1</v>
      </c>
      <c r="D763" t="str">
        <f>" "</f>
        <v xml:space="preserve"> </v>
      </c>
      <c r="E763"/>
      <c r="F763" s="19">
        <v>41277.458333333336</v>
      </c>
      <c r="G763"/>
      <c r="H763">
        <v>1</v>
      </c>
      <c r="I763">
        <v>0</v>
      </c>
      <c r="J763"/>
      <c r="K763"/>
      <c r="L763"/>
      <c r="M763" s="1">
        <v>42369</v>
      </c>
      <c r="N763" t="s">
        <v>102</v>
      </c>
      <c r="O763"/>
      <c r="P763"/>
      <c r="Q763"/>
    </row>
    <row r="764" spans="1:17" x14ac:dyDescent="0.3">
      <c r="A764" t="str">
        <f>"14385"</f>
        <v>14385</v>
      </c>
      <c r="B764">
        <v>86118</v>
      </c>
      <c r="C764">
        <v>1</v>
      </c>
      <c r="D764" t="str">
        <f>" "</f>
        <v xml:space="preserve"> </v>
      </c>
      <c r="E764"/>
      <c r="F764" s="19">
        <v>41277.457974537036</v>
      </c>
      <c r="G764"/>
      <c r="H764">
        <v>1</v>
      </c>
      <c r="I764">
        <v>0</v>
      </c>
      <c r="J764"/>
      <c r="K764"/>
      <c r="L764"/>
      <c r="M764" s="1">
        <v>41639</v>
      </c>
      <c r="N764" t="s">
        <v>102</v>
      </c>
      <c r="O764"/>
      <c r="P764"/>
      <c r="Q764"/>
    </row>
    <row r="765" spans="1:17" x14ac:dyDescent="0.3">
      <c r="A765" t="str">
        <f>"14384"</f>
        <v>14384</v>
      </c>
      <c r="B765">
        <v>86231</v>
      </c>
      <c r="C765">
        <v>1</v>
      </c>
      <c r="D765" t="str">
        <f>" "</f>
        <v xml:space="preserve"> </v>
      </c>
      <c r="E765"/>
      <c r="F765" s="19">
        <v>41277.457615740743</v>
      </c>
      <c r="G765"/>
      <c r="H765">
        <v>1</v>
      </c>
      <c r="I765">
        <v>0</v>
      </c>
      <c r="J765"/>
      <c r="K765"/>
      <c r="L765"/>
      <c r="M765" s="1">
        <v>41639</v>
      </c>
      <c r="N765" t="s">
        <v>102</v>
      </c>
      <c r="O765"/>
      <c r="P765"/>
      <c r="Q765"/>
    </row>
    <row r="766" spans="1:17" x14ac:dyDescent="0.3">
      <c r="A766" t="str">
        <f>"14383"</f>
        <v>14383</v>
      </c>
      <c r="B766">
        <v>86344</v>
      </c>
      <c r="C766">
        <v>1</v>
      </c>
      <c r="D766" t="str">
        <f>" "</f>
        <v xml:space="preserve"> </v>
      </c>
      <c r="E766"/>
      <c r="F766" s="19">
        <v>41277.457280092596</v>
      </c>
      <c r="G766"/>
      <c r="H766">
        <v>1</v>
      </c>
      <c r="I766">
        <v>0</v>
      </c>
      <c r="J766"/>
      <c r="K766"/>
      <c r="L766"/>
      <c r="M766" s="1">
        <v>41639</v>
      </c>
      <c r="N766" t="s">
        <v>102</v>
      </c>
      <c r="O766"/>
      <c r="P766"/>
      <c r="Q766"/>
    </row>
    <row r="767" spans="1:17" x14ac:dyDescent="0.3">
      <c r="A767" t="str">
        <f>"14382"</f>
        <v>14382</v>
      </c>
      <c r="B767">
        <v>86457</v>
      </c>
      <c r="C767">
        <v>1</v>
      </c>
      <c r="D767" t="str">
        <f>" "</f>
        <v xml:space="preserve"> </v>
      </c>
      <c r="E767"/>
      <c r="F767" s="19">
        <v>41277.456956018519</v>
      </c>
      <c r="G767"/>
      <c r="H767">
        <v>1</v>
      </c>
      <c r="I767">
        <v>0</v>
      </c>
      <c r="J767"/>
      <c r="K767"/>
      <c r="L767"/>
      <c r="M767" s="1">
        <v>41639</v>
      </c>
      <c r="N767" t="s">
        <v>102</v>
      </c>
      <c r="O767"/>
      <c r="P767"/>
      <c r="Q767"/>
    </row>
    <row r="768" spans="1:17" x14ac:dyDescent="0.3">
      <c r="A768" t="str">
        <f>"14381"</f>
        <v>14381</v>
      </c>
      <c r="B768">
        <v>86570</v>
      </c>
      <c r="C768">
        <v>1</v>
      </c>
      <c r="D768" t="str">
        <f>" "</f>
        <v xml:space="preserve"> </v>
      </c>
      <c r="E768"/>
      <c r="F768" s="19">
        <v>41277.456550925926</v>
      </c>
      <c r="G768"/>
      <c r="H768">
        <v>1</v>
      </c>
      <c r="I768">
        <v>0</v>
      </c>
      <c r="J768"/>
      <c r="K768"/>
      <c r="L768"/>
      <c r="M768" s="1">
        <v>41639</v>
      </c>
      <c r="N768" t="s">
        <v>102</v>
      </c>
      <c r="O768"/>
      <c r="P768"/>
      <c r="Q768"/>
    </row>
    <row r="769" spans="1:17" x14ac:dyDescent="0.3">
      <c r="A769" t="str">
        <f>"14380"</f>
        <v>14380</v>
      </c>
      <c r="B769">
        <v>86683</v>
      </c>
      <c r="C769">
        <v>1</v>
      </c>
      <c r="D769" t="str">
        <f>" "</f>
        <v xml:space="preserve"> </v>
      </c>
      <c r="E769"/>
      <c r="F769" s="19">
        <v>41277.456261574072</v>
      </c>
      <c r="G769"/>
      <c r="H769">
        <v>1</v>
      </c>
      <c r="I769">
        <v>0</v>
      </c>
      <c r="J769"/>
      <c r="K769"/>
      <c r="L769"/>
      <c r="M769" s="1">
        <v>41639</v>
      </c>
      <c r="N769" t="s">
        <v>102</v>
      </c>
      <c r="O769"/>
      <c r="P769"/>
      <c r="Q769"/>
    </row>
    <row r="770" spans="1:17" x14ac:dyDescent="0.3">
      <c r="A770" t="str">
        <f>"14379"</f>
        <v>14379</v>
      </c>
      <c r="B770">
        <v>86796</v>
      </c>
      <c r="C770">
        <v>1</v>
      </c>
      <c r="D770" t="str">
        <f>" "</f>
        <v xml:space="preserve"> </v>
      </c>
      <c r="E770"/>
      <c r="F770" s="19">
        <v>41277.45584490741</v>
      </c>
      <c r="G770"/>
      <c r="H770">
        <v>1</v>
      </c>
      <c r="I770">
        <v>0</v>
      </c>
      <c r="J770"/>
      <c r="K770"/>
      <c r="L770"/>
      <c r="M770" s="1">
        <v>41639</v>
      </c>
      <c r="N770" t="s">
        <v>102</v>
      </c>
      <c r="O770"/>
      <c r="P770"/>
      <c r="Q770"/>
    </row>
    <row r="771" spans="1:17" x14ac:dyDescent="0.3">
      <c r="A771" t="str">
        <f>"14378"</f>
        <v>14378</v>
      </c>
      <c r="B771">
        <v>86909</v>
      </c>
      <c r="C771">
        <v>1</v>
      </c>
      <c r="D771" t="str">
        <f>" "</f>
        <v xml:space="preserve"> </v>
      </c>
      <c r="E771"/>
      <c r="F771" s="19">
        <v>41277.454594907409</v>
      </c>
      <c r="G771"/>
      <c r="H771">
        <v>1</v>
      </c>
      <c r="I771">
        <v>0</v>
      </c>
      <c r="J771"/>
      <c r="K771"/>
      <c r="L771"/>
      <c r="M771" s="1">
        <v>41639</v>
      </c>
      <c r="N771" t="s">
        <v>102</v>
      </c>
      <c r="O771"/>
      <c r="P771"/>
      <c r="Q771"/>
    </row>
    <row r="772" spans="1:17" x14ac:dyDescent="0.3">
      <c r="A772" t="str">
        <f>"14377"</f>
        <v>14377</v>
      </c>
      <c r="B772">
        <v>87022</v>
      </c>
      <c r="C772">
        <v>1</v>
      </c>
      <c r="D772" t="str">
        <f>" "</f>
        <v xml:space="preserve"> </v>
      </c>
      <c r="E772"/>
      <c r="F772" s="19">
        <v>41277.454236111109</v>
      </c>
      <c r="G772"/>
      <c r="H772">
        <v>1</v>
      </c>
      <c r="I772">
        <v>0</v>
      </c>
      <c r="J772"/>
      <c r="K772"/>
      <c r="L772"/>
      <c r="M772" s="1">
        <v>42004</v>
      </c>
      <c r="N772" t="s">
        <v>102</v>
      </c>
      <c r="O772"/>
      <c r="P772"/>
      <c r="Q772"/>
    </row>
    <row r="773" spans="1:17" x14ac:dyDescent="0.3">
      <c r="A773" t="str">
        <f>"14377"</f>
        <v>14377</v>
      </c>
      <c r="B773">
        <v>87135</v>
      </c>
      <c r="C773">
        <v>2</v>
      </c>
      <c r="D773" t="str">
        <f>" "</f>
        <v xml:space="preserve"> </v>
      </c>
      <c r="E773"/>
      <c r="F773" s="19">
        <v>41458.565891203703</v>
      </c>
      <c r="G773"/>
      <c r="H773">
        <v>4</v>
      </c>
      <c r="I773">
        <v>0</v>
      </c>
      <c r="J773"/>
      <c r="K773"/>
      <c r="L773"/>
      <c r="M773" s="1">
        <v>41486</v>
      </c>
      <c r="N773" t="s">
        <v>102</v>
      </c>
      <c r="O773"/>
      <c r="P773"/>
      <c r="Q773"/>
    </row>
    <row r="774" spans="1:17" x14ac:dyDescent="0.3">
      <c r="A774" t="str">
        <f>"14376"</f>
        <v>14376</v>
      </c>
      <c r="B774">
        <v>87248</v>
      </c>
      <c r="C774">
        <v>1</v>
      </c>
      <c r="D774" t="str">
        <f>" "</f>
        <v xml:space="preserve"> </v>
      </c>
      <c r="E774"/>
      <c r="F774" s="19">
        <v>41277.453460648147</v>
      </c>
      <c r="G774"/>
      <c r="H774">
        <v>1</v>
      </c>
      <c r="I774">
        <v>0</v>
      </c>
      <c r="J774"/>
      <c r="K774"/>
      <c r="L774"/>
      <c r="M774" s="1">
        <v>41639</v>
      </c>
      <c r="N774" t="s">
        <v>102</v>
      </c>
      <c r="O774"/>
      <c r="P774"/>
      <c r="Q774"/>
    </row>
    <row r="775" spans="1:17" x14ac:dyDescent="0.3">
      <c r="A775" t="str">
        <f>"14375"</f>
        <v>14375</v>
      </c>
      <c r="B775">
        <v>87361</v>
      </c>
      <c r="C775">
        <v>1</v>
      </c>
      <c r="D775" t="str">
        <f>"SO"</f>
        <v>SO</v>
      </c>
      <c r="E775"/>
      <c r="F775" s="19">
        <v>41277.366053240738</v>
      </c>
      <c r="G775"/>
      <c r="H775">
        <v>1</v>
      </c>
      <c r="I775">
        <v>0</v>
      </c>
      <c r="J775"/>
      <c r="K775"/>
      <c r="L775"/>
      <c r="M775" s="1">
        <v>41639</v>
      </c>
      <c r="N775" t="s">
        <v>102</v>
      </c>
      <c r="O775"/>
      <c r="P775"/>
      <c r="Q775"/>
    </row>
    <row r="776" spans="1:17" x14ac:dyDescent="0.3">
      <c r="A776" t="str">
        <f>"14375"</f>
        <v>14375</v>
      </c>
      <c r="B776">
        <v>87474</v>
      </c>
      <c r="C776">
        <v>2</v>
      </c>
      <c r="D776" t="str">
        <f>"SO"</f>
        <v>SO</v>
      </c>
      <c r="E776"/>
      <c r="F776" s="19">
        <v>41303.384560185186</v>
      </c>
      <c r="G776"/>
      <c r="H776">
        <v>1</v>
      </c>
      <c r="I776">
        <v>0</v>
      </c>
      <c r="J776"/>
      <c r="K776"/>
      <c r="L776"/>
      <c r="M776" s="1">
        <v>41313</v>
      </c>
      <c r="N776" t="s">
        <v>102</v>
      </c>
      <c r="O776"/>
      <c r="P776"/>
      <c r="Q776"/>
    </row>
    <row r="777" spans="1:17" x14ac:dyDescent="0.3">
      <c r="A777" t="str">
        <f>"14158"</f>
        <v>14158</v>
      </c>
      <c r="B777">
        <v>87587</v>
      </c>
      <c r="C777">
        <v>1</v>
      </c>
      <c r="D777" t="str">
        <f>" "</f>
        <v xml:space="preserve"> </v>
      </c>
      <c r="E777"/>
      <c r="F777" s="19">
        <v>41163.44771990741</v>
      </c>
      <c r="G777"/>
      <c r="H777">
        <v>1</v>
      </c>
      <c r="I777">
        <v>0</v>
      </c>
      <c r="J777"/>
      <c r="K777"/>
      <c r="L777"/>
      <c r="M777" s="1">
        <v>41190</v>
      </c>
      <c r="N777" t="s">
        <v>102</v>
      </c>
      <c r="O777"/>
      <c r="P777"/>
      <c r="Q777"/>
    </row>
    <row r="778" spans="1:17" x14ac:dyDescent="0.3">
      <c r="A778" t="str">
        <f>"14098"</f>
        <v>14098</v>
      </c>
      <c r="B778">
        <v>87700</v>
      </c>
      <c r="C778">
        <v>1</v>
      </c>
      <c r="D778" t="str">
        <f>"SO"</f>
        <v>SO</v>
      </c>
      <c r="E778"/>
      <c r="F778" s="19">
        <v>41123.566932870373</v>
      </c>
      <c r="G778"/>
      <c r="H778">
        <v>2</v>
      </c>
      <c r="I778">
        <v>0</v>
      </c>
      <c r="J778"/>
      <c r="K778"/>
      <c r="L778"/>
      <c r="M778" s="1">
        <v>41137</v>
      </c>
      <c r="N778" t="s">
        <v>102</v>
      </c>
      <c r="O778"/>
      <c r="P778"/>
      <c r="Q778"/>
    </row>
    <row r="779" spans="1:17" x14ac:dyDescent="0.3">
      <c r="A779" t="str">
        <f>"13957"</f>
        <v>13957</v>
      </c>
      <c r="B779">
        <v>87813</v>
      </c>
      <c r="C779">
        <v>1</v>
      </c>
      <c r="D779" t="str">
        <f>"SO"</f>
        <v>SO</v>
      </c>
      <c r="E779"/>
      <c r="F779" s="19">
        <v>41053.589375000003</v>
      </c>
      <c r="G779"/>
      <c r="H779">
        <v>1</v>
      </c>
      <c r="I779">
        <v>0</v>
      </c>
      <c r="J779"/>
      <c r="K779"/>
      <c r="L779"/>
      <c r="M779" s="1">
        <v>41067</v>
      </c>
      <c r="N779" t="s">
        <v>102</v>
      </c>
      <c r="O779"/>
      <c r="P779"/>
      <c r="Q779"/>
    </row>
    <row r="780" spans="1:17" x14ac:dyDescent="0.3">
      <c r="A780" t="str">
        <f>"13957"</f>
        <v>13957</v>
      </c>
      <c r="B780">
        <v>87926</v>
      </c>
      <c r="C780">
        <v>2</v>
      </c>
      <c r="D780" t="str">
        <f>"SO"</f>
        <v>SO</v>
      </c>
      <c r="E780"/>
      <c r="F780" s="19">
        <v>41053.589375000003</v>
      </c>
      <c r="G780"/>
      <c r="H780">
        <v>1</v>
      </c>
      <c r="I780">
        <v>0</v>
      </c>
      <c r="J780"/>
      <c r="K780"/>
      <c r="L780"/>
      <c r="M780" s="1">
        <v>41067</v>
      </c>
      <c r="N780" t="s">
        <v>102</v>
      </c>
      <c r="O780"/>
      <c r="P780"/>
      <c r="Q780"/>
    </row>
    <row r="781" spans="1:17" x14ac:dyDescent="0.3">
      <c r="A781" t="str">
        <f>"13898"</f>
        <v>13898</v>
      </c>
      <c r="B781">
        <v>88039</v>
      </c>
      <c r="C781">
        <v>1</v>
      </c>
      <c r="D781" t="str">
        <f>"SO"</f>
        <v>SO</v>
      </c>
      <c r="E781"/>
      <c r="F781" s="19">
        <v>41033.511203703703</v>
      </c>
      <c r="G781"/>
      <c r="H781">
        <v>2</v>
      </c>
      <c r="I781">
        <v>0</v>
      </c>
      <c r="J781"/>
      <c r="K781"/>
      <c r="L781"/>
      <c r="M781" s="1">
        <v>41040</v>
      </c>
      <c r="N781" t="s">
        <v>102</v>
      </c>
      <c r="O781"/>
      <c r="P781"/>
      <c r="Q781"/>
    </row>
    <row r="782" spans="1:17" x14ac:dyDescent="0.3">
      <c r="A782" t="str">
        <f>"13854"</f>
        <v>13854</v>
      </c>
      <c r="B782">
        <v>88152</v>
      </c>
      <c r="C782">
        <v>1</v>
      </c>
      <c r="D782" t="str">
        <f>"AN"</f>
        <v>AN</v>
      </c>
      <c r="E782"/>
      <c r="F782" s="19">
        <v>41016.394224537034</v>
      </c>
      <c r="G782"/>
      <c r="H782">
        <v>1</v>
      </c>
      <c r="I782">
        <v>0</v>
      </c>
      <c r="J782"/>
      <c r="K782"/>
      <c r="L782"/>
      <c r="M782" s="1">
        <v>41022</v>
      </c>
      <c r="N782" t="s">
        <v>102</v>
      </c>
      <c r="O782"/>
      <c r="P782"/>
      <c r="Q782"/>
    </row>
    <row r="783" spans="1:17" x14ac:dyDescent="0.3">
      <c r="A783" t="str">
        <f>"13796"</f>
        <v>13796</v>
      </c>
      <c r="B783">
        <v>88265</v>
      </c>
      <c r="C783">
        <v>1</v>
      </c>
      <c r="D783" t="str">
        <f>"SO"</f>
        <v>SO</v>
      </c>
      <c r="E783"/>
      <c r="F783" s="19">
        <v>40989.461423611108</v>
      </c>
      <c r="G783"/>
      <c r="H783">
        <v>1</v>
      </c>
      <c r="I783">
        <v>0</v>
      </c>
      <c r="J783"/>
      <c r="K783"/>
      <c r="L783"/>
      <c r="M783" s="1">
        <v>41026</v>
      </c>
      <c r="N783" t="s">
        <v>102</v>
      </c>
      <c r="O783"/>
      <c r="P783"/>
      <c r="Q783"/>
    </row>
    <row r="784" spans="1:17" x14ac:dyDescent="0.3">
      <c r="A784" t="str">
        <f>"13774"</f>
        <v>13774</v>
      </c>
      <c r="B784">
        <v>88378</v>
      </c>
      <c r="C784">
        <v>1</v>
      </c>
      <c r="D784" t="str">
        <f>"SO"</f>
        <v>SO</v>
      </c>
      <c r="E784"/>
      <c r="F784" s="19">
        <v>40980.597245370373</v>
      </c>
      <c r="G784"/>
      <c r="H784">
        <v>1</v>
      </c>
      <c r="I784">
        <v>0</v>
      </c>
      <c r="J784"/>
      <c r="K784"/>
      <c r="L784"/>
      <c r="M784" s="1">
        <v>40991</v>
      </c>
      <c r="N784" t="s">
        <v>102</v>
      </c>
      <c r="O784"/>
      <c r="P784"/>
      <c r="Q784"/>
    </row>
    <row r="785" spans="1:17" x14ac:dyDescent="0.3">
      <c r="A785" t="str">
        <f>"13721"</f>
        <v>13721</v>
      </c>
      <c r="B785">
        <v>88491</v>
      </c>
      <c r="C785">
        <v>1</v>
      </c>
      <c r="D785" t="str">
        <f>"SO"</f>
        <v>SO</v>
      </c>
      <c r="E785"/>
      <c r="F785" s="19">
        <v>40962.629444444443</v>
      </c>
      <c r="G785"/>
      <c r="H785">
        <v>1</v>
      </c>
      <c r="I785">
        <v>0</v>
      </c>
      <c r="J785"/>
      <c r="K785"/>
      <c r="L785"/>
      <c r="M785" s="1">
        <v>41274</v>
      </c>
      <c r="N785" t="s">
        <v>102</v>
      </c>
      <c r="O785"/>
      <c r="P785"/>
      <c r="Q785"/>
    </row>
    <row r="786" spans="1:17" x14ac:dyDescent="0.3">
      <c r="A786" t="str">
        <f>"13696"</f>
        <v>13696</v>
      </c>
      <c r="B786">
        <v>88604</v>
      </c>
      <c r="C786">
        <v>1</v>
      </c>
      <c r="D786" t="str">
        <f>"SO"</f>
        <v>SO</v>
      </c>
      <c r="E786"/>
      <c r="F786" s="19">
        <v>40952.49255787037</v>
      </c>
      <c r="G786"/>
      <c r="H786">
        <v>8</v>
      </c>
      <c r="I786">
        <v>0</v>
      </c>
      <c r="J786"/>
      <c r="K786"/>
      <c r="L786"/>
      <c r="M786" s="1">
        <v>40959</v>
      </c>
      <c r="N786" t="s">
        <v>102</v>
      </c>
      <c r="O786"/>
      <c r="P786"/>
      <c r="Q786"/>
    </row>
    <row r="787" spans="1:17" x14ac:dyDescent="0.3">
      <c r="A787" t="str">
        <f>"13690"</f>
        <v>13690</v>
      </c>
      <c r="B787">
        <v>88717</v>
      </c>
      <c r="C787">
        <v>1</v>
      </c>
      <c r="D787" t="str">
        <f>"SO"</f>
        <v>SO</v>
      </c>
      <c r="E787"/>
      <c r="F787" s="19">
        <v>40946.651006944441</v>
      </c>
      <c r="G787"/>
      <c r="H787">
        <v>1</v>
      </c>
      <c r="I787">
        <v>0</v>
      </c>
      <c r="J787"/>
      <c r="K787"/>
      <c r="L787"/>
      <c r="M787" s="1">
        <v>41274</v>
      </c>
      <c r="N787" t="s">
        <v>102</v>
      </c>
      <c r="O787"/>
      <c r="P787"/>
      <c r="Q787"/>
    </row>
    <row r="788" spans="1:17" x14ac:dyDescent="0.3">
      <c r="A788" t="str">
        <f>"13675"</f>
        <v>13675</v>
      </c>
      <c r="B788">
        <v>88830</v>
      </c>
      <c r="C788">
        <v>5</v>
      </c>
      <c r="D788" t="str">
        <f>"SO"</f>
        <v>SO</v>
      </c>
      <c r="E788"/>
      <c r="F788" s="19">
        <v>40941.626319444447</v>
      </c>
      <c r="G788"/>
      <c r="H788">
        <v>8</v>
      </c>
      <c r="I788">
        <v>0</v>
      </c>
      <c r="J788"/>
      <c r="K788"/>
      <c r="L788"/>
      <c r="M788" s="1">
        <v>40982</v>
      </c>
      <c r="N788" t="s">
        <v>102</v>
      </c>
      <c r="O788"/>
      <c r="P788"/>
      <c r="Q788"/>
    </row>
    <row r="789" spans="1:17" x14ac:dyDescent="0.3">
      <c r="A789" t="str">
        <f>"13674"</f>
        <v>13674</v>
      </c>
      <c r="B789">
        <v>88943</v>
      </c>
      <c r="C789">
        <v>2</v>
      </c>
      <c r="D789" t="str">
        <f>"SO"</f>
        <v>SO</v>
      </c>
      <c r="E789"/>
      <c r="F789" s="19">
        <v>40941.48574074074</v>
      </c>
      <c r="G789"/>
      <c r="H789">
        <v>3</v>
      </c>
      <c r="I789">
        <v>0</v>
      </c>
      <c r="J789"/>
      <c r="K789"/>
      <c r="L789"/>
      <c r="M789" s="1">
        <v>40975</v>
      </c>
      <c r="N789" t="s">
        <v>102</v>
      </c>
      <c r="O789"/>
      <c r="P789"/>
      <c r="Q789"/>
    </row>
    <row r="790" spans="1:17" x14ac:dyDescent="0.3">
      <c r="A790" t="str">
        <f>"13671"</f>
        <v>13671</v>
      </c>
      <c r="B790">
        <v>89056</v>
      </c>
      <c r="C790">
        <v>1</v>
      </c>
      <c r="D790" t="str">
        <f>"SO"</f>
        <v>SO</v>
      </c>
      <c r="E790"/>
      <c r="F790" s="19">
        <v>40941.354513888888</v>
      </c>
      <c r="G790"/>
      <c r="H790">
        <v>1</v>
      </c>
      <c r="I790">
        <v>0</v>
      </c>
      <c r="J790"/>
      <c r="K790"/>
      <c r="L790"/>
      <c r="M790" s="1">
        <v>40947</v>
      </c>
      <c r="N790" t="s">
        <v>102</v>
      </c>
      <c r="O790"/>
      <c r="P790"/>
      <c r="Q790"/>
    </row>
    <row r="791" spans="1:17" x14ac:dyDescent="0.3">
      <c r="A791" t="str">
        <f>"13671"</f>
        <v>13671</v>
      </c>
      <c r="B791">
        <v>89169</v>
      </c>
      <c r="C791">
        <v>2</v>
      </c>
      <c r="D791" t="str">
        <f>"SO"</f>
        <v>SO</v>
      </c>
      <c r="E791"/>
      <c r="F791" s="19">
        <v>40941.354513888888</v>
      </c>
      <c r="G791"/>
      <c r="H791">
        <v>1</v>
      </c>
      <c r="I791">
        <v>0</v>
      </c>
      <c r="J791"/>
      <c r="K791"/>
      <c r="L791"/>
      <c r="M791" s="1">
        <v>40947</v>
      </c>
      <c r="N791" t="s">
        <v>102</v>
      </c>
      <c r="O791"/>
      <c r="P791"/>
      <c r="Q791"/>
    </row>
    <row r="792" spans="1:17" x14ac:dyDescent="0.3">
      <c r="A792" t="str">
        <f>"13604"</f>
        <v>13604</v>
      </c>
      <c r="B792">
        <v>89282</v>
      </c>
      <c r="C792">
        <v>1</v>
      </c>
      <c r="D792" t="str">
        <f>"SO"</f>
        <v>SO</v>
      </c>
      <c r="E792"/>
      <c r="F792" s="19">
        <v>40911.655393518522</v>
      </c>
      <c r="G792"/>
      <c r="H792">
        <v>1</v>
      </c>
      <c r="I792">
        <v>0</v>
      </c>
      <c r="J792"/>
      <c r="K792"/>
      <c r="L792"/>
      <c r="M792" s="1">
        <v>41274</v>
      </c>
      <c r="N792" t="s">
        <v>102</v>
      </c>
      <c r="O792"/>
      <c r="P792"/>
      <c r="Q792"/>
    </row>
    <row r="793" spans="1:17" x14ac:dyDescent="0.3">
      <c r="A793" t="str">
        <f>"13601"</f>
        <v>13601</v>
      </c>
      <c r="B793">
        <v>89395</v>
      </c>
      <c r="C793">
        <v>1</v>
      </c>
      <c r="D793" t="str">
        <f>"SO"</f>
        <v>SO</v>
      </c>
      <c r="E793"/>
      <c r="F793" s="19">
        <v>40910.672476851854</v>
      </c>
      <c r="G793"/>
      <c r="H793">
        <v>1</v>
      </c>
      <c r="I793">
        <v>0</v>
      </c>
      <c r="J793"/>
      <c r="K793"/>
      <c r="L793"/>
      <c r="M793" s="1">
        <v>41274</v>
      </c>
      <c r="N793" t="s">
        <v>102</v>
      </c>
      <c r="O793"/>
      <c r="P793"/>
      <c r="Q793"/>
    </row>
    <row r="794" spans="1:17" x14ac:dyDescent="0.3">
      <c r="A794" t="str">
        <f>"13600"</f>
        <v>13600</v>
      </c>
      <c r="B794">
        <v>89508</v>
      </c>
      <c r="C794">
        <v>1</v>
      </c>
      <c r="D794" t="str">
        <f>"SO"</f>
        <v>SO</v>
      </c>
      <c r="E794"/>
      <c r="F794" s="19">
        <v>40910.671909722223</v>
      </c>
      <c r="G794"/>
      <c r="H794">
        <v>1</v>
      </c>
      <c r="I794">
        <v>0</v>
      </c>
      <c r="J794"/>
      <c r="K794"/>
      <c r="L794"/>
      <c r="M794" s="1">
        <v>41274</v>
      </c>
      <c r="N794" t="s">
        <v>102</v>
      </c>
      <c r="O794"/>
      <c r="P794"/>
      <c r="Q794"/>
    </row>
    <row r="795" spans="1:17" x14ac:dyDescent="0.3">
      <c r="A795" t="str">
        <f>"13599"</f>
        <v>13599</v>
      </c>
      <c r="B795">
        <v>89621</v>
      </c>
      <c r="C795">
        <v>1</v>
      </c>
      <c r="D795" t="str">
        <f>"SO"</f>
        <v>SO</v>
      </c>
      <c r="E795"/>
      <c r="F795" s="19">
        <v>40910.671423611115</v>
      </c>
      <c r="G795"/>
      <c r="H795">
        <v>1</v>
      </c>
      <c r="I795">
        <v>0</v>
      </c>
      <c r="J795"/>
      <c r="K795"/>
      <c r="L795"/>
      <c r="M795" s="1">
        <v>41274</v>
      </c>
      <c r="N795" t="s">
        <v>102</v>
      </c>
      <c r="O795"/>
      <c r="P795"/>
      <c r="Q795"/>
    </row>
    <row r="796" spans="1:17" x14ac:dyDescent="0.3">
      <c r="A796" t="str">
        <f>"13598"</f>
        <v>13598</v>
      </c>
      <c r="B796">
        <v>89734</v>
      </c>
      <c r="C796">
        <v>1</v>
      </c>
      <c r="D796" t="str">
        <f>"SO"</f>
        <v>SO</v>
      </c>
      <c r="E796"/>
      <c r="F796" s="19">
        <v>40910.67087962963</v>
      </c>
      <c r="G796"/>
      <c r="H796">
        <v>1</v>
      </c>
      <c r="I796">
        <v>0</v>
      </c>
      <c r="J796"/>
      <c r="K796"/>
      <c r="L796"/>
      <c r="M796" s="1">
        <v>41274</v>
      </c>
      <c r="N796" t="s">
        <v>102</v>
      </c>
      <c r="O796"/>
      <c r="P796"/>
      <c r="Q796"/>
    </row>
    <row r="797" spans="1:17" x14ac:dyDescent="0.3">
      <c r="A797" t="str">
        <f>"13597"</f>
        <v>13597</v>
      </c>
      <c r="B797">
        <v>89847</v>
      </c>
      <c r="C797">
        <v>1</v>
      </c>
      <c r="D797" t="str">
        <f>"SO"</f>
        <v>SO</v>
      </c>
      <c r="E797"/>
      <c r="F797" s="19">
        <v>40910.670300925929</v>
      </c>
      <c r="G797"/>
      <c r="H797">
        <v>1</v>
      </c>
      <c r="I797">
        <v>0</v>
      </c>
      <c r="J797"/>
      <c r="K797"/>
      <c r="L797"/>
      <c r="M797" s="1">
        <v>41274</v>
      </c>
      <c r="N797" t="s">
        <v>102</v>
      </c>
      <c r="O797"/>
      <c r="P797"/>
      <c r="Q797"/>
    </row>
    <row r="798" spans="1:17" x14ac:dyDescent="0.3">
      <c r="A798" t="str">
        <f>"13596"</f>
        <v>13596</v>
      </c>
      <c r="B798">
        <v>89960</v>
      </c>
      <c r="C798">
        <v>1</v>
      </c>
      <c r="D798" t="str">
        <f>"SO"</f>
        <v>SO</v>
      </c>
      <c r="E798"/>
      <c r="F798" s="19">
        <v>40910.669710648152</v>
      </c>
      <c r="G798"/>
      <c r="H798">
        <v>1</v>
      </c>
      <c r="I798">
        <v>0</v>
      </c>
      <c r="J798"/>
      <c r="K798"/>
      <c r="L798"/>
      <c r="M798" s="1">
        <v>41274</v>
      </c>
      <c r="N798" t="s">
        <v>102</v>
      </c>
      <c r="O798"/>
      <c r="P798"/>
      <c r="Q798"/>
    </row>
    <row r="799" spans="1:17" x14ac:dyDescent="0.3">
      <c r="A799" t="str">
        <f>"13595"</f>
        <v>13595</v>
      </c>
      <c r="B799">
        <v>90073</v>
      </c>
      <c r="C799">
        <v>1</v>
      </c>
      <c r="D799" t="str">
        <f>"SO"</f>
        <v>SO</v>
      </c>
      <c r="E799"/>
      <c r="F799" s="19">
        <v>40910.668912037036</v>
      </c>
      <c r="G799"/>
      <c r="H799">
        <v>1</v>
      </c>
      <c r="I799">
        <v>0</v>
      </c>
      <c r="J799"/>
      <c r="K799"/>
      <c r="L799"/>
      <c r="M799" s="1">
        <v>41274</v>
      </c>
      <c r="N799" t="s">
        <v>102</v>
      </c>
      <c r="O799"/>
      <c r="P799"/>
      <c r="Q799"/>
    </row>
    <row r="800" spans="1:17" x14ac:dyDescent="0.3">
      <c r="A800" t="str">
        <f>"13594"</f>
        <v>13594</v>
      </c>
      <c r="B800">
        <v>90186</v>
      </c>
      <c r="C800">
        <v>1</v>
      </c>
      <c r="D800" t="str">
        <f>"SO"</f>
        <v>SO</v>
      </c>
      <c r="E800"/>
      <c r="F800" s="19">
        <v>40910.668275462966</v>
      </c>
      <c r="G800"/>
      <c r="H800">
        <v>1</v>
      </c>
      <c r="I800">
        <v>0</v>
      </c>
      <c r="J800"/>
      <c r="K800"/>
      <c r="L800"/>
      <c r="M800" s="1">
        <v>41274</v>
      </c>
      <c r="N800" t="s">
        <v>102</v>
      </c>
      <c r="O800"/>
      <c r="P800"/>
      <c r="Q800"/>
    </row>
    <row r="801" spans="1:17" x14ac:dyDescent="0.3">
      <c r="A801" t="str">
        <f>"13593"</f>
        <v>13593</v>
      </c>
      <c r="B801">
        <v>90299</v>
      </c>
      <c r="C801">
        <v>1</v>
      </c>
      <c r="D801" t="str">
        <f>"SO"</f>
        <v>SO</v>
      </c>
      <c r="E801"/>
      <c r="F801" s="19">
        <v>40910.667210648149</v>
      </c>
      <c r="G801"/>
      <c r="H801">
        <v>1</v>
      </c>
      <c r="I801">
        <v>0</v>
      </c>
      <c r="J801"/>
      <c r="K801"/>
      <c r="L801"/>
      <c r="M801" s="1">
        <v>41274</v>
      </c>
      <c r="N801" t="s">
        <v>102</v>
      </c>
      <c r="O801"/>
      <c r="P801"/>
      <c r="Q801"/>
    </row>
    <row r="802" spans="1:17" x14ac:dyDescent="0.3">
      <c r="A802" t="str">
        <f>"13592"</f>
        <v>13592</v>
      </c>
      <c r="B802">
        <v>90412</v>
      </c>
      <c r="C802">
        <v>1</v>
      </c>
      <c r="D802" t="str">
        <f>"SO"</f>
        <v>SO</v>
      </c>
      <c r="E802"/>
      <c r="F802" s="19">
        <v>40910.666608796295</v>
      </c>
      <c r="G802"/>
      <c r="H802">
        <v>1</v>
      </c>
      <c r="I802">
        <v>0</v>
      </c>
      <c r="J802"/>
      <c r="K802"/>
      <c r="L802"/>
      <c r="M802" s="1">
        <v>41274</v>
      </c>
      <c r="N802" t="s">
        <v>102</v>
      </c>
      <c r="O802"/>
      <c r="P802"/>
      <c r="Q802"/>
    </row>
    <row r="803" spans="1:17" x14ac:dyDescent="0.3">
      <c r="A803" t="str">
        <f>"13591"</f>
        <v>13591</v>
      </c>
      <c r="B803">
        <v>90525</v>
      </c>
      <c r="C803">
        <v>1</v>
      </c>
      <c r="D803" t="str">
        <f>"SO"</f>
        <v>SO</v>
      </c>
      <c r="E803"/>
      <c r="F803" s="19">
        <v>40910.665937500002</v>
      </c>
      <c r="G803"/>
      <c r="H803">
        <v>1</v>
      </c>
      <c r="I803">
        <v>0</v>
      </c>
      <c r="J803"/>
      <c r="K803"/>
      <c r="L803"/>
      <c r="M803" s="1">
        <v>41274</v>
      </c>
      <c r="N803" t="s">
        <v>102</v>
      </c>
      <c r="O803"/>
      <c r="P803"/>
      <c r="Q803"/>
    </row>
    <row r="804" spans="1:17" x14ac:dyDescent="0.3">
      <c r="A804" t="str">
        <f>"13590"</f>
        <v>13590</v>
      </c>
      <c r="B804">
        <v>90638</v>
      </c>
      <c r="C804">
        <v>1</v>
      </c>
      <c r="D804" t="str">
        <f>"SO"</f>
        <v>SO</v>
      </c>
      <c r="E804"/>
      <c r="F804" s="19">
        <v>40910.664618055554</v>
      </c>
      <c r="G804"/>
      <c r="H804">
        <v>1</v>
      </c>
      <c r="I804">
        <v>0</v>
      </c>
      <c r="J804"/>
      <c r="K804"/>
      <c r="L804"/>
      <c r="M804" s="1">
        <v>41274</v>
      </c>
      <c r="N804" t="s">
        <v>102</v>
      </c>
      <c r="O804"/>
      <c r="P804"/>
      <c r="Q804"/>
    </row>
    <row r="805" spans="1:17" x14ac:dyDescent="0.3">
      <c r="A805" t="str">
        <f>"13589"</f>
        <v>13589</v>
      </c>
      <c r="B805">
        <v>90751</v>
      </c>
      <c r="C805">
        <v>1</v>
      </c>
      <c r="D805" t="str">
        <f>"SO"</f>
        <v>SO</v>
      </c>
      <c r="E805"/>
      <c r="F805" s="19">
        <v>40910.663715277777</v>
      </c>
      <c r="G805"/>
      <c r="H805">
        <v>1</v>
      </c>
      <c r="I805">
        <v>0</v>
      </c>
      <c r="J805"/>
      <c r="K805"/>
      <c r="L805"/>
      <c r="M805" s="1">
        <v>41274</v>
      </c>
      <c r="N805" t="s">
        <v>102</v>
      </c>
      <c r="O805"/>
      <c r="P805"/>
      <c r="Q805"/>
    </row>
    <row r="806" spans="1:17" x14ac:dyDescent="0.3">
      <c r="A806" t="str">
        <f>"13588"</f>
        <v>13588</v>
      </c>
      <c r="B806">
        <v>90864</v>
      </c>
      <c r="C806">
        <v>1</v>
      </c>
      <c r="D806" t="str">
        <f>"SO"</f>
        <v>SO</v>
      </c>
      <c r="E806"/>
      <c r="F806" s="19">
        <v>40910.663206018522</v>
      </c>
      <c r="G806"/>
      <c r="H806">
        <v>1</v>
      </c>
      <c r="I806">
        <v>0</v>
      </c>
      <c r="J806"/>
      <c r="K806"/>
      <c r="L806"/>
      <c r="M806" s="1">
        <v>41274</v>
      </c>
      <c r="N806" t="s">
        <v>102</v>
      </c>
      <c r="O806"/>
      <c r="P806"/>
      <c r="Q806"/>
    </row>
    <row r="807" spans="1:17" x14ac:dyDescent="0.3">
      <c r="A807" t="str">
        <f>"13587"</f>
        <v>13587</v>
      </c>
      <c r="B807">
        <v>90977</v>
      </c>
      <c r="C807">
        <v>1</v>
      </c>
      <c r="D807" t="str">
        <f>"SO"</f>
        <v>SO</v>
      </c>
      <c r="E807"/>
      <c r="F807" s="19">
        <v>40910.662523148145</v>
      </c>
      <c r="G807"/>
      <c r="H807">
        <v>1</v>
      </c>
      <c r="I807">
        <v>0</v>
      </c>
      <c r="J807"/>
      <c r="K807"/>
      <c r="L807"/>
      <c r="M807" s="1">
        <v>41274</v>
      </c>
      <c r="N807" t="s">
        <v>102</v>
      </c>
      <c r="O807"/>
      <c r="P807"/>
      <c r="Q807"/>
    </row>
    <row r="808" spans="1:17" x14ac:dyDescent="0.3">
      <c r="A808" t="str">
        <f>"13586"</f>
        <v>13586</v>
      </c>
      <c r="B808">
        <v>91090</v>
      </c>
      <c r="C808">
        <v>1</v>
      </c>
      <c r="D808" t="str">
        <f>"SO"</f>
        <v>SO</v>
      </c>
      <c r="E808"/>
      <c r="F808" s="19">
        <v>40910.660671296297</v>
      </c>
      <c r="G808"/>
      <c r="H808">
        <v>1</v>
      </c>
      <c r="I808">
        <v>0</v>
      </c>
      <c r="J808"/>
      <c r="K808"/>
      <c r="L808"/>
      <c r="M808" s="1">
        <v>41264</v>
      </c>
      <c r="N808" t="s">
        <v>102</v>
      </c>
      <c r="O808"/>
      <c r="P808"/>
      <c r="Q808"/>
    </row>
    <row r="809" spans="1:17" x14ac:dyDescent="0.3">
      <c r="A809" t="str">
        <f>"13585"</f>
        <v>13585</v>
      </c>
      <c r="B809">
        <v>91203</v>
      </c>
      <c r="C809">
        <v>1</v>
      </c>
      <c r="D809" t="str">
        <f>"SO"</f>
        <v>SO</v>
      </c>
      <c r="E809"/>
      <c r="F809" s="19">
        <v>40910.659988425927</v>
      </c>
      <c r="G809"/>
      <c r="H809">
        <v>1</v>
      </c>
      <c r="I809">
        <v>0</v>
      </c>
      <c r="J809"/>
      <c r="K809"/>
      <c r="L809"/>
      <c r="M809" s="1">
        <v>41274</v>
      </c>
      <c r="N809" t="s">
        <v>102</v>
      </c>
      <c r="O809"/>
      <c r="P809"/>
      <c r="Q809"/>
    </row>
    <row r="810" spans="1:17" x14ac:dyDescent="0.3">
      <c r="A810" t="str">
        <f>"13584"</f>
        <v>13584</v>
      </c>
      <c r="B810">
        <v>91316</v>
      </c>
      <c r="C810">
        <v>1</v>
      </c>
      <c r="D810" t="str">
        <f>"SO"</f>
        <v>SO</v>
      </c>
      <c r="E810"/>
      <c r="F810" s="19">
        <v>40910.658715277779</v>
      </c>
      <c r="G810"/>
      <c r="H810">
        <v>1</v>
      </c>
      <c r="I810">
        <v>0</v>
      </c>
      <c r="J810"/>
      <c r="K810"/>
      <c r="L810"/>
      <c r="M810" s="1">
        <v>41274</v>
      </c>
      <c r="N810" t="s">
        <v>102</v>
      </c>
      <c r="O810"/>
      <c r="P810"/>
      <c r="Q810"/>
    </row>
    <row r="811" spans="1:17" x14ac:dyDescent="0.3">
      <c r="A811" t="str">
        <f>"13583"</f>
        <v>13583</v>
      </c>
      <c r="B811">
        <v>91429</v>
      </c>
      <c r="C811">
        <v>1</v>
      </c>
      <c r="D811" t="str">
        <f>"SO"</f>
        <v>SO</v>
      </c>
      <c r="E811"/>
      <c r="F811" s="19">
        <v>40910.658125000002</v>
      </c>
      <c r="G811"/>
      <c r="H811">
        <v>1</v>
      </c>
      <c r="I811">
        <v>0</v>
      </c>
      <c r="J811"/>
      <c r="K811"/>
      <c r="L811"/>
      <c r="M811" s="1">
        <v>41274</v>
      </c>
      <c r="N811" t="s">
        <v>102</v>
      </c>
      <c r="O811"/>
      <c r="P811"/>
      <c r="Q811"/>
    </row>
    <row r="812" spans="1:17" x14ac:dyDescent="0.3">
      <c r="A812" t="str">
        <f>"13582"</f>
        <v>13582</v>
      </c>
      <c r="B812">
        <v>91542</v>
      </c>
      <c r="C812">
        <v>1</v>
      </c>
      <c r="D812" t="str">
        <f>"SO"</f>
        <v>SO</v>
      </c>
      <c r="E812"/>
      <c r="F812" s="19">
        <v>40910.657465277778</v>
      </c>
      <c r="G812"/>
      <c r="H812">
        <v>1</v>
      </c>
      <c r="I812">
        <v>0</v>
      </c>
      <c r="J812"/>
      <c r="K812"/>
      <c r="L812"/>
      <c r="M812" s="1">
        <v>41274</v>
      </c>
      <c r="N812" t="s">
        <v>102</v>
      </c>
      <c r="O812"/>
      <c r="P812"/>
      <c r="Q812"/>
    </row>
    <row r="813" spans="1:17" x14ac:dyDescent="0.3">
      <c r="A813" t="str">
        <f>"13581"</f>
        <v>13581</v>
      </c>
      <c r="B813">
        <v>91655</v>
      </c>
      <c r="C813">
        <v>1</v>
      </c>
      <c r="D813" t="str">
        <f>"SO"</f>
        <v>SO</v>
      </c>
      <c r="E813"/>
      <c r="F813" s="19">
        <v>40910.656898148147</v>
      </c>
      <c r="G813"/>
      <c r="H813">
        <v>1</v>
      </c>
      <c r="I813">
        <v>0</v>
      </c>
      <c r="J813"/>
      <c r="K813"/>
      <c r="L813"/>
      <c r="M813" s="1">
        <v>41274</v>
      </c>
      <c r="N813" t="s">
        <v>102</v>
      </c>
      <c r="O813"/>
      <c r="P813"/>
      <c r="Q813"/>
    </row>
    <row r="814" spans="1:17" x14ac:dyDescent="0.3">
      <c r="A814" t="str">
        <f>"13580"</f>
        <v>13580</v>
      </c>
      <c r="B814">
        <v>91768</v>
      </c>
      <c r="C814">
        <v>1</v>
      </c>
      <c r="D814" t="str">
        <f>"SO"</f>
        <v>SO</v>
      </c>
      <c r="E814"/>
      <c r="F814" s="19">
        <v>40910.656122685185</v>
      </c>
      <c r="G814"/>
      <c r="H814">
        <v>1</v>
      </c>
      <c r="I814">
        <v>0</v>
      </c>
      <c r="J814"/>
      <c r="K814"/>
      <c r="L814"/>
      <c r="M814" s="1">
        <v>41274</v>
      </c>
      <c r="N814" t="s">
        <v>102</v>
      </c>
      <c r="O814"/>
      <c r="P814"/>
      <c r="Q814"/>
    </row>
    <row r="815" spans="1:17" x14ac:dyDescent="0.3">
      <c r="A815" t="str">
        <f>"13579"</f>
        <v>13579</v>
      </c>
      <c r="B815">
        <v>91881</v>
      </c>
      <c r="C815">
        <v>1</v>
      </c>
      <c r="D815" t="str">
        <f>"SO"</f>
        <v>SO</v>
      </c>
      <c r="E815"/>
      <c r="F815" s="19">
        <v>40910.655532407407</v>
      </c>
      <c r="G815"/>
      <c r="H815">
        <v>1</v>
      </c>
      <c r="I815">
        <v>0</v>
      </c>
      <c r="J815"/>
      <c r="K815"/>
      <c r="L815"/>
      <c r="M815" s="1">
        <v>41274</v>
      </c>
      <c r="N815" t="s">
        <v>102</v>
      </c>
      <c r="O815"/>
      <c r="P815"/>
      <c r="Q815"/>
    </row>
    <row r="816" spans="1:17" x14ac:dyDescent="0.3">
      <c r="A816" t="str">
        <f>"13578"</f>
        <v>13578</v>
      </c>
      <c r="B816">
        <v>91994</v>
      </c>
      <c r="C816">
        <v>1</v>
      </c>
      <c r="D816" t="str">
        <f>"SO"</f>
        <v>SO</v>
      </c>
      <c r="E816"/>
      <c r="F816" s="19">
        <v>40910.654548611114</v>
      </c>
      <c r="G816"/>
      <c r="H816">
        <v>1</v>
      </c>
      <c r="I816">
        <v>0</v>
      </c>
      <c r="J816"/>
      <c r="K816"/>
      <c r="L816"/>
      <c r="M816" s="1">
        <v>41274</v>
      </c>
      <c r="N816" t="s">
        <v>102</v>
      </c>
      <c r="O816"/>
      <c r="P816"/>
      <c r="Q816"/>
    </row>
    <row r="817" spans="1:17" x14ac:dyDescent="0.3">
      <c r="A817" t="str">
        <f>"13577"</f>
        <v>13577</v>
      </c>
      <c r="B817">
        <v>92107</v>
      </c>
      <c r="C817">
        <v>1</v>
      </c>
      <c r="D817" t="str">
        <f>"SO"</f>
        <v>SO</v>
      </c>
      <c r="E817"/>
      <c r="F817" s="19">
        <v>40910.652569444443</v>
      </c>
      <c r="G817"/>
      <c r="H817">
        <v>1</v>
      </c>
      <c r="I817">
        <v>0</v>
      </c>
      <c r="J817"/>
      <c r="K817"/>
      <c r="L817"/>
      <c r="M817" s="1">
        <v>40907</v>
      </c>
      <c r="N817" t="s">
        <v>102</v>
      </c>
      <c r="O817"/>
      <c r="P817"/>
      <c r="Q817"/>
    </row>
    <row r="818" spans="1:17" x14ac:dyDescent="0.3">
      <c r="A818" t="str">
        <f>"13576"</f>
        <v>13576</v>
      </c>
      <c r="B818">
        <v>92220</v>
      </c>
      <c r="C818">
        <v>1</v>
      </c>
      <c r="D818" t="str">
        <f>"SO"</f>
        <v>SO</v>
      </c>
      <c r="E818"/>
      <c r="F818" s="19">
        <v>40910.651724537034</v>
      </c>
      <c r="G818"/>
      <c r="H818">
        <v>1</v>
      </c>
      <c r="I818">
        <v>0</v>
      </c>
      <c r="J818"/>
      <c r="K818"/>
      <c r="L818"/>
      <c r="M818" s="1">
        <v>41274</v>
      </c>
      <c r="N818" t="s">
        <v>102</v>
      </c>
      <c r="O818"/>
      <c r="P818"/>
      <c r="Q818"/>
    </row>
    <row r="819" spans="1:17" x14ac:dyDescent="0.3">
      <c r="A819" t="str">
        <f>"13575"</f>
        <v>13575</v>
      </c>
      <c r="B819">
        <v>92333</v>
      </c>
      <c r="C819">
        <v>1</v>
      </c>
      <c r="D819" t="str">
        <f>"SO"</f>
        <v>SO</v>
      </c>
      <c r="E819"/>
      <c r="F819" s="19">
        <v>40910.650462962964</v>
      </c>
      <c r="G819"/>
      <c r="H819">
        <v>1</v>
      </c>
      <c r="I819">
        <v>0</v>
      </c>
      <c r="J819"/>
      <c r="K819"/>
      <c r="L819"/>
      <c r="M819" s="1">
        <v>41274</v>
      </c>
      <c r="N819" t="s">
        <v>102</v>
      </c>
      <c r="O819"/>
      <c r="P819"/>
      <c r="Q819"/>
    </row>
    <row r="820" spans="1:17" x14ac:dyDescent="0.3">
      <c r="A820" t="str">
        <f>"13574"</f>
        <v>13574</v>
      </c>
      <c r="B820">
        <v>92446</v>
      </c>
      <c r="C820">
        <v>1</v>
      </c>
      <c r="D820" t="str">
        <f>"SO"</f>
        <v>SO</v>
      </c>
      <c r="E820"/>
      <c r="F820" s="19">
        <v>40910.649965277778</v>
      </c>
      <c r="G820"/>
      <c r="H820">
        <v>1</v>
      </c>
      <c r="I820">
        <v>0</v>
      </c>
      <c r="J820"/>
      <c r="K820"/>
      <c r="L820"/>
      <c r="M820" s="1">
        <v>41274</v>
      </c>
      <c r="N820" t="s">
        <v>102</v>
      </c>
      <c r="O820"/>
      <c r="P820"/>
      <c r="Q820"/>
    </row>
    <row r="821" spans="1:17" x14ac:dyDescent="0.3">
      <c r="A821" t="str">
        <f>"13573"</f>
        <v>13573</v>
      </c>
      <c r="B821">
        <v>92559</v>
      </c>
      <c r="C821">
        <v>1</v>
      </c>
      <c r="D821" t="str">
        <f>"SO"</f>
        <v>SO</v>
      </c>
      <c r="E821"/>
      <c r="F821" s="19">
        <v>40910.649363425924</v>
      </c>
      <c r="G821"/>
      <c r="H821">
        <v>1</v>
      </c>
      <c r="I821">
        <v>0</v>
      </c>
      <c r="J821"/>
      <c r="K821"/>
      <c r="L821"/>
      <c r="M821" s="1">
        <v>41274</v>
      </c>
      <c r="N821" t="s">
        <v>102</v>
      </c>
      <c r="O821"/>
      <c r="P821"/>
      <c r="Q821"/>
    </row>
    <row r="822" spans="1:17" x14ac:dyDescent="0.3">
      <c r="A822" t="str">
        <f>"13572"</f>
        <v>13572</v>
      </c>
      <c r="B822">
        <v>92672</v>
      </c>
      <c r="C822">
        <v>1</v>
      </c>
      <c r="D822" t="str">
        <f>"SO"</f>
        <v>SO</v>
      </c>
      <c r="E822"/>
      <c r="F822" s="19">
        <v>40910.648136574076</v>
      </c>
      <c r="G822"/>
      <c r="H822">
        <v>1</v>
      </c>
      <c r="I822">
        <v>0</v>
      </c>
      <c r="J822"/>
      <c r="K822"/>
      <c r="L822"/>
      <c r="M822" s="1">
        <v>41274</v>
      </c>
      <c r="N822" t="s">
        <v>102</v>
      </c>
      <c r="O822"/>
      <c r="P822"/>
      <c r="Q822"/>
    </row>
    <row r="823" spans="1:17" x14ac:dyDescent="0.3">
      <c r="A823" t="str">
        <f>"13571"</f>
        <v>13571</v>
      </c>
      <c r="B823">
        <v>92785</v>
      </c>
      <c r="C823">
        <v>1</v>
      </c>
      <c r="D823" t="str">
        <f>"SO"</f>
        <v>SO</v>
      </c>
      <c r="E823"/>
      <c r="F823" s="19">
        <v>40910.647581018522</v>
      </c>
      <c r="G823"/>
      <c r="H823">
        <v>1</v>
      </c>
      <c r="I823">
        <v>0</v>
      </c>
      <c r="J823"/>
      <c r="K823"/>
      <c r="L823"/>
      <c r="M823" s="1">
        <v>41274</v>
      </c>
      <c r="N823" t="s">
        <v>102</v>
      </c>
      <c r="O823"/>
      <c r="P823"/>
      <c r="Q823"/>
    </row>
    <row r="824" spans="1:17" x14ac:dyDescent="0.3">
      <c r="A824" t="str">
        <f>"13570"</f>
        <v>13570</v>
      </c>
      <c r="B824">
        <v>92898</v>
      </c>
      <c r="C824">
        <v>1</v>
      </c>
      <c r="D824" t="str">
        <f>"SO"</f>
        <v>SO</v>
      </c>
      <c r="E824"/>
      <c r="F824" s="19">
        <v>40910.646990740737</v>
      </c>
      <c r="G824"/>
      <c r="H824">
        <v>1</v>
      </c>
      <c r="I824">
        <v>0</v>
      </c>
      <c r="J824"/>
      <c r="K824"/>
      <c r="L824"/>
      <c r="M824" s="1">
        <v>41274</v>
      </c>
      <c r="N824" t="s">
        <v>102</v>
      </c>
      <c r="O824"/>
      <c r="P824"/>
      <c r="Q824"/>
    </row>
    <row r="825" spans="1:17" x14ac:dyDescent="0.3">
      <c r="A825" t="str">
        <f>"13569"</f>
        <v>13569</v>
      </c>
      <c r="B825">
        <v>93011</v>
      </c>
      <c r="C825">
        <v>1</v>
      </c>
      <c r="D825" t="str">
        <f>"SO"</f>
        <v>SO</v>
      </c>
      <c r="E825"/>
      <c r="F825" s="19">
        <v>40910.64640046296</v>
      </c>
      <c r="G825"/>
      <c r="H825">
        <v>1</v>
      </c>
      <c r="I825">
        <v>0</v>
      </c>
      <c r="J825"/>
      <c r="K825"/>
      <c r="L825"/>
      <c r="M825" s="1">
        <v>41274</v>
      </c>
      <c r="N825" t="s">
        <v>102</v>
      </c>
      <c r="O825"/>
      <c r="P825"/>
      <c r="Q825"/>
    </row>
    <row r="826" spans="1:17" x14ac:dyDescent="0.3">
      <c r="A826" t="str">
        <f>"13568"</f>
        <v>13568</v>
      </c>
      <c r="B826">
        <v>93124</v>
      </c>
      <c r="C826">
        <v>1</v>
      </c>
      <c r="D826" t="str">
        <f>"SO"</f>
        <v>SO</v>
      </c>
      <c r="E826"/>
      <c r="F826" s="19">
        <v>40910.64439814815</v>
      </c>
      <c r="G826"/>
      <c r="H826">
        <v>1</v>
      </c>
      <c r="I826">
        <v>0</v>
      </c>
      <c r="J826"/>
      <c r="K826"/>
      <c r="L826"/>
      <c r="M826" s="1">
        <v>41274</v>
      </c>
      <c r="N826" t="s">
        <v>102</v>
      </c>
      <c r="O826"/>
      <c r="P826"/>
      <c r="Q826"/>
    </row>
    <row r="827" spans="1:17" x14ac:dyDescent="0.3">
      <c r="A827" t="str">
        <f>"13567"</f>
        <v>13567</v>
      </c>
      <c r="B827">
        <v>93237</v>
      </c>
      <c r="C827">
        <v>1</v>
      </c>
      <c r="D827" t="str">
        <f>"SO"</f>
        <v>SO</v>
      </c>
      <c r="E827"/>
      <c r="F827" s="19">
        <v>40910.643784722219</v>
      </c>
      <c r="G827"/>
      <c r="H827">
        <v>1</v>
      </c>
      <c r="I827">
        <v>0</v>
      </c>
      <c r="J827"/>
      <c r="K827"/>
      <c r="L827"/>
      <c r="M827" s="1">
        <v>41274</v>
      </c>
      <c r="N827" t="s">
        <v>102</v>
      </c>
      <c r="O827"/>
      <c r="P827"/>
      <c r="Q827"/>
    </row>
    <row r="828" spans="1:17" x14ac:dyDescent="0.3">
      <c r="A828" t="str">
        <f>"13566"</f>
        <v>13566</v>
      </c>
      <c r="B828">
        <v>93350</v>
      </c>
      <c r="C828">
        <v>1</v>
      </c>
      <c r="D828" t="str">
        <f>"SO"</f>
        <v>SO</v>
      </c>
      <c r="E828"/>
      <c r="F828" s="19">
        <v>40910.642905092594</v>
      </c>
      <c r="G828"/>
      <c r="H828">
        <v>1</v>
      </c>
      <c r="I828">
        <v>0</v>
      </c>
      <c r="J828"/>
      <c r="K828"/>
      <c r="L828"/>
      <c r="M828" s="1">
        <v>41274</v>
      </c>
      <c r="N828" t="s">
        <v>101</v>
      </c>
      <c r="O828"/>
      <c r="P828"/>
      <c r="Q828"/>
    </row>
    <row r="829" spans="1:17" x14ac:dyDescent="0.3">
      <c r="A829" t="str">
        <f>"13565"</f>
        <v>13565</v>
      </c>
      <c r="B829">
        <v>93463</v>
      </c>
      <c r="C829">
        <v>1</v>
      </c>
      <c r="D829" t="str">
        <f>"SO"</f>
        <v>SO</v>
      </c>
      <c r="E829"/>
      <c r="F829" s="19">
        <v>40911.363368055558</v>
      </c>
      <c r="G829"/>
      <c r="H829">
        <v>1</v>
      </c>
      <c r="I829">
        <v>0</v>
      </c>
      <c r="J829"/>
      <c r="K829"/>
      <c r="L829"/>
      <c r="M829" s="1">
        <v>41274</v>
      </c>
      <c r="N829" t="s">
        <v>101</v>
      </c>
      <c r="O829"/>
      <c r="P829"/>
      <c r="Q829"/>
    </row>
    <row r="830" spans="1:17" x14ac:dyDescent="0.3">
      <c r="A830" t="str">
        <f>"13564"</f>
        <v>13564</v>
      </c>
      <c r="B830">
        <v>93576</v>
      </c>
      <c r="C830">
        <v>1</v>
      </c>
      <c r="D830" t="str">
        <f>"SO"</f>
        <v>SO</v>
      </c>
      <c r="E830"/>
      <c r="F830" s="19">
        <v>40910.641736111109</v>
      </c>
      <c r="G830"/>
      <c r="H830">
        <v>1</v>
      </c>
      <c r="I830">
        <v>0</v>
      </c>
      <c r="J830"/>
      <c r="K830"/>
      <c r="L830"/>
      <c r="M830" s="1">
        <v>41274</v>
      </c>
      <c r="N830" t="s">
        <v>101</v>
      </c>
      <c r="O830"/>
      <c r="P830"/>
      <c r="Q830"/>
    </row>
    <row r="831" spans="1:17" x14ac:dyDescent="0.3">
      <c r="A831" t="str">
        <f>"13563"</f>
        <v>13563</v>
      </c>
      <c r="B831">
        <v>93689</v>
      </c>
      <c r="C831">
        <v>1</v>
      </c>
      <c r="D831" t="str">
        <f>"SO"</f>
        <v>SO</v>
      </c>
      <c r="E831"/>
      <c r="F831" s="19">
        <v>40910.641157407408</v>
      </c>
      <c r="G831"/>
      <c r="H831">
        <v>1</v>
      </c>
      <c r="I831">
        <v>0</v>
      </c>
      <c r="J831"/>
      <c r="K831"/>
      <c r="L831"/>
      <c r="M831" s="1">
        <v>41274</v>
      </c>
      <c r="N831" t="s">
        <v>101</v>
      </c>
      <c r="O831"/>
      <c r="P831"/>
      <c r="Q831"/>
    </row>
    <row r="832" spans="1:17" x14ac:dyDescent="0.3">
      <c r="A832" t="str">
        <f>"13562"</f>
        <v>13562</v>
      </c>
      <c r="B832">
        <v>93802</v>
      </c>
      <c r="C832">
        <v>1</v>
      </c>
      <c r="D832" t="str">
        <f>"SO"</f>
        <v>SO</v>
      </c>
      <c r="E832"/>
      <c r="F832" s="19">
        <v>40910.640173611115</v>
      </c>
      <c r="G832"/>
      <c r="H832">
        <v>1</v>
      </c>
      <c r="I832">
        <v>0</v>
      </c>
      <c r="J832"/>
      <c r="K832"/>
      <c r="L832"/>
      <c r="M832" s="1">
        <v>41274</v>
      </c>
      <c r="N832" t="s">
        <v>101</v>
      </c>
      <c r="O832"/>
      <c r="P832"/>
      <c r="Q832"/>
    </row>
    <row r="833" spans="1:17" x14ac:dyDescent="0.3">
      <c r="A833" t="str">
        <f>"13561"</f>
        <v>13561</v>
      </c>
      <c r="B833">
        <v>93915</v>
      </c>
      <c r="C833">
        <v>1</v>
      </c>
      <c r="D833" t="str">
        <f>"SO"</f>
        <v>SO</v>
      </c>
      <c r="E833"/>
      <c r="F833" s="19">
        <v>40910.607152777775</v>
      </c>
      <c r="G833"/>
      <c r="H833">
        <v>1</v>
      </c>
      <c r="I833">
        <v>0</v>
      </c>
      <c r="J833"/>
      <c r="K833"/>
      <c r="L833"/>
      <c r="M833" s="1">
        <v>41274</v>
      </c>
      <c r="N833" t="s">
        <v>101</v>
      </c>
      <c r="O833"/>
      <c r="P833"/>
      <c r="Q833"/>
    </row>
    <row r="834" spans="1:17" x14ac:dyDescent="0.3">
      <c r="A834" t="str">
        <f>"13560"</f>
        <v>13560</v>
      </c>
      <c r="B834">
        <v>94028</v>
      </c>
      <c r="C834">
        <v>1</v>
      </c>
      <c r="D834" t="str">
        <f>"SO"</f>
        <v>SO</v>
      </c>
      <c r="E834"/>
      <c r="F834" s="19">
        <v>40910.606134259258</v>
      </c>
      <c r="G834"/>
      <c r="H834">
        <v>1</v>
      </c>
      <c r="I834">
        <v>0</v>
      </c>
      <c r="J834"/>
      <c r="K834"/>
      <c r="L834"/>
      <c r="M834" s="1">
        <v>41274</v>
      </c>
      <c r="N834" t="s">
        <v>101</v>
      </c>
      <c r="O834"/>
      <c r="P834"/>
      <c r="Q834"/>
    </row>
    <row r="835" spans="1:17" x14ac:dyDescent="0.3">
      <c r="A835" t="str">
        <f>"13415"</f>
        <v>13415</v>
      </c>
      <c r="B835">
        <v>94141</v>
      </c>
      <c r="C835">
        <v>8</v>
      </c>
      <c r="D835" t="str">
        <f>"SO"</f>
        <v>SO</v>
      </c>
      <c r="E835"/>
      <c r="F835" s="19">
        <v>40854.423090277778</v>
      </c>
      <c r="G835"/>
      <c r="H835">
        <v>1</v>
      </c>
      <c r="I835">
        <v>0</v>
      </c>
      <c r="J835"/>
      <c r="K835"/>
      <c r="L835"/>
      <c r="M835" s="1">
        <v>40891</v>
      </c>
      <c r="N835" t="s">
        <v>101</v>
      </c>
      <c r="O835"/>
      <c r="P835"/>
      <c r="Q835"/>
    </row>
    <row r="836" spans="1:17" x14ac:dyDescent="0.3">
      <c r="A836" t="str">
        <f>"13415"</f>
        <v>13415</v>
      </c>
      <c r="B836">
        <v>94254</v>
      </c>
      <c r="C836">
        <v>9</v>
      </c>
      <c r="D836" t="str">
        <f>"SO"</f>
        <v>SO</v>
      </c>
      <c r="E836"/>
      <c r="F836" s="19">
        <v>40854.423090277778</v>
      </c>
      <c r="G836"/>
      <c r="H836">
        <v>1</v>
      </c>
      <c r="I836">
        <v>0</v>
      </c>
      <c r="J836"/>
      <c r="K836"/>
      <c r="L836"/>
      <c r="M836" s="1">
        <v>40891</v>
      </c>
      <c r="N836" t="s">
        <v>101</v>
      </c>
      <c r="O836"/>
      <c r="P836"/>
      <c r="Q836"/>
    </row>
    <row r="837" spans="1:17" x14ac:dyDescent="0.3">
      <c r="A837" t="str">
        <f>"13415"</f>
        <v>13415</v>
      </c>
      <c r="B837">
        <v>94367</v>
      </c>
      <c r="C837">
        <v>10</v>
      </c>
      <c r="D837" t="str">
        <f>"SO"</f>
        <v>SO</v>
      </c>
      <c r="E837"/>
      <c r="F837" s="19">
        <v>40854.423090277778</v>
      </c>
      <c r="G837"/>
      <c r="H837">
        <v>1</v>
      </c>
      <c r="I837">
        <v>0</v>
      </c>
      <c r="J837"/>
      <c r="K837"/>
      <c r="L837"/>
      <c r="M837" s="1">
        <v>40891</v>
      </c>
      <c r="N837" t="s">
        <v>101</v>
      </c>
      <c r="O837"/>
      <c r="P837"/>
      <c r="Q837"/>
    </row>
    <row r="838" spans="1:17" x14ac:dyDescent="0.3">
      <c r="A838" t="str">
        <f>"13415"</f>
        <v>13415</v>
      </c>
      <c r="B838">
        <v>94480</v>
      </c>
      <c r="C838">
        <v>11</v>
      </c>
      <c r="D838" t="str">
        <f>"SO"</f>
        <v>SO</v>
      </c>
      <c r="E838"/>
      <c r="F838" s="19">
        <v>40854.423090277778</v>
      </c>
      <c r="G838"/>
      <c r="H838">
        <v>1</v>
      </c>
      <c r="I838">
        <v>0</v>
      </c>
      <c r="J838"/>
      <c r="K838"/>
      <c r="L838"/>
      <c r="M838" s="1">
        <v>40891</v>
      </c>
      <c r="N838" t="s">
        <v>101</v>
      </c>
      <c r="O838"/>
      <c r="P838"/>
      <c r="Q838"/>
    </row>
    <row r="839" spans="1:17" x14ac:dyDescent="0.3">
      <c r="A839" t="str">
        <f>"13404"</f>
        <v>13404</v>
      </c>
      <c r="B839">
        <v>94593</v>
      </c>
      <c r="C839">
        <v>1</v>
      </c>
      <c r="D839" t="str">
        <f>"SO"</f>
        <v>SO</v>
      </c>
      <c r="E839"/>
      <c r="F839" s="19">
        <v>40841.324780092589</v>
      </c>
      <c r="G839"/>
      <c r="H839">
        <v>1</v>
      </c>
      <c r="I839">
        <v>0</v>
      </c>
      <c r="J839"/>
      <c r="K839"/>
      <c r="L839"/>
      <c r="M839" s="1">
        <v>40861</v>
      </c>
      <c r="N839" t="s">
        <v>101</v>
      </c>
      <c r="O839"/>
      <c r="P839"/>
      <c r="Q839"/>
    </row>
    <row r="840" spans="1:17" x14ac:dyDescent="0.3">
      <c r="A840" t="str">
        <f>"13308"</f>
        <v>13308</v>
      </c>
      <c r="B840">
        <v>94706</v>
      </c>
      <c r="C840">
        <v>1</v>
      </c>
      <c r="D840" t="str">
        <f>"SO"</f>
        <v>SO</v>
      </c>
      <c r="E840"/>
      <c r="F840" s="19">
        <v>40798.574571759258</v>
      </c>
      <c r="G840"/>
      <c r="H840">
        <v>1</v>
      </c>
      <c r="I840">
        <v>0</v>
      </c>
      <c r="J840"/>
      <c r="K840"/>
      <c r="L840"/>
      <c r="M840" s="1">
        <v>40907</v>
      </c>
      <c r="N840" t="s">
        <v>101</v>
      </c>
      <c r="O840"/>
      <c r="P840"/>
      <c r="Q840"/>
    </row>
    <row r="841" spans="1:17" x14ac:dyDescent="0.3">
      <c r="A841" t="str">
        <f>"13291"</f>
        <v>13291</v>
      </c>
      <c r="B841">
        <v>94819</v>
      </c>
      <c r="C841">
        <v>1</v>
      </c>
      <c r="D841" t="str">
        <f>"SO"</f>
        <v>SO</v>
      </c>
      <c r="E841"/>
      <c r="F841" s="19">
        <v>40784.567152777781</v>
      </c>
      <c r="G841"/>
      <c r="H841">
        <v>1</v>
      </c>
      <c r="I841">
        <v>0</v>
      </c>
      <c r="J841"/>
      <c r="K841"/>
      <c r="L841"/>
      <c r="M841" s="1">
        <v>40809</v>
      </c>
      <c r="N841" t="s">
        <v>101</v>
      </c>
      <c r="O841"/>
      <c r="P841"/>
      <c r="Q841"/>
    </row>
    <row r="842" spans="1:17" x14ac:dyDescent="0.3">
      <c r="A842" t="str">
        <f>"13265"</f>
        <v>13265</v>
      </c>
      <c r="B842">
        <v>94932</v>
      </c>
      <c r="C842">
        <v>1</v>
      </c>
      <c r="D842" t="str">
        <f>"SO"</f>
        <v>SO</v>
      </c>
      <c r="E842"/>
      <c r="F842" s="19">
        <v>40763.581400462965</v>
      </c>
      <c r="G842"/>
      <c r="H842">
        <v>1</v>
      </c>
      <c r="I842">
        <v>0</v>
      </c>
      <c r="J842"/>
      <c r="K842"/>
      <c r="L842"/>
      <c r="M842" s="1">
        <v>40907</v>
      </c>
      <c r="N842" t="s">
        <v>101</v>
      </c>
      <c r="O842"/>
      <c r="P842"/>
      <c r="Q842"/>
    </row>
    <row r="843" spans="1:17" x14ac:dyDescent="0.3">
      <c r="A843" t="str">
        <f>"13262"</f>
        <v>13262</v>
      </c>
      <c r="B843">
        <v>95045</v>
      </c>
      <c r="C843">
        <v>1</v>
      </c>
      <c r="D843" t="str">
        <f>"SO"</f>
        <v>SO</v>
      </c>
      <c r="E843"/>
      <c r="F843" s="19">
        <v>40763.360335648147</v>
      </c>
      <c r="G843"/>
      <c r="H843">
        <v>1</v>
      </c>
      <c r="I843">
        <v>0</v>
      </c>
      <c r="J843"/>
      <c r="K843"/>
      <c r="L843"/>
      <c r="M843" s="1">
        <v>40858</v>
      </c>
      <c r="N843" t="s">
        <v>101</v>
      </c>
      <c r="O843"/>
      <c r="P843"/>
      <c r="Q843"/>
    </row>
    <row r="844" spans="1:17" x14ac:dyDescent="0.3">
      <c r="A844" t="str">
        <f>"13176"</f>
        <v>13176</v>
      </c>
      <c r="B844">
        <v>95158</v>
      </c>
      <c r="C844">
        <v>1</v>
      </c>
      <c r="D844" t="str">
        <f>"SO"</f>
        <v>SO</v>
      </c>
      <c r="E844"/>
      <c r="F844" s="19">
        <v>40725.518159722225</v>
      </c>
      <c r="G844"/>
      <c r="H844">
        <v>1</v>
      </c>
      <c r="I844">
        <v>0</v>
      </c>
      <c r="J844"/>
      <c r="K844"/>
      <c r="L844"/>
      <c r="M844" s="1">
        <v>40907</v>
      </c>
      <c r="N844" t="s">
        <v>101</v>
      </c>
      <c r="O844"/>
      <c r="P844"/>
      <c r="Q844"/>
    </row>
    <row r="845" spans="1:17" x14ac:dyDescent="0.3">
      <c r="A845" t="str">
        <f>"13150"</f>
        <v>13150</v>
      </c>
      <c r="B845">
        <v>95271</v>
      </c>
      <c r="C845">
        <v>1</v>
      </c>
      <c r="D845" t="str">
        <f>"SO"</f>
        <v>SO</v>
      </c>
      <c r="E845"/>
      <c r="F845" s="19">
        <v>40722.418715277781</v>
      </c>
      <c r="G845"/>
      <c r="H845">
        <v>1</v>
      </c>
      <c r="I845">
        <v>0</v>
      </c>
      <c r="J845"/>
      <c r="K845"/>
      <c r="L845"/>
      <c r="M845" s="1">
        <v>40892</v>
      </c>
      <c r="N845" t="s">
        <v>101</v>
      </c>
      <c r="O845"/>
      <c r="P845"/>
      <c r="Q845"/>
    </row>
    <row r="846" spans="1:17" x14ac:dyDescent="0.3">
      <c r="A846" t="str">
        <f>"13150"</f>
        <v>13150</v>
      </c>
      <c r="B846">
        <v>95384</v>
      </c>
      <c r="C846">
        <v>7</v>
      </c>
      <c r="D846" t="str">
        <f>"SO"</f>
        <v>SO</v>
      </c>
      <c r="E846"/>
      <c r="F846" s="19">
        <v>40798.553807870368</v>
      </c>
      <c r="G846"/>
      <c r="H846">
        <v>1</v>
      </c>
      <c r="I846">
        <v>0</v>
      </c>
      <c r="J846"/>
      <c r="K846"/>
      <c r="L846"/>
      <c r="M846" s="1">
        <v>40816</v>
      </c>
      <c r="N846" t="s">
        <v>101</v>
      </c>
      <c r="O846"/>
      <c r="P846"/>
      <c r="Q846"/>
    </row>
    <row r="847" spans="1:17" x14ac:dyDescent="0.3">
      <c r="A847" t="str">
        <f>"13099"</f>
        <v>13099</v>
      </c>
      <c r="B847">
        <v>95497</v>
      </c>
      <c r="C847">
        <v>1</v>
      </c>
      <c r="D847" t="str">
        <f>"SO"</f>
        <v>SO</v>
      </c>
      <c r="E847"/>
      <c r="F847" s="19">
        <v>40711.361111111109</v>
      </c>
      <c r="G847"/>
      <c r="H847">
        <v>16</v>
      </c>
      <c r="I847">
        <v>0</v>
      </c>
      <c r="J847"/>
      <c r="K847"/>
      <c r="L847"/>
      <c r="M847" s="1">
        <v>40728</v>
      </c>
      <c r="N847" t="s">
        <v>101</v>
      </c>
      <c r="O847"/>
      <c r="P847"/>
      <c r="Q847"/>
    </row>
    <row r="848" spans="1:17" x14ac:dyDescent="0.3">
      <c r="A848" t="str">
        <f>"13085"</f>
        <v>13085</v>
      </c>
      <c r="B848">
        <v>95610</v>
      </c>
      <c r="C848">
        <v>1</v>
      </c>
      <c r="D848" t="str">
        <f>" "</f>
        <v xml:space="preserve"> </v>
      </c>
      <c r="E848"/>
      <c r="F848" s="19">
        <v>40709.369884259257</v>
      </c>
      <c r="G848"/>
      <c r="H848">
        <v>1</v>
      </c>
      <c r="I848">
        <v>0</v>
      </c>
      <c r="J848"/>
      <c r="K848"/>
      <c r="L848"/>
      <c r="M848" s="1">
        <v>40716</v>
      </c>
      <c r="N848" t="s">
        <v>101</v>
      </c>
      <c r="O848"/>
      <c r="P848"/>
      <c r="Q848"/>
    </row>
    <row r="849" spans="1:17" x14ac:dyDescent="0.3">
      <c r="A849" t="str">
        <f>"13085"</f>
        <v>13085</v>
      </c>
      <c r="B849">
        <v>95723</v>
      </c>
      <c r="C849">
        <v>2</v>
      </c>
      <c r="D849" t="str">
        <f>" "</f>
        <v xml:space="preserve"> </v>
      </c>
      <c r="E849"/>
      <c r="F849" s="19">
        <v>40709.369884259257</v>
      </c>
      <c r="G849"/>
      <c r="H849">
        <v>1</v>
      </c>
      <c r="I849">
        <v>0</v>
      </c>
      <c r="J849"/>
      <c r="K849"/>
      <c r="L849"/>
      <c r="M849" s="1">
        <v>40716</v>
      </c>
      <c r="N849" t="s">
        <v>101</v>
      </c>
      <c r="O849"/>
      <c r="P849"/>
      <c r="Q849"/>
    </row>
    <row r="850" spans="1:17" x14ac:dyDescent="0.3">
      <c r="A850" t="str">
        <f>"13085"</f>
        <v>13085</v>
      </c>
      <c r="B850">
        <v>95836</v>
      </c>
      <c r="C850">
        <v>3</v>
      </c>
      <c r="D850" t="str">
        <f>" "</f>
        <v xml:space="preserve"> </v>
      </c>
      <c r="E850"/>
      <c r="F850" s="19">
        <v>40709.369884259257</v>
      </c>
      <c r="G850"/>
      <c r="H850">
        <v>1</v>
      </c>
      <c r="I850">
        <v>0</v>
      </c>
      <c r="J850"/>
      <c r="K850"/>
      <c r="L850"/>
      <c r="M850" s="1">
        <v>40716</v>
      </c>
      <c r="N850" t="s">
        <v>101</v>
      </c>
      <c r="O850"/>
      <c r="P850"/>
      <c r="Q850"/>
    </row>
    <row r="851" spans="1:17" x14ac:dyDescent="0.3">
      <c r="A851" t="str">
        <f>"12900"</f>
        <v>12900</v>
      </c>
      <c r="B851">
        <v>95949</v>
      </c>
      <c r="C851">
        <v>1</v>
      </c>
      <c r="D851" t="str">
        <f>" "</f>
        <v xml:space="preserve"> </v>
      </c>
      <c r="E851"/>
      <c r="F851" s="19">
        <v>40627.449942129628</v>
      </c>
      <c r="G851"/>
      <c r="H851">
        <v>1</v>
      </c>
      <c r="I851">
        <v>0</v>
      </c>
      <c r="J851"/>
      <c r="K851"/>
      <c r="L851"/>
      <c r="M851" s="1">
        <v>40632</v>
      </c>
      <c r="N851" t="s">
        <v>101</v>
      </c>
      <c r="O851"/>
      <c r="P851"/>
      <c r="Q851"/>
    </row>
    <row r="852" spans="1:17" x14ac:dyDescent="0.3">
      <c r="A852" t="str">
        <f>"12859"</f>
        <v>12859</v>
      </c>
      <c r="B852">
        <v>96062</v>
      </c>
      <c r="C852">
        <v>1</v>
      </c>
      <c r="D852" t="str">
        <f>" "</f>
        <v xml:space="preserve"> </v>
      </c>
      <c r="E852"/>
      <c r="F852" s="19">
        <v>40611.574317129627</v>
      </c>
      <c r="G852"/>
      <c r="H852">
        <v>1</v>
      </c>
      <c r="I852">
        <v>0</v>
      </c>
      <c r="J852"/>
      <c r="K852"/>
      <c r="L852"/>
      <c r="M852" s="1">
        <v>40637</v>
      </c>
      <c r="N852" t="s">
        <v>101</v>
      </c>
      <c r="O852"/>
      <c r="P852"/>
      <c r="Q852"/>
    </row>
    <row r="853" spans="1:17" x14ac:dyDescent="0.3">
      <c r="A853" t="str">
        <f>"12825"</f>
        <v>12825</v>
      </c>
      <c r="B853">
        <v>96175</v>
      </c>
      <c r="C853">
        <v>2</v>
      </c>
      <c r="D853" t="str">
        <f>"SO"</f>
        <v>SO</v>
      </c>
      <c r="E853"/>
      <c r="F853" s="19">
        <v>40604.687372685185</v>
      </c>
      <c r="G853"/>
      <c r="H853">
        <v>9</v>
      </c>
      <c r="I853">
        <v>0</v>
      </c>
      <c r="J853"/>
      <c r="K853"/>
      <c r="L853"/>
      <c r="M853" s="1">
        <v>40618</v>
      </c>
      <c r="N853" t="s">
        <v>101</v>
      </c>
      <c r="O853"/>
      <c r="P853"/>
      <c r="Q853"/>
    </row>
    <row r="854" spans="1:17" x14ac:dyDescent="0.3">
      <c r="A854" t="str">
        <f>"12722"</f>
        <v>12722</v>
      </c>
      <c r="B854">
        <v>96288</v>
      </c>
      <c r="C854">
        <v>1</v>
      </c>
      <c r="D854" t="str">
        <f>"SO"</f>
        <v>SO</v>
      </c>
      <c r="E854"/>
      <c r="F854" s="19">
        <v>40569.674629629626</v>
      </c>
      <c r="G854"/>
      <c r="H854">
        <v>1</v>
      </c>
      <c r="I854">
        <v>0</v>
      </c>
      <c r="J854"/>
      <c r="K854"/>
      <c r="L854"/>
      <c r="M854" s="1">
        <v>40907</v>
      </c>
      <c r="N854" t="s">
        <v>101</v>
      </c>
      <c r="O854"/>
      <c r="P854"/>
      <c r="Q854"/>
    </row>
    <row r="855" spans="1:17" x14ac:dyDescent="0.3">
      <c r="A855" t="str">
        <f>"12713"</f>
        <v>12713</v>
      </c>
      <c r="B855">
        <v>96401</v>
      </c>
      <c r="C855">
        <v>2</v>
      </c>
      <c r="D855" t="str">
        <f>"SO"</f>
        <v>SO</v>
      </c>
      <c r="E855"/>
      <c r="F855" s="19">
        <v>40564.605740740742</v>
      </c>
      <c r="G855"/>
      <c r="H855">
        <v>1</v>
      </c>
      <c r="I855">
        <v>0</v>
      </c>
      <c r="J855"/>
      <c r="K855"/>
      <c r="L855"/>
      <c r="M855" s="1">
        <v>40633</v>
      </c>
      <c r="N855" t="s">
        <v>101</v>
      </c>
      <c r="O855"/>
      <c r="P855"/>
      <c r="Q855"/>
    </row>
    <row r="856" spans="1:17" x14ac:dyDescent="0.3">
      <c r="A856" t="str">
        <f>"12689"</f>
        <v>12689</v>
      </c>
      <c r="B856">
        <v>96514</v>
      </c>
      <c r="C856">
        <v>2</v>
      </c>
      <c r="D856" t="str">
        <f>"SO"</f>
        <v>SO</v>
      </c>
      <c r="E856"/>
      <c r="F856" s="19">
        <v>40611.620127314818</v>
      </c>
      <c r="G856"/>
      <c r="H856">
        <v>2</v>
      </c>
      <c r="I856">
        <v>0</v>
      </c>
      <c r="J856"/>
      <c r="K856"/>
      <c r="L856"/>
      <c r="M856" s="1">
        <v>40616</v>
      </c>
      <c r="N856" t="s">
        <v>101</v>
      </c>
      <c r="O856"/>
      <c r="P856"/>
      <c r="Q856"/>
    </row>
    <row r="857" spans="1:17" x14ac:dyDescent="0.3">
      <c r="A857" t="str">
        <f>"12677"</f>
        <v>12677</v>
      </c>
      <c r="B857">
        <v>96627</v>
      </c>
      <c r="C857">
        <v>1</v>
      </c>
      <c r="D857" t="str">
        <f>"SO"</f>
        <v>SO</v>
      </c>
      <c r="E857"/>
      <c r="F857" s="19">
        <v>40554.352546296293</v>
      </c>
      <c r="G857"/>
      <c r="H857">
        <v>1</v>
      </c>
      <c r="I857">
        <v>0</v>
      </c>
      <c r="J857"/>
      <c r="K857"/>
      <c r="L857"/>
      <c r="M857" s="1">
        <v>40907</v>
      </c>
      <c r="N857" t="s">
        <v>101</v>
      </c>
      <c r="O857"/>
      <c r="P857"/>
      <c r="Q857"/>
    </row>
    <row r="858" spans="1:17" x14ac:dyDescent="0.3">
      <c r="A858" t="str">
        <f>"12676"</f>
        <v>12676</v>
      </c>
      <c r="B858">
        <v>96740</v>
      </c>
      <c r="C858">
        <v>1</v>
      </c>
      <c r="D858" t="str">
        <f>"SO"</f>
        <v>SO</v>
      </c>
      <c r="E858"/>
      <c r="F858" s="19">
        <v>40554.352025462962</v>
      </c>
      <c r="G858"/>
      <c r="H858">
        <v>1</v>
      </c>
      <c r="I858">
        <v>0</v>
      </c>
      <c r="J858"/>
      <c r="K858"/>
      <c r="L858"/>
      <c r="M858" s="1">
        <v>40907</v>
      </c>
      <c r="N858" t="s">
        <v>101</v>
      </c>
      <c r="O858"/>
      <c r="P858"/>
      <c r="Q858"/>
    </row>
    <row r="859" spans="1:17" x14ac:dyDescent="0.3">
      <c r="A859" t="str">
        <f>"12675"</f>
        <v>12675</v>
      </c>
      <c r="B859">
        <v>96853</v>
      </c>
      <c r="C859">
        <v>1</v>
      </c>
      <c r="D859" t="str">
        <f>"SO"</f>
        <v>SO</v>
      </c>
      <c r="E859"/>
      <c r="F859" s="19">
        <v>40554.351493055554</v>
      </c>
      <c r="G859"/>
      <c r="H859">
        <v>1</v>
      </c>
      <c r="I859">
        <v>0</v>
      </c>
      <c r="J859"/>
      <c r="K859"/>
      <c r="L859"/>
      <c r="M859" s="1">
        <v>40907</v>
      </c>
      <c r="N859" t="s">
        <v>101</v>
      </c>
      <c r="O859"/>
      <c r="P859"/>
      <c r="Q859"/>
    </row>
    <row r="860" spans="1:17" x14ac:dyDescent="0.3">
      <c r="A860" t="str">
        <f>"12674"</f>
        <v>12674</v>
      </c>
      <c r="B860">
        <v>96966</v>
      </c>
      <c r="C860">
        <v>1</v>
      </c>
      <c r="D860" t="str">
        <f>"SO"</f>
        <v>SO</v>
      </c>
      <c r="E860"/>
      <c r="F860" s="19">
        <v>40554.350486111114</v>
      </c>
      <c r="G860"/>
      <c r="H860">
        <v>1</v>
      </c>
      <c r="I860">
        <v>0</v>
      </c>
      <c r="J860"/>
      <c r="K860"/>
      <c r="L860"/>
      <c r="M860" s="1">
        <v>40907</v>
      </c>
      <c r="N860" t="s">
        <v>101</v>
      </c>
      <c r="O860"/>
      <c r="P860"/>
      <c r="Q860"/>
    </row>
    <row r="861" spans="1:17" x14ac:dyDescent="0.3">
      <c r="A861" t="str">
        <f>"12673"</f>
        <v>12673</v>
      </c>
      <c r="B861">
        <v>97079</v>
      </c>
      <c r="C861">
        <v>1</v>
      </c>
      <c r="D861" t="str">
        <f>"SO"</f>
        <v>SO</v>
      </c>
      <c r="E861"/>
      <c r="F861" s="19">
        <v>40554.349988425929</v>
      </c>
      <c r="G861"/>
      <c r="H861">
        <v>1</v>
      </c>
      <c r="I861">
        <v>0</v>
      </c>
      <c r="J861"/>
      <c r="K861"/>
      <c r="L861"/>
      <c r="M861" s="1">
        <v>40907</v>
      </c>
      <c r="N861" t="s">
        <v>101</v>
      </c>
      <c r="O861"/>
      <c r="P861"/>
      <c r="Q861"/>
    </row>
    <row r="862" spans="1:17" x14ac:dyDescent="0.3">
      <c r="A862" t="str">
        <f>"12672"</f>
        <v>12672</v>
      </c>
      <c r="B862">
        <v>97192</v>
      </c>
      <c r="C862">
        <v>1</v>
      </c>
      <c r="D862" t="str">
        <f>"SO"</f>
        <v>SO</v>
      </c>
      <c r="E862"/>
      <c r="F862" s="19">
        <v>40554.349456018521</v>
      </c>
      <c r="G862"/>
      <c r="H862">
        <v>1</v>
      </c>
      <c r="I862">
        <v>0</v>
      </c>
      <c r="J862"/>
      <c r="K862"/>
      <c r="L862"/>
      <c r="M862" s="1">
        <v>40907</v>
      </c>
      <c r="N862" t="s">
        <v>101</v>
      </c>
      <c r="O862"/>
      <c r="P862"/>
      <c r="Q862"/>
    </row>
    <row r="863" spans="1:17" x14ac:dyDescent="0.3">
      <c r="A863" t="str">
        <f>"12671"</f>
        <v>12671</v>
      </c>
      <c r="B863">
        <v>97305</v>
      </c>
      <c r="C863">
        <v>1</v>
      </c>
      <c r="D863" t="str">
        <f>"SO"</f>
        <v>SO</v>
      </c>
      <c r="E863"/>
      <c r="F863" s="19">
        <v>40554.34884259259</v>
      </c>
      <c r="G863"/>
      <c r="H863">
        <v>1</v>
      </c>
      <c r="I863">
        <v>0</v>
      </c>
      <c r="J863"/>
      <c r="K863"/>
      <c r="L863"/>
      <c r="M863" s="1">
        <v>40907</v>
      </c>
      <c r="N863" t="s">
        <v>101</v>
      </c>
      <c r="O863"/>
      <c r="P863"/>
      <c r="Q863"/>
    </row>
    <row r="864" spans="1:17" x14ac:dyDescent="0.3">
      <c r="A864" t="str">
        <f>"12670"</f>
        <v>12670</v>
      </c>
      <c r="B864">
        <v>97418</v>
      </c>
      <c r="C864">
        <v>1</v>
      </c>
      <c r="D864" t="str">
        <f>"SO"</f>
        <v>SO</v>
      </c>
      <c r="E864"/>
      <c r="F864" s="19">
        <v>40554.348356481481</v>
      </c>
      <c r="G864"/>
      <c r="H864">
        <v>1</v>
      </c>
      <c r="I864">
        <v>0</v>
      </c>
      <c r="J864"/>
      <c r="K864"/>
      <c r="L864"/>
      <c r="M864" s="1">
        <v>40907</v>
      </c>
      <c r="N864" t="s">
        <v>101</v>
      </c>
      <c r="O864"/>
      <c r="P864"/>
      <c r="Q864"/>
    </row>
    <row r="865" spans="1:17" x14ac:dyDescent="0.3">
      <c r="A865" t="str">
        <f>"12669"</f>
        <v>12669</v>
      </c>
      <c r="B865">
        <v>97531</v>
      </c>
      <c r="C865">
        <v>1</v>
      </c>
      <c r="D865" t="str">
        <f>"SO"</f>
        <v>SO</v>
      </c>
      <c r="E865"/>
      <c r="F865" s="19">
        <v>40554.34783564815</v>
      </c>
      <c r="G865"/>
      <c r="H865">
        <v>1</v>
      </c>
      <c r="I865">
        <v>0</v>
      </c>
      <c r="J865"/>
      <c r="K865"/>
      <c r="L865"/>
      <c r="M865" s="1">
        <v>40907</v>
      </c>
      <c r="N865" t="s">
        <v>101</v>
      </c>
      <c r="O865"/>
      <c r="P865"/>
      <c r="Q865"/>
    </row>
    <row r="866" spans="1:17" x14ac:dyDescent="0.3">
      <c r="A866" t="str">
        <f>"12668"</f>
        <v>12668</v>
      </c>
      <c r="B866">
        <v>97644</v>
      </c>
      <c r="C866">
        <v>1</v>
      </c>
      <c r="D866" t="str">
        <f>"SO"</f>
        <v>SO</v>
      </c>
      <c r="E866"/>
      <c r="F866" s="19">
        <v>40554.347245370373</v>
      </c>
      <c r="G866"/>
      <c r="H866">
        <v>1</v>
      </c>
      <c r="I866">
        <v>0</v>
      </c>
      <c r="J866"/>
      <c r="K866"/>
      <c r="L866"/>
      <c r="M866" s="1">
        <v>40907</v>
      </c>
      <c r="N866" t="s">
        <v>101</v>
      </c>
      <c r="O866"/>
      <c r="P866"/>
      <c r="Q866"/>
    </row>
    <row r="867" spans="1:17" x14ac:dyDescent="0.3">
      <c r="A867" t="str">
        <f>"12667"</f>
        <v>12667</v>
      </c>
      <c r="B867">
        <v>97757</v>
      </c>
      <c r="C867">
        <v>1</v>
      </c>
      <c r="D867" t="str">
        <f>"SO"</f>
        <v>SO</v>
      </c>
      <c r="E867"/>
      <c r="F867" s="19">
        <v>40554.346689814818</v>
      </c>
      <c r="G867"/>
      <c r="H867">
        <v>1</v>
      </c>
      <c r="I867">
        <v>0</v>
      </c>
      <c r="J867"/>
      <c r="K867"/>
      <c r="L867"/>
      <c r="M867" s="1">
        <v>40907</v>
      </c>
      <c r="N867" t="s">
        <v>101</v>
      </c>
      <c r="O867"/>
      <c r="P867"/>
      <c r="Q867"/>
    </row>
    <row r="868" spans="1:17" x14ac:dyDescent="0.3">
      <c r="A868" t="str">
        <f>"12666"</f>
        <v>12666</v>
      </c>
      <c r="B868">
        <v>97870</v>
      </c>
      <c r="C868">
        <v>1</v>
      </c>
      <c r="D868" t="str">
        <f>"SO"</f>
        <v>SO</v>
      </c>
      <c r="E868"/>
      <c r="F868" s="19">
        <v>40554.346226851849</v>
      </c>
      <c r="G868"/>
      <c r="H868">
        <v>1</v>
      </c>
      <c r="I868">
        <v>0</v>
      </c>
      <c r="J868"/>
      <c r="K868"/>
      <c r="L868"/>
      <c r="M868" s="1">
        <v>40907</v>
      </c>
      <c r="N868" t="s">
        <v>101</v>
      </c>
      <c r="O868"/>
      <c r="P868"/>
      <c r="Q868"/>
    </row>
    <row r="869" spans="1:17" x14ac:dyDescent="0.3">
      <c r="A869" t="str">
        <f>"12665"</f>
        <v>12665</v>
      </c>
      <c r="B869">
        <v>97983</v>
      </c>
      <c r="C869">
        <v>1</v>
      </c>
      <c r="D869" t="str">
        <f>"SO"</f>
        <v>SO</v>
      </c>
      <c r="E869"/>
      <c r="F869" s="19">
        <v>40554.345532407409</v>
      </c>
      <c r="G869"/>
      <c r="H869">
        <v>1</v>
      </c>
      <c r="I869">
        <v>0</v>
      </c>
      <c r="J869"/>
      <c r="K869"/>
      <c r="L869"/>
      <c r="M869" s="1">
        <v>40907</v>
      </c>
      <c r="N869" t="s">
        <v>101</v>
      </c>
      <c r="O869"/>
      <c r="P869"/>
      <c r="Q869"/>
    </row>
    <row r="870" spans="1:17" x14ac:dyDescent="0.3">
      <c r="A870" t="str">
        <f>"12664"</f>
        <v>12664</v>
      </c>
      <c r="B870">
        <v>98096</v>
      </c>
      <c r="C870">
        <v>1</v>
      </c>
      <c r="D870" t="str">
        <f>"SO"</f>
        <v>SO</v>
      </c>
      <c r="E870"/>
      <c r="F870" s="19">
        <v>40554.345023148147</v>
      </c>
      <c r="G870"/>
      <c r="H870">
        <v>1</v>
      </c>
      <c r="I870">
        <v>0</v>
      </c>
      <c r="J870"/>
      <c r="K870"/>
      <c r="L870"/>
      <c r="M870" s="1">
        <v>40907</v>
      </c>
      <c r="N870" t="s">
        <v>101</v>
      </c>
      <c r="O870"/>
      <c r="P870"/>
      <c r="Q870"/>
    </row>
    <row r="871" spans="1:17" x14ac:dyDescent="0.3">
      <c r="A871" t="str">
        <f>"12663"</f>
        <v>12663</v>
      </c>
      <c r="B871">
        <v>98209</v>
      </c>
      <c r="C871">
        <v>1</v>
      </c>
      <c r="D871" t="str">
        <f>"SO"</f>
        <v>SO</v>
      </c>
      <c r="E871"/>
      <c r="F871" s="19">
        <v>40554.344490740739</v>
      </c>
      <c r="G871"/>
      <c r="H871">
        <v>1</v>
      </c>
      <c r="I871">
        <v>0</v>
      </c>
      <c r="J871"/>
      <c r="K871"/>
      <c r="L871"/>
      <c r="M871" s="1">
        <v>40907</v>
      </c>
      <c r="N871" t="s">
        <v>101</v>
      </c>
      <c r="O871"/>
      <c r="P871"/>
      <c r="Q871"/>
    </row>
    <row r="872" spans="1:17" x14ac:dyDescent="0.3">
      <c r="A872" t="str">
        <f>"12662"</f>
        <v>12662</v>
      </c>
      <c r="B872">
        <v>98322</v>
      </c>
      <c r="C872">
        <v>1</v>
      </c>
      <c r="D872" t="str">
        <f>"SO"</f>
        <v>SO</v>
      </c>
      <c r="E872"/>
      <c r="F872" s="19">
        <v>40554.343946759262</v>
      </c>
      <c r="G872"/>
      <c r="H872">
        <v>1</v>
      </c>
      <c r="I872">
        <v>0</v>
      </c>
      <c r="J872"/>
      <c r="K872"/>
      <c r="L872"/>
      <c r="M872" s="1">
        <v>40907</v>
      </c>
      <c r="N872" t="s">
        <v>101</v>
      </c>
      <c r="O872"/>
      <c r="P872"/>
      <c r="Q872"/>
    </row>
    <row r="873" spans="1:17" x14ac:dyDescent="0.3">
      <c r="A873" t="str">
        <f>"12661"</f>
        <v>12661</v>
      </c>
      <c r="B873">
        <v>98435</v>
      </c>
      <c r="C873">
        <v>1</v>
      </c>
      <c r="D873" t="str">
        <f>"SO"</f>
        <v>SO</v>
      </c>
      <c r="E873"/>
      <c r="F873" s="19">
        <v>40554.343344907407</v>
      </c>
      <c r="G873"/>
      <c r="H873">
        <v>1</v>
      </c>
      <c r="I873">
        <v>0</v>
      </c>
      <c r="J873"/>
      <c r="K873"/>
      <c r="L873"/>
      <c r="M873" s="1">
        <v>40907</v>
      </c>
      <c r="N873" t="s">
        <v>101</v>
      </c>
      <c r="O873"/>
      <c r="P873"/>
      <c r="Q873"/>
    </row>
    <row r="874" spans="1:17" x14ac:dyDescent="0.3">
      <c r="A874" t="str">
        <f>"12660"</f>
        <v>12660</v>
      </c>
      <c r="B874">
        <v>98548</v>
      </c>
      <c r="C874">
        <v>1</v>
      </c>
      <c r="D874" t="str">
        <f>"SO"</f>
        <v>SO</v>
      </c>
      <c r="E874"/>
      <c r="F874" s="19">
        <v>40554.342615740738</v>
      </c>
      <c r="G874"/>
      <c r="H874">
        <v>1</v>
      </c>
      <c r="I874">
        <v>0</v>
      </c>
      <c r="J874"/>
      <c r="K874"/>
      <c r="L874"/>
      <c r="M874" s="1">
        <v>40907</v>
      </c>
      <c r="N874" t="s">
        <v>101</v>
      </c>
      <c r="O874"/>
      <c r="P874"/>
      <c r="Q874"/>
    </row>
    <row r="875" spans="1:17" x14ac:dyDescent="0.3">
      <c r="A875" t="str">
        <f>"12659"</f>
        <v>12659</v>
      </c>
      <c r="B875">
        <v>98661</v>
      </c>
      <c r="C875">
        <v>1</v>
      </c>
      <c r="D875" t="str">
        <f>"SO"</f>
        <v>SO</v>
      </c>
      <c r="E875"/>
      <c r="F875" s="19">
        <v>40554.341990740744</v>
      </c>
      <c r="G875"/>
      <c r="H875">
        <v>1</v>
      </c>
      <c r="I875">
        <v>0</v>
      </c>
      <c r="J875"/>
      <c r="K875"/>
      <c r="L875"/>
      <c r="M875" s="1">
        <v>40907</v>
      </c>
      <c r="N875" t="s">
        <v>101</v>
      </c>
      <c r="O875"/>
      <c r="P875"/>
      <c r="Q875"/>
    </row>
    <row r="876" spans="1:17" x14ac:dyDescent="0.3">
      <c r="A876" t="str">
        <f>"12658"</f>
        <v>12658</v>
      </c>
      <c r="B876">
        <v>98774</v>
      </c>
      <c r="C876">
        <v>1</v>
      </c>
      <c r="D876" t="str">
        <f>"SO"</f>
        <v>SO</v>
      </c>
      <c r="E876"/>
      <c r="F876" s="19">
        <v>40554.34097222222</v>
      </c>
      <c r="G876"/>
      <c r="H876">
        <v>1</v>
      </c>
      <c r="I876">
        <v>0</v>
      </c>
      <c r="J876"/>
      <c r="K876"/>
      <c r="L876"/>
      <c r="M876" s="1">
        <v>40907</v>
      </c>
      <c r="N876" t="s">
        <v>101</v>
      </c>
      <c r="O876"/>
      <c r="P876"/>
      <c r="Q876"/>
    </row>
    <row r="877" spans="1:17" x14ac:dyDescent="0.3">
      <c r="A877" t="str">
        <f>"12657"</f>
        <v>12657</v>
      </c>
      <c r="B877">
        <v>98887</v>
      </c>
      <c r="C877">
        <v>1</v>
      </c>
      <c r="D877" t="str">
        <f>"SO"</f>
        <v>SO</v>
      </c>
      <c r="E877"/>
      <c r="F877" s="19">
        <v>40554.340439814812</v>
      </c>
      <c r="G877"/>
      <c r="H877">
        <v>1</v>
      </c>
      <c r="I877">
        <v>0</v>
      </c>
      <c r="J877"/>
      <c r="K877"/>
      <c r="L877"/>
      <c r="M877" s="1">
        <v>40907</v>
      </c>
      <c r="N877" t="s">
        <v>101</v>
      </c>
      <c r="O877"/>
      <c r="P877"/>
      <c r="Q877"/>
    </row>
    <row r="878" spans="1:17" x14ac:dyDescent="0.3">
      <c r="A878" t="str">
        <f>"12656"</f>
        <v>12656</v>
      </c>
      <c r="B878">
        <v>99000</v>
      </c>
      <c r="C878">
        <v>1</v>
      </c>
      <c r="D878" t="str">
        <f>"SO"</f>
        <v>SO</v>
      </c>
      <c r="E878"/>
      <c r="F878" s="19">
        <v>40554.339895833335</v>
      </c>
      <c r="G878"/>
      <c r="H878">
        <v>1</v>
      </c>
      <c r="I878">
        <v>0</v>
      </c>
      <c r="J878"/>
      <c r="K878"/>
      <c r="L878"/>
      <c r="M878" s="1">
        <v>40907</v>
      </c>
      <c r="N878" t="s">
        <v>101</v>
      </c>
      <c r="O878"/>
      <c r="P878"/>
      <c r="Q878"/>
    </row>
    <row r="879" spans="1:17" x14ac:dyDescent="0.3">
      <c r="A879" t="str">
        <f>"12655"</f>
        <v>12655</v>
      </c>
      <c r="B879">
        <v>99113</v>
      </c>
      <c r="C879">
        <v>1</v>
      </c>
      <c r="D879" t="str">
        <f>"SO"</f>
        <v>SO</v>
      </c>
      <c r="E879"/>
      <c r="F879" s="19">
        <v>40554.339270833334</v>
      </c>
      <c r="G879"/>
      <c r="H879">
        <v>1</v>
      </c>
      <c r="I879">
        <v>0</v>
      </c>
      <c r="J879"/>
      <c r="K879"/>
      <c r="L879"/>
      <c r="M879" s="1">
        <v>40907</v>
      </c>
      <c r="N879" t="s">
        <v>101</v>
      </c>
      <c r="O879"/>
      <c r="P879"/>
      <c r="Q879"/>
    </row>
    <row r="880" spans="1:17" x14ac:dyDescent="0.3">
      <c r="A880" t="str">
        <f>"12654"</f>
        <v>12654</v>
      </c>
      <c r="B880">
        <v>99226</v>
      </c>
      <c r="C880">
        <v>1</v>
      </c>
      <c r="D880" t="str">
        <f>"SO"</f>
        <v>SO</v>
      </c>
      <c r="E880"/>
      <c r="F880" s="19">
        <v>40554.338692129626</v>
      </c>
      <c r="G880"/>
      <c r="H880">
        <v>1</v>
      </c>
      <c r="I880">
        <v>0</v>
      </c>
      <c r="J880"/>
      <c r="K880"/>
      <c r="L880"/>
      <c r="M880" s="1">
        <v>40907</v>
      </c>
      <c r="N880" t="s">
        <v>101</v>
      </c>
      <c r="O880"/>
      <c r="P880"/>
      <c r="Q880"/>
    </row>
    <row r="881" spans="1:17" x14ac:dyDescent="0.3">
      <c r="A881" t="str">
        <f>"12653"</f>
        <v>12653</v>
      </c>
      <c r="B881">
        <v>99339</v>
      </c>
      <c r="C881">
        <v>1</v>
      </c>
      <c r="D881" t="str">
        <f>"SO"</f>
        <v>SO</v>
      </c>
      <c r="E881"/>
      <c r="F881" s="19">
        <v>40554.338136574072</v>
      </c>
      <c r="G881"/>
      <c r="H881">
        <v>1</v>
      </c>
      <c r="I881">
        <v>0</v>
      </c>
      <c r="J881"/>
      <c r="K881"/>
      <c r="L881"/>
      <c r="M881" s="1">
        <v>40907</v>
      </c>
      <c r="N881" t="s">
        <v>101</v>
      </c>
      <c r="O881"/>
      <c r="P881"/>
      <c r="Q881"/>
    </row>
    <row r="882" spans="1:17" x14ac:dyDescent="0.3">
      <c r="A882" t="str">
        <f>"12652"</f>
        <v>12652</v>
      </c>
      <c r="B882">
        <v>99452</v>
      </c>
      <c r="C882">
        <v>1</v>
      </c>
      <c r="D882" t="str">
        <f>"SO"</f>
        <v>SO</v>
      </c>
      <c r="E882"/>
      <c r="F882" s="19">
        <v>40554.337581018517</v>
      </c>
      <c r="G882"/>
      <c r="H882">
        <v>1</v>
      </c>
      <c r="I882">
        <v>0</v>
      </c>
      <c r="J882"/>
      <c r="K882"/>
      <c r="L882"/>
      <c r="M882" s="1">
        <v>40907</v>
      </c>
      <c r="N882" t="s">
        <v>101</v>
      </c>
      <c r="O882"/>
      <c r="P882"/>
      <c r="Q882"/>
    </row>
    <row r="883" spans="1:17" x14ac:dyDescent="0.3">
      <c r="A883" t="str">
        <f>"12651"</f>
        <v>12651</v>
      </c>
      <c r="B883">
        <v>99565</v>
      </c>
      <c r="C883">
        <v>1</v>
      </c>
      <c r="D883" t="str">
        <f>"SO"</f>
        <v>SO</v>
      </c>
      <c r="E883"/>
      <c r="F883" s="19">
        <v>40554.336863425924</v>
      </c>
      <c r="G883"/>
      <c r="H883">
        <v>1</v>
      </c>
      <c r="I883">
        <v>0</v>
      </c>
      <c r="J883"/>
      <c r="K883"/>
      <c r="L883"/>
      <c r="M883" s="1">
        <v>40907</v>
      </c>
      <c r="N883" t="s">
        <v>101</v>
      </c>
      <c r="O883"/>
      <c r="P883"/>
      <c r="Q883"/>
    </row>
    <row r="884" spans="1:17" x14ac:dyDescent="0.3">
      <c r="A884" t="str">
        <f>"12650"</f>
        <v>12650</v>
      </c>
      <c r="B884">
        <v>99678</v>
      </c>
      <c r="C884">
        <v>1</v>
      </c>
      <c r="D884" t="str">
        <f>"SO"</f>
        <v>SO</v>
      </c>
      <c r="E884"/>
      <c r="F884" s="19">
        <v>40554.336388888885</v>
      </c>
      <c r="G884"/>
      <c r="H884">
        <v>1</v>
      </c>
      <c r="I884">
        <v>0</v>
      </c>
      <c r="J884"/>
      <c r="K884"/>
      <c r="L884"/>
      <c r="M884" s="1">
        <v>40907</v>
      </c>
      <c r="N884" t="s">
        <v>101</v>
      </c>
      <c r="O884"/>
      <c r="P884"/>
      <c r="Q884"/>
    </row>
    <row r="885" spans="1:17" x14ac:dyDescent="0.3">
      <c r="A885" t="str">
        <f>"12649"</f>
        <v>12649</v>
      </c>
      <c r="B885">
        <v>99791</v>
      </c>
      <c r="C885">
        <v>1</v>
      </c>
      <c r="D885" t="str">
        <f>"SO"</f>
        <v>SO</v>
      </c>
      <c r="E885"/>
      <c r="F885" s="19">
        <v>40554.335729166669</v>
      </c>
      <c r="G885"/>
      <c r="H885">
        <v>1</v>
      </c>
      <c r="I885">
        <v>0</v>
      </c>
      <c r="J885"/>
      <c r="K885"/>
      <c r="L885"/>
      <c r="M885" s="1">
        <v>40907</v>
      </c>
      <c r="N885" t="s">
        <v>101</v>
      </c>
      <c r="O885"/>
      <c r="P885"/>
      <c r="Q885"/>
    </row>
    <row r="886" spans="1:17" x14ac:dyDescent="0.3">
      <c r="A886" t="str">
        <f>"12648"</f>
        <v>12648</v>
      </c>
      <c r="B886">
        <v>99904</v>
      </c>
      <c r="C886">
        <v>1</v>
      </c>
      <c r="D886" t="str">
        <f>"SO"</f>
        <v>SO</v>
      </c>
      <c r="E886"/>
      <c r="F886" s="19">
        <v>40554.335173611114</v>
      </c>
      <c r="G886"/>
      <c r="H886">
        <v>1</v>
      </c>
      <c r="I886">
        <v>0</v>
      </c>
      <c r="J886"/>
      <c r="K886"/>
      <c r="L886"/>
      <c r="M886" s="1">
        <v>40907</v>
      </c>
      <c r="N886" t="s">
        <v>101</v>
      </c>
      <c r="O886"/>
      <c r="P886"/>
      <c r="Q886"/>
    </row>
    <row r="887" spans="1:17" x14ac:dyDescent="0.3">
      <c r="A887" t="str">
        <f>"12647"</f>
        <v>12647</v>
      </c>
      <c r="B887">
        <v>100017</v>
      </c>
      <c r="C887">
        <v>1</v>
      </c>
      <c r="D887" t="str">
        <f>"SO"</f>
        <v>SO</v>
      </c>
      <c r="E887"/>
      <c r="F887" s="19">
        <v>40554.334293981483</v>
      </c>
      <c r="G887"/>
      <c r="H887">
        <v>1</v>
      </c>
      <c r="I887">
        <v>0</v>
      </c>
      <c r="J887"/>
      <c r="K887"/>
      <c r="L887"/>
      <c r="M887" s="1">
        <v>40907</v>
      </c>
      <c r="N887" t="s">
        <v>101</v>
      </c>
      <c r="O887"/>
      <c r="P887"/>
      <c r="Q887"/>
    </row>
    <row r="888" spans="1:17" x14ac:dyDescent="0.3">
      <c r="A888" t="str">
        <f>"12646"</f>
        <v>12646</v>
      </c>
      <c r="B888">
        <v>100130</v>
      </c>
      <c r="C888">
        <v>1</v>
      </c>
      <c r="D888" t="str">
        <f>"SO"</f>
        <v>SO</v>
      </c>
      <c r="E888"/>
      <c r="F888" s="19">
        <v>40554.333599537036</v>
      </c>
      <c r="G888"/>
      <c r="H888">
        <v>1</v>
      </c>
      <c r="I888">
        <v>0</v>
      </c>
      <c r="J888"/>
      <c r="K888"/>
      <c r="L888"/>
      <c r="M888" s="1">
        <v>40907</v>
      </c>
      <c r="N888" t="s">
        <v>101</v>
      </c>
      <c r="O888"/>
      <c r="P888"/>
      <c r="Q888"/>
    </row>
    <row r="889" spans="1:17" x14ac:dyDescent="0.3">
      <c r="A889" t="str">
        <f>"12645"</f>
        <v>12645</v>
      </c>
      <c r="B889">
        <v>100243</v>
      </c>
      <c r="C889">
        <v>1</v>
      </c>
      <c r="D889" t="str">
        <f>"SO"</f>
        <v>SO</v>
      </c>
      <c r="E889"/>
      <c r="F889" s="19">
        <v>40554.332962962966</v>
      </c>
      <c r="G889"/>
      <c r="H889">
        <v>1</v>
      </c>
      <c r="I889">
        <v>0</v>
      </c>
      <c r="J889"/>
      <c r="K889"/>
      <c r="L889"/>
      <c r="M889" s="1">
        <v>40907</v>
      </c>
      <c r="N889" t="s">
        <v>101</v>
      </c>
      <c r="O889"/>
      <c r="P889"/>
      <c r="Q889"/>
    </row>
    <row r="890" spans="1:17" x14ac:dyDescent="0.3">
      <c r="A890" t="str">
        <f>"12644"</f>
        <v>12644</v>
      </c>
      <c r="B890">
        <v>100356</v>
      </c>
      <c r="C890">
        <v>1</v>
      </c>
      <c r="D890" t="str">
        <f>"SO"</f>
        <v>SO</v>
      </c>
      <c r="E890"/>
      <c r="F890" s="19">
        <v>40554.33222222222</v>
      </c>
      <c r="G890"/>
      <c r="H890">
        <v>1</v>
      </c>
      <c r="I890">
        <v>0</v>
      </c>
      <c r="J890"/>
      <c r="K890"/>
      <c r="L890"/>
      <c r="M890" s="1">
        <v>40907</v>
      </c>
      <c r="N890" t="s">
        <v>101</v>
      </c>
      <c r="O890"/>
      <c r="P890"/>
      <c r="Q890"/>
    </row>
    <row r="891" spans="1:17" x14ac:dyDescent="0.3">
      <c r="A891" t="str">
        <f>"12643"</f>
        <v>12643</v>
      </c>
      <c r="B891">
        <v>100469</v>
      </c>
      <c r="C891">
        <v>1</v>
      </c>
      <c r="D891" t="str">
        <f>"SO"</f>
        <v>SO</v>
      </c>
      <c r="E891"/>
      <c r="F891" s="19">
        <v>40554.33121527778</v>
      </c>
      <c r="G891"/>
      <c r="H891">
        <v>1</v>
      </c>
      <c r="I891">
        <v>0</v>
      </c>
      <c r="J891"/>
      <c r="K891"/>
      <c r="L891"/>
      <c r="M891" s="1">
        <v>40907</v>
      </c>
      <c r="N891" t="s">
        <v>101</v>
      </c>
      <c r="O891"/>
      <c r="P891"/>
      <c r="Q891"/>
    </row>
    <row r="892" spans="1:17" x14ac:dyDescent="0.3">
      <c r="A892" t="str">
        <f>"12642"</f>
        <v>12642</v>
      </c>
      <c r="B892">
        <v>100582</v>
      </c>
      <c r="C892">
        <v>1</v>
      </c>
      <c r="D892" t="str">
        <f>"SO"</f>
        <v>SO</v>
      </c>
      <c r="E892"/>
      <c r="F892" s="19">
        <v>40554.330196759256</v>
      </c>
      <c r="G892"/>
      <c r="H892">
        <v>1</v>
      </c>
      <c r="I892">
        <v>0</v>
      </c>
      <c r="J892"/>
      <c r="K892"/>
      <c r="L892"/>
      <c r="M892" s="1">
        <v>40907</v>
      </c>
      <c r="N892" t="s">
        <v>101</v>
      </c>
      <c r="O892"/>
      <c r="P892"/>
      <c r="Q892"/>
    </row>
    <row r="893" spans="1:17" x14ac:dyDescent="0.3">
      <c r="A893" t="str">
        <f>"12636"</f>
        <v>12636</v>
      </c>
      <c r="B893">
        <v>100695</v>
      </c>
      <c r="C893">
        <v>1</v>
      </c>
      <c r="D893" t="str">
        <f>"SO"</f>
        <v>SO</v>
      </c>
      <c r="E893"/>
      <c r="F893" s="19">
        <v>40549.559259259258</v>
      </c>
      <c r="G893"/>
      <c r="H893">
        <v>1</v>
      </c>
      <c r="I893">
        <v>0</v>
      </c>
      <c r="J893"/>
      <c r="K893"/>
      <c r="L893"/>
      <c r="M893" s="1">
        <v>40851</v>
      </c>
      <c r="N893" t="s">
        <v>101</v>
      </c>
      <c r="O893"/>
      <c r="P893"/>
      <c r="Q893"/>
    </row>
    <row r="894" spans="1:17" x14ac:dyDescent="0.3">
      <c r="A894" t="str">
        <f>"12609"</f>
        <v>12609</v>
      </c>
      <c r="B894">
        <v>100808</v>
      </c>
      <c r="C894">
        <v>1</v>
      </c>
      <c r="D894" t="str">
        <f>"SO"</f>
        <v>SO</v>
      </c>
      <c r="E894"/>
      <c r="F894" s="19">
        <v>40532.402303240742</v>
      </c>
      <c r="G894"/>
      <c r="H894">
        <v>1</v>
      </c>
      <c r="I894">
        <v>0</v>
      </c>
      <c r="J894"/>
      <c r="K894"/>
      <c r="L894"/>
      <c r="M894" s="1">
        <v>40532</v>
      </c>
      <c r="N894" t="s">
        <v>101</v>
      </c>
      <c r="O894"/>
      <c r="P894"/>
      <c r="Q894"/>
    </row>
    <row r="895" spans="1:17" x14ac:dyDescent="0.3">
      <c r="A895" t="str">
        <f>"12569"</f>
        <v>12569</v>
      </c>
      <c r="B895">
        <v>100921</v>
      </c>
      <c r="C895">
        <v>1</v>
      </c>
      <c r="D895" t="str">
        <f>"SO"</f>
        <v>SO</v>
      </c>
      <c r="E895"/>
      <c r="F895" s="19">
        <v>40505.477673611109</v>
      </c>
      <c r="G895"/>
      <c r="H895">
        <v>1</v>
      </c>
      <c r="I895">
        <v>0</v>
      </c>
      <c r="J895"/>
      <c r="K895"/>
      <c r="L895"/>
      <c r="M895" s="1">
        <v>40519</v>
      </c>
      <c r="N895" t="s">
        <v>101</v>
      </c>
      <c r="O895"/>
      <c r="P895"/>
      <c r="Q895"/>
    </row>
    <row r="896" spans="1:17" x14ac:dyDescent="0.3">
      <c r="A896" t="str">
        <f>"12569"</f>
        <v>12569</v>
      </c>
      <c r="B896">
        <v>101034</v>
      </c>
      <c r="C896">
        <v>2</v>
      </c>
      <c r="D896" t="str">
        <f>"SO"</f>
        <v>SO</v>
      </c>
      <c r="E896"/>
      <c r="F896" s="19">
        <v>40505.477673611109</v>
      </c>
      <c r="G896"/>
      <c r="H896">
        <v>1</v>
      </c>
      <c r="I896">
        <v>0</v>
      </c>
      <c r="J896"/>
      <c r="K896"/>
      <c r="L896"/>
      <c r="M896" s="1">
        <v>40519</v>
      </c>
      <c r="N896" t="s">
        <v>101</v>
      </c>
      <c r="O896"/>
      <c r="P896"/>
      <c r="Q896"/>
    </row>
    <row r="897" spans="1:17" x14ac:dyDescent="0.3">
      <c r="A897" t="str">
        <f>"12446"</f>
        <v>12446</v>
      </c>
      <c r="B897">
        <v>101147</v>
      </c>
      <c r="C897">
        <v>1</v>
      </c>
      <c r="D897" t="str">
        <f>"SO"</f>
        <v>SO</v>
      </c>
      <c r="E897"/>
      <c r="F897" s="19">
        <v>40443.354837962965</v>
      </c>
      <c r="G897"/>
      <c r="H897">
        <v>4</v>
      </c>
      <c r="I897">
        <v>0</v>
      </c>
      <c r="J897"/>
      <c r="K897"/>
      <c r="L897"/>
      <c r="M897" s="1">
        <v>40471</v>
      </c>
      <c r="N897" t="s">
        <v>101</v>
      </c>
      <c r="O897"/>
      <c r="P897"/>
      <c r="Q897"/>
    </row>
    <row r="898" spans="1:17" x14ac:dyDescent="0.3">
      <c r="A898" t="str">
        <f>"12353"</f>
        <v>12353</v>
      </c>
      <c r="B898">
        <v>101260</v>
      </c>
      <c r="C898">
        <v>2</v>
      </c>
      <c r="D898" t="str">
        <f>"SO"</f>
        <v>SO</v>
      </c>
      <c r="E898"/>
      <c r="F898" s="19">
        <v>40414.347673611112</v>
      </c>
      <c r="G898"/>
      <c r="H898">
        <v>1</v>
      </c>
      <c r="I898">
        <v>0</v>
      </c>
      <c r="J898"/>
      <c r="K898"/>
      <c r="L898"/>
      <c r="M898" s="1">
        <v>40427</v>
      </c>
      <c r="N898" t="s">
        <v>101</v>
      </c>
      <c r="O898"/>
      <c r="P898"/>
      <c r="Q898"/>
    </row>
    <row r="899" spans="1:17" x14ac:dyDescent="0.3">
      <c r="A899" t="str">
        <f>"12272"</f>
        <v>12272</v>
      </c>
      <c r="B899">
        <v>101373</v>
      </c>
      <c r="C899">
        <v>1</v>
      </c>
      <c r="D899" t="str">
        <f>"AN"</f>
        <v>AN</v>
      </c>
      <c r="E899"/>
      <c r="F899" s="19">
        <v>40374.387662037036</v>
      </c>
      <c r="G899"/>
      <c r="H899">
        <v>1</v>
      </c>
      <c r="I899">
        <v>0</v>
      </c>
      <c r="J899"/>
      <c r="K899"/>
      <c r="L899"/>
      <c r="M899" s="1">
        <v>40382</v>
      </c>
      <c r="N899" t="s">
        <v>101</v>
      </c>
      <c r="O899"/>
      <c r="P899"/>
      <c r="Q899"/>
    </row>
    <row r="900" spans="1:17" x14ac:dyDescent="0.3">
      <c r="A900" t="str">
        <f>"12272"</f>
        <v>12272</v>
      </c>
      <c r="B900">
        <v>101486</v>
      </c>
      <c r="C900">
        <v>2</v>
      </c>
      <c r="D900" t="str">
        <f>"AN"</f>
        <v>AN</v>
      </c>
      <c r="E900"/>
      <c r="F900" s="19">
        <v>40374.388344907406</v>
      </c>
      <c r="G900"/>
      <c r="H900">
        <v>3</v>
      </c>
      <c r="I900">
        <v>0</v>
      </c>
      <c r="J900"/>
      <c r="K900"/>
      <c r="L900"/>
      <c r="M900" s="1">
        <v>40382</v>
      </c>
      <c r="N900" t="s">
        <v>101</v>
      </c>
      <c r="O900"/>
      <c r="P900"/>
      <c r="Q900"/>
    </row>
    <row r="901" spans="1:17" x14ac:dyDescent="0.3">
      <c r="A901" t="str">
        <f>"12272"</f>
        <v>12272</v>
      </c>
      <c r="B901">
        <v>101599</v>
      </c>
      <c r="C901">
        <v>3</v>
      </c>
      <c r="D901" t="str">
        <f>"AN"</f>
        <v>AN</v>
      </c>
      <c r="E901"/>
      <c r="F901" s="19">
        <v>40374.388344907406</v>
      </c>
      <c r="G901"/>
      <c r="H901">
        <v>3</v>
      </c>
      <c r="I901">
        <v>0</v>
      </c>
      <c r="J901"/>
      <c r="K901"/>
      <c r="L901"/>
      <c r="M901" s="1">
        <v>40382</v>
      </c>
      <c r="N901" t="s">
        <v>101</v>
      </c>
      <c r="O901"/>
      <c r="P901"/>
      <c r="Q901"/>
    </row>
    <row r="902" spans="1:17" x14ac:dyDescent="0.3">
      <c r="A902" t="str">
        <f>"12243"</f>
        <v>12243</v>
      </c>
      <c r="B902">
        <v>101712</v>
      </c>
      <c r="C902">
        <v>1</v>
      </c>
      <c r="D902" t="str">
        <f>"SO"</f>
        <v>SO</v>
      </c>
      <c r="E902"/>
      <c r="F902" s="19">
        <v>40360.560219907406</v>
      </c>
      <c r="G902"/>
      <c r="H902">
        <v>1</v>
      </c>
      <c r="I902">
        <v>0</v>
      </c>
      <c r="J902"/>
      <c r="K902"/>
      <c r="L902"/>
      <c r="M902" s="1">
        <v>40388</v>
      </c>
      <c r="N902" t="s">
        <v>101</v>
      </c>
      <c r="O902"/>
      <c r="P902"/>
      <c r="Q902"/>
    </row>
    <row r="903" spans="1:17" x14ac:dyDescent="0.3">
      <c r="A903" t="str">
        <f>"12228"</f>
        <v>12228</v>
      </c>
      <c r="B903">
        <v>101825</v>
      </c>
      <c r="C903">
        <v>1</v>
      </c>
      <c r="D903" t="str">
        <f>"SO"</f>
        <v>SO</v>
      </c>
      <c r="E903"/>
      <c r="F903" s="19">
        <v>40352.687615740739</v>
      </c>
      <c r="G903"/>
      <c r="H903">
        <v>1</v>
      </c>
      <c r="I903">
        <v>0</v>
      </c>
      <c r="J903"/>
      <c r="K903"/>
      <c r="L903"/>
      <c r="M903" s="1">
        <v>40373</v>
      </c>
      <c r="N903" t="s">
        <v>101</v>
      </c>
      <c r="O903"/>
      <c r="P903"/>
      <c r="Q903"/>
    </row>
    <row r="904" spans="1:17" x14ac:dyDescent="0.3">
      <c r="A904" t="str">
        <f>"12224"</f>
        <v>12224</v>
      </c>
      <c r="B904">
        <v>101938</v>
      </c>
      <c r="C904">
        <v>1</v>
      </c>
      <c r="D904" t="str">
        <f>"SO"</f>
        <v>SO</v>
      </c>
      <c r="E904"/>
      <c r="F904" s="19">
        <v>40351.372164351851</v>
      </c>
      <c r="G904"/>
      <c r="H904">
        <v>1</v>
      </c>
      <c r="I904">
        <v>0</v>
      </c>
      <c r="J904"/>
      <c r="K904"/>
      <c r="L904"/>
      <c r="M904" s="1">
        <v>40359</v>
      </c>
      <c r="N904" t="s">
        <v>101</v>
      </c>
      <c r="O904"/>
      <c r="P904"/>
      <c r="Q904"/>
    </row>
    <row r="905" spans="1:17" x14ac:dyDescent="0.3">
      <c r="A905" t="str">
        <f>"12217"</f>
        <v>12217</v>
      </c>
      <c r="B905">
        <v>102051</v>
      </c>
      <c r="C905">
        <v>1</v>
      </c>
      <c r="D905" t="str">
        <f>"SO"</f>
        <v>SO</v>
      </c>
      <c r="E905"/>
      <c r="F905" s="19">
        <v>40345.642708333333</v>
      </c>
      <c r="G905"/>
      <c r="H905">
        <v>1</v>
      </c>
      <c r="I905">
        <v>0</v>
      </c>
      <c r="J905"/>
      <c r="K905"/>
      <c r="L905"/>
      <c r="M905" s="1">
        <v>40527</v>
      </c>
      <c r="N905" t="s">
        <v>101</v>
      </c>
      <c r="O905"/>
      <c r="P905"/>
      <c r="Q905"/>
    </row>
    <row r="906" spans="1:17" x14ac:dyDescent="0.3">
      <c r="A906" t="str">
        <f>"12217"</f>
        <v>12217</v>
      </c>
      <c r="B906">
        <v>102164</v>
      </c>
      <c r="C906">
        <v>9</v>
      </c>
      <c r="D906" t="str">
        <f>"SO"</f>
        <v>SO</v>
      </c>
      <c r="E906"/>
      <c r="F906" s="19">
        <v>40701.60328703704</v>
      </c>
      <c r="G906"/>
      <c r="H906">
        <v>1</v>
      </c>
      <c r="I906">
        <v>0</v>
      </c>
      <c r="J906"/>
      <c r="K906"/>
      <c r="L906"/>
      <c r="M906" s="1">
        <v>40715</v>
      </c>
      <c r="N906" t="s">
        <v>101</v>
      </c>
      <c r="O906"/>
      <c r="P906"/>
      <c r="Q906"/>
    </row>
    <row r="907" spans="1:17" x14ac:dyDescent="0.3">
      <c r="A907" t="str">
        <f>"12034"</f>
        <v>12034</v>
      </c>
      <c r="B907">
        <v>102277</v>
      </c>
      <c r="C907">
        <v>1</v>
      </c>
      <c r="D907" t="str">
        <f>"SO"</f>
        <v>SO</v>
      </c>
      <c r="E907"/>
      <c r="F907" s="19">
        <v>40281.665439814817</v>
      </c>
      <c r="G907"/>
      <c r="H907">
        <v>4</v>
      </c>
      <c r="I907">
        <v>0</v>
      </c>
      <c r="J907"/>
      <c r="K907"/>
      <c r="L907"/>
      <c r="M907" s="1">
        <v>40288</v>
      </c>
      <c r="N907" t="s">
        <v>101</v>
      </c>
      <c r="O907"/>
      <c r="P907"/>
      <c r="Q907"/>
    </row>
    <row r="908" spans="1:17" x14ac:dyDescent="0.3">
      <c r="A908" t="str">
        <f>"12034"</f>
        <v>12034</v>
      </c>
      <c r="B908">
        <v>102390</v>
      </c>
      <c r="C908">
        <v>2</v>
      </c>
      <c r="D908" t="str">
        <f>"SO"</f>
        <v>SO</v>
      </c>
      <c r="E908"/>
      <c r="F908" s="19">
        <v>40281.665439814817</v>
      </c>
      <c r="G908"/>
      <c r="H908">
        <v>2</v>
      </c>
      <c r="I908">
        <v>0</v>
      </c>
      <c r="J908"/>
      <c r="K908"/>
      <c r="L908"/>
      <c r="M908" s="1">
        <v>40288</v>
      </c>
      <c r="N908" t="s">
        <v>101</v>
      </c>
      <c r="O908"/>
      <c r="P908"/>
      <c r="Q908"/>
    </row>
    <row r="909" spans="1:17" x14ac:dyDescent="0.3">
      <c r="A909" t="str">
        <f>"11971"</f>
        <v>11971</v>
      </c>
      <c r="B909">
        <v>102503</v>
      </c>
      <c r="C909">
        <v>1</v>
      </c>
      <c r="D909" t="str">
        <f>"SO"</f>
        <v>SO</v>
      </c>
      <c r="E909"/>
      <c r="F909" s="19">
        <v>40263.404872685183</v>
      </c>
      <c r="G909"/>
      <c r="H909">
        <v>1</v>
      </c>
      <c r="I909">
        <v>0</v>
      </c>
      <c r="J909"/>
      <c r="K909"/>
      <c r="L909"/>
      <c r="M909" s="1">
        <v>40543</v>
      </c>
      <c r="N909" t="s">
        <v>101</v>
      </c>
      <c r="O909"/>
      <c r="P909"/>
      <c r="Q909"/>
    </row>
    <row r="910" spans="1:17" x14ac:dyDescent="0.3">
      <c r="A910" t="str">
        <f>"11843"</f>
        <v>11843</v>
      </c>
      <c r="B910">
        <v>102616</v>
      </c>
      <c r="C910">
        <v>1</v>
      </c>
      <c r="D910" t="str">
        <f>"SO"</f>
        <v>SO</v>
      </c>
      <c r="E910"/>
      <c r="F910" s="19">
        <v>40227.343298611115</v>
      </c>
      <c r="G910"/>
      <c r="H910">
        <v>1</v>
      </c>
      <c r="I910">
        <v>0</v>
      </c>
      <c r="J910"/>
      <c r="K910"/>
      <c r="L910"/>
      <c r="M910" s="1">
        <v>40256</v>
      </c>
      <c r="N910" t="s">
        <v>101</v>
      </c>
      <c r="O910"/>
      <c r="P910"/>
      <c r="Q910"/>
    </row>
    <row r="911" spans="1:17" x14ac:dyDescent="0.3">
      <c r="A911" t="str">
        <f>"11772"</f>
        <v>11772</v>
      </c>
      <c r="B911">
        <v>102729</v>
      </c>
      <c r="C911">
        <v>1</v>
      </c>
      <c r="D911" t="str">
        <f>"SO"</f>
        <v>SO</v>
      </c>
      <c r="E911"/>
      <c r="F911" s="19">
        <v>40198.354861111111</v>
      </c>
      <c r="G911"/>
      <c r="H911">
        <v>1</v>
      </c>
      <c r="I911">
        <v>0</v>
      </c>
      <c r="J911"/>
      <c r="K911"/>
      <c r="L911"/>
      <c r="M911" s="1">
        <v>40421</v>
      </c>
      <c r="N911" t="s">
        <v>101</v>
      </c>
      <c r="O911"/>
      <c r="P911"/>
      <c r="Q911"/>
    </row>
    <row r="912" spans="1:17" x14ac:dyDescent="0.3">
      <c r="A912" t="str">
        <f>"11739"</f>
        <v>11739</v>
      </c>
      <c r="B912">
        <v>102842</v>
      </c>
      <c r="C912">
        <v>1</v>
      </c>
      <c r="D912" t="str">
        <f>"SO"</f>
        <v>SO</v>
      </c>
      <c r="E912"/>
      <c r="F912" s="19">
        <v>40185.629629629628</v>
      </c>
      <c r="G912"/>
      <c r="H912">
        <v>1</v>
      </c>
      <c r="I912">
        <v>0</v>
      </c>
      <c r="J912"/>
      <c r="K912"/>
      <c r="L912"/>
      <c r="M912" s="1">
        <v>40543</v>
      </c>
      <c r="N912" t="s">
        <v>101</v>
      </c>
      <c r="O912"/>
      <c r="P912"/>
      <c r="Q912"/>
    </row>
    <row r="913" spans="1:17" x14ac:dyDescent="0.3">
      <c r="A913" t="str">
        <f>"11738"</f>
        <v>11738</v>
      </c>
      <c r="B913">
        <v>102955</v>
      </c>
      <c r="C913">
        <v>1</v>
      </c>
      <c r="D913" t="str">
        <f>"SO"</f>
        <v>SO</v>
      </c>
      <c r="E913"/>
      <c r="F913" s="19">
        <v>40185.628969907404</v>
      </c>
      <c r="G913"/>
      <c r="H913">
        <v>1</v>
      </c>
      <c r="I913">
        <v>0</v>
      </c>
      <c r="J913"/>
      <c r="K913"/>
      <c r="L913"/>
      <c r="M913" s="1">
        <v>40543</v>
      </c>
      <c r="N913" t="s">
        <v>101</v>
      </c>
      <c r="O913"/>
      <c r="P913"/>
      <c r="Q913"/>
    </row>
    <row r="914" spans="1:17" x14ac:dyDescent="0.3">
      <c r="A914" t="str">
        <f>"11737"</f>
        <v>11737</v>
      </c>
      <c r="B914">
        <v>103068</v>
      </c>
      <c r="C914">
        <v>1</v>
      </c>
      <c r="D914" t="str">
        <f>"SO"</f>
        <v>SO</v>
      </c>
      <c r="E914"/>
      <c r="F914" s="19">
        <v>40185.628344907411</v>
      </c>
      <c r="G914"/>
      <c r="H914">
        <v>1</v>
      </c>
      <c r="I914">
        <v>0</v>
      </c>
      <c r="J914"/>
      <c r="K914"/>
      <c r="L914"/>
      <c r="M914" s="1">
        <v>40543</v>
      </c>
      <c r="N914" t="s">
        <v>101</v>
      </c>
      <c r="O914"/>
      <c r="P914"/>
      <c r="Q914"/>
    </row>
    <row r="915" spans="1:17" x14ac:dyDescent="0.3">
      <c r="A915" t="str">
        <f>"11736"</f>
        <v>11736</v>
      </c>
      <c r="B915">
        <v>103181</v>
      </c>
      <c r="C915">
        <v>1</v>
      </c>
      <c r="D915" t="str">
        <f>"SO"</f>
        <v>SO</v>
      </c>
      <c r="E915"/>
      <c r="F915" s="19">
        <v>40185.627592592595</v>
      </c>
      <c r="G915"/>
      <c r="H915">
        <v>1</v>
      </c>
      <c r="I915">
        <v>0</v>
      </c>
      <c r="J915"/>
      <c r="K915"/>
      <c r="L915"/>
      <c r="M915" s="1">
        <v>40543</v>
      </c>
      <c r="N915" t="s">
        <v>101</v>
      </c>
      <c r="O915"/>
      <c r="P915"/>
      <c r="Q915"/>
    </row>
    <row r="916" spans="1:17" x14ac:dyDescent="0.3">
      <c r="A916" t="str">
        <f>"11735"</f>
        <v>11735</v>
      </c>
      <c r="B916">
        <v>103294</v>
      </c>
      <c r="C916">
        <v>1</v>
      </c>
      <c r="D916" t="str">
        <f>"SO"</f>
        <v>SO</v>
      </c>
      <c r="E916"/>
      <c r="F916" s="19">
        <v>40185.626782407409</v>
      </c>
      <c r="G916"/>
      <c r="H916">
        <v>1</v>
      </c>
      <c r="I916">
        <v>0</v>
      </c>
      <c r="J916"/>
      <c r="K916"/>
      <c r="L916"/>
      <c r="M916" s="1">
        <v>40543</v>
      </c>
      <c r="N916" t="s">
        <v>101</v>
      </c>
      <c r="O916"/>
      <c r="P916"/>
      <c r="Q916"/>
    </row>
    <row r="917" spans="1:17" x14ac:dyDescent="0.3">
      <c r="A917" t="str">
        <f>"11734"</f>
        <v>11734</v>
      </c>
      <c r="B917">
        <v>103407</v>
      </c>
      <c r="C917">
        <v>1</v>
      </c>
      <c r="D917" t="str">
        <f>"SO"</f>
        <v>SO</v>
      </c>
      <c r="E917"/>
      <c r="F917" s="19">
        <v>40185.626076388886</v>
      </c>
      <c r="G917"/>
      <c r="H917">
        <v>1</v>
      </c>
      <c r="I917">
        <v>0</v>
      </c>
      <c r="J917"/>
      <c r="K917"/>
      <c r="L917"/>
      <c r="M917" s="1">
        <v>40543</v>
      </c>
      <c r="N917" t="s">
        <v>101</v>
      </c>
      <c r="O917"/>
      <c r="P917"/>
      <c r="Q917"/>
    </row>
    <row r="918" spans="1:17" x14ac:dyDescent="0.3">
      <c r="A918" t="str">
        <f>"11733"</f>
        <v>11733</v>
      </c>
      <c r="B918">
        <v>103520</v>
      </c>
      <c r="C918">
        <v>1</v>
      </c>
      <c r="D918" t="str">
        <f>"SO"</f>
        <v>SO</v>
      </c>
      <c r="E918"/>
      <c r="F918" s="19">
        <v>40185.625243055554</v>
      </c>
      <c r="G918"/>
      <c r="H918">
        <v>1</v>
      </c>
      <c r="I918">
        <v>0</v>
      </c>
      <c r="J918"/>
      <c r="K918"/>
      <c r="L918"/>
      <c r="M918" s="1">
        <v>40543</v>
      </c>
      <c r="N918" t="s">
        <v>101</v>
      </c>
      <c r="O918"/>
      <c r="P918"/>
      <c r="Q918"/>
    </row>
    <row r="919" spans="1:17" x14ac:dyDescent="0.3">
      <c r="A919" t="str">
        <f>"11732"</f>
        <v>11732</v>
      </c>
      <c r="B919">
        <v>103633</v>
      </c>
      <c r="C919">
        <v>1</v>
      </c>
      <c r="D919" t="str">
        <f>"SO"</f>
        <v>SO</v>
      </c>
      <c r="E919"/>
      <c r="F919" s="19">
        <v>40185.624293981484</v>
      </c>
      <c r="G919"/>
      <c r="H919">
        <v>1</v>
      </c>
      <c r="I919">
        <v>0</v>
      </c>
      <c r="J919"/>
      <c r="K919"/>
      <c r="L919"/>
      <c r="M919" s="1">
        <v>40543</v>
      </c>
      <c r="N919" t="s">
        <v>101</v>
      </c>
      <c r="O919"/>
      <c r="P919"/>
      <c r="Q919"/>
    </row>
    <row r="920" spans="1:17" x14ac:dyDescent="0.3">
      <c r="A920" t="str">
        <f>"11731"</f>
        <v>11731</v>
      </c>
      <c r="B920">
        <v>103746</v>
      </c>
      <c r="C920">
        <v>1</v>
      </c>
      <c r="D920" t="str">
        <f>"SO"</f>
        <v>SO</v>
      </c>
      <c r="E920"/>
      <c r="F920" s="19">
        <v>40185.623333333337</v>
      </c>
      <c r="G920"/>
      <c r="H920">
        <v>1</v>
      </c>
      <c r="I920">
        <v>0</v>
      </c>
      <c r="J920"/>
      <c r="K920"/>
      <c r="L920"/>
      <c r="M920" s="1">
        <v>40543</v>
      </c>
      <c r="N920" t="s">
        <v>101</v>
      </c>
      <c r="O920"/>
      <c r="P920"/>
      <c r="Q920"/>
    </row>
    <row r="921" spans="1:17" x14ac:dyDescent="0.3">
      <c r="A921" t="str">
        <f>"11730"</f>
        <v>11730</v>
      </c>
      <c r="B921">
        <v>103859</v>
      </c>
      <c r="C921">
        <v>1</v>
      </c>
      <c r="D921" t="str">
        <f>"SO"</f>
        <v>SO</v>
      </c>
      <c r="E921"/>
      <c r="F921" s="19">
        <v>40185.62259259259</v>
      </c>
      <c r="G921"/>
      <c r="H921">
        <v>1</v>
      </c>
      <c r="I921">
        <v>0</v>
      </c>
      <c r="J921"/>
      <c r="K921"/>
      <c r="L921"/>
      <c r="M921" s="1">
        <v>40543</v>
      </c>
      <c r="N921" t="s">
        <v>101</v>
      </c>
      <c r="O921"/>
      <c r="P921"/>
      <c r="Q921"/>
    </row>
    <row r="922" spans="1:17" x14ac:dyDescent="0.3">
      <c r="A922" t="str">
        <f>"11729"</f>
        <v>11729</v>
      </c>
      <c r="B922">
        <v>103972</v>
      </c>
      <c r="C922">
        <v>1</v>
      </c>
      <c r="D922" t="str">
        <f>"SO"</f>
        <v>SO</v>
      </c>
      <c r="E922"/>
      <c r="F922" s="19">
        <v>40185.619687500002</v>
      </c>
      <c r="G922"/>
      <c r="H922">
        <v>1</v>
      </c>
      <c r="I922">
        <v>0</v>
      </c>
      <c r="J922"/>
      <c r="K922"/>
      <c r="L922"/>
      <c r="M922" s="1">
        <v>40543</v>
      </c>
      <c r="N922" t="s">
        <v>101</v>
      </c>
      <c r="O922"/>
      <c r="P922"/>
      <c r="Q922"/>
    </row>
    <row r="923" spans="1:17" x14ac:dyDescent="0.3">
      <c r="A923" t="str">
        <f>"11728"</f>
        <v>11728</v>
      </c>
      <c r="B923">
        <v>104085</v>
      </c>
      <c r="C923">
        <v>1</v>
      </c>
      <c r="D923" t="str">
        <f>"SO"</f>
        <v>SO</v>
      </c>
      <c r="E923"/>
      <c r="F923" s="19">
        <v>40185.618368055555</v>
      </c>
      <c r="G923"/>
      <c r="H923">
        <v>1</v>
      </c>
      <c r="I923">
        <v>0</v>
      </c>
      <c r="J923"/>
      <c r="K923"/>
      <c r="L923"/>
      <c r="M923" s="1">
        <v>40543</v>
      </c>
      <c r="N923" t="s">
        <v>101</v>
      </c>
      <c r="O923"/>
      <c r="P923"/>
      <c r="Q923"/>
    </row>
    <row r="924" spans="1:17" x14ac:dyDescent="0.3">
      <c r="A924" t="str">
        <f>"11727"</f>
        <v>11727</v>
      </c>
      <c r="B924">
        <v>104198</v>
      </c>
      <c r="C924">
        <v>1</v>
      </c>
      <c r="D924" t="str">
        <f>"SO"</f>
        <v>SO</v>
      </c>
      <c r="E924"/>
      <c r="F924" s="19">
        <v>40185.617465277777</v>
      </c>
      <c r="G924"/>
      <c r="H924">
        <v>1</v>
      </c>
      <c r="I924">
        <v>0</v>
      </c>
      <c r="J924"/>
      <c r="K924"/>
      <c r="L924"/>
      <c r="M924" s="1">
        <v>40543</v>
      </c>
      <c r="N924" t="s">
        <v>101</v>
      </c>
      <c r="O924"/>
      <c r="P924"/>
      <c r="Q924"/>
    </row>
    <row r="925" spans="1:17" x14ac:dyDescent="0.3">
      <c r="A925" t="str">
        <f>"11726"</f>
        <v>11726</v>
      </c>
      <c r="B925">
        <v>104311</v>
      </c>
      <c r="C925">
        <v>1</v>
      </c>
      <c r="D925" t="str">
        <f>"SO"</f>
        <v>SO</v>
      </c>
      <c r="E925"/>
      <c r="F925" s="19">
        <v>40185.616689814815</v>
      </c>
      <c r="G925"/>
      <c r="H925">
        <v>1</v>
      </c>
      <c r="I925">
        <v>0</v>
      </c>
      <c r="J925"/>
      <c r="K925"/>
      <c r="L925"/>
      <c r="M925" s="1">
        <v>40543</v>
      </c>
      <c r="N925" t="s">
        <v>101</v>
      </c>
      <c r="O925"/>
      <c r="P925"/>
      <c r="Q925"/>
    </row>
    <row r="926" spans="1:17" x14ac:dyDescent="0.3">
      <c r="A926" t="str">
        <f>"11725"</f>
        <v>11725</v>
      </c>
      <c r="B926">
        <v>104424</v>
      </c>
      <c r="C926">
        <v>1</v>
      </c>
      <c r="D926" t="str">
        <f>"SO"</f>
        <v>SO</v>
      </c>
      <c r="E926"/>
      <c r="F926" s="19">
        <v>40185.609456018516</v>
      </c>
      <c r="G926"/>
      <c r="H926">
        <v>1</v>
      </c>
      <c r="I926">
        <v>0</v>
      </c>
      <c r="J926"/>
      <c r="K926"/>
      <c r="L926"/>
      <c r="M926" s="1">
        <v>40543</v>
      </c>
      <c r="N926" t="s">
        <v>101</v>
      </c>
      <c r="O926"/>
      <c r="P926"/>
      <c r="Q926"/>
    </row>
    <row r="927" spans="1:17" x14ac:dyDescent="0.3">
      <c r="A927" t="str">
        <f>"11724"</f>
        <v>11724</v>
      </c>
      <c r="B927">
        <v>104537</v>
      </c>
      <c r="C927">
        <v>1</v>
      </c>
      <c r="D927" t="str">
        <f>"SO"</f>
        <v>SO</v>
      </c>
      <c r="E927"/>
      <c r="F927" s="19">
        <v>40185.608668981484</v>
      </c>
      <c r="G927"/>
      <c r="H927">
        <v>1</v>
      </c>
      <c r="I927">
        <v>0</v>
      </c>
      <c r="J927"/>
      <c r="K927"/>
      <c r="L927"/>
      <c r="M927" s="1">
        <v>40543</v>
      </c>
      <c r="N927" t="s">
        <v>101</v>
      </c>
      <c r="O927"/>
      <c r="P927"/>
      <c r="Q927"/>
    </row>
    <row r="928" spans="1:17" x14ac:dyDescent="0.3">
      <c r="A928" t="str">
        <f>"11723"</f>
        <v>11723</v>
      </c>
      <c r="B928">
        <v>104650</v>
      </c>
      <c r="C928">
        <v>1</v>
      </c>
      <c r="D928" t="str">
        <f>"SO"</f>
        <v>SO</v>
      </c>
      <c r="E928"/>
      <c r="F928" s="19">
        <v>40185.60670138889</v>
      </c>
      <c r="G928"/>
      <c r="H928">
        <v>1</v>
      </c>
      <c r="I928">
        <v>0</v>
      </c>
      <c r="J928"/>
      <c r="K928"/>
      <c r="L928"/>
      <c r="M928" s="1">
        <v>40543</v>
      </c>
      <c r="N928" t="s">
        <v>101</v>
      </c>
      <c r="O928"/>
      <c r="P928"/>
      <c r="Q928"/>
    </row>
    <row r="929" spans="1:17" x14ac:dyDescent="0.3">
      <c r="A929" t="str">
        <f>"11722"</f>
        <v>11722</v>
      </c>
      <c r="B929">
        <v>104763</v>
      </c>
      <c r="C929">
        <v>1</v>
      </c>
      <c r="D929" t="str">
        <f>"SO"</f>
        <v>SO</v>
      </c>
      <c r="E929"/>
      <c r="F929" s="19">
        <v>40185.596608796295</v>
      </c>
      <c r="G929"/>
      <c r="H929">
        <v>1</v>
      </c>
      <c r="I929">
        <v>0</v>
      </c>
      <c r="J929"/>
      <c r="K929"/>
      <c r="L929"/>
      <c r="M929" s="1">
        <v>40543</v>
      </c>
      <c r="N929" t="s">
        <v>101</v>
      </c>
      <c r="O929"/>
      <c r="P929"/>
      <c r="Q929"/>
    </row>
    <row r="930" spans="1:17" x14ac:dyDescent="0.3">
      <c r="A930" t="str">
        <f>"11721"</f>
        <v>11721</v>
      </c>
      <c r="B930">
        <v>104876</v>
      </c>
      <c r="C930">
        <v>1</v>
      </c>
      <c r="D930" t="str">
        <f>"SO"</f>
        <v>SO</v>
      </c>
      <c r="E930"/>
      <c r="F930" s="19">
        <v>40185.59511574074</v>
      </c>
      <c r="G930"/>
      <c r="H930">
        <v>1</v>
      </c>
      <c r="I930">
        <v>0</v>
      </c>
      <c r="J930"/>
      <c r="K930"/>
      <c r="L930"/>
      <c r="M930" s="1">
        <v>40543</v>
      </c>
      <c r="N930" t="s">
        <v>101</v>
      </c>
      <c r="O930"/>
      <c r="P930"/>
      <c r="Q930"/>
    </row>
    <row r="931" spans="1:17" x14ac:dyDescent="0.3">
      <c r="A931" t="str">
        <f>"11720"</f>
        <v>11720</v>
      </c>
      <c r="B931">
        <v>104989</v>
      </c>
      <c r="C931">
        <v>1</v>
      </c>
      <c r="D931" t="str">
        <f>"SO"</f>
        <v>SO</v>
      </c>
      <c r="E931"/>
      <c r="F931" s="19">
        <v>40185.5940162037</v>
      </c>
      <c r="G931"/>
      <c r="H931">
        <v>1</v>
      </c>
      <c r="I931">
        <v>0</v>
      </c>
      <c r="J931"/>
      <c r="K931"/>
      <c r="L931"/>
      <c r="M931" s="1">
        <v>40543</v>
      </c>
      <c r="N931" t="s">
        <v>101</v>
      </c>
      <c r="O931"/>
      <c r="P931"/>
      <c r="Q931"/>
    </row>
    <row r="932" spans="1:17" x14ac:dyDescent="0.3">
      <c r="A932" t="str">
        <f>"11719"</f>
        <v>11719</v>
      </c>
      <c r="B932">
        <v>105102</v>
      </c>
      <c r="C932">
        <v>1</v>
      </c>
      <c r="D932" t="str">
        <f>"SO"</f>
        <v>SO</v>
      </c>
      <c r="E932"/>
      <c r="F932" s="19">
        <v>40185.593124999999</v>
      </c>
      <c r="G932"/>
      <c r="H932">
        <v>1</v>
      </c>
      <c r="I932">
        <v>0</v>
      </c>
      <c r="J932"/>
      <c r="K932"/>
      <c r="L932"/>
      <c r="M932" s="1">
        <v>40543</v>
      </c>
      <c r="N932" t="s">
        <v>101</v>
      </c>
      <c r="O932"/>
      <c r="P932"/>
      <c r="Q932"/>
    </row>
    <row r="933" spans="1:17" x14ac:dyDescent="0.3">
      <c r="A933" t="str">
        <f>"11718"</f>
        <v>11718</v>
      </c>
      <c r="B933">
        <v>105215</v>
      </c>
      <c r="C933">
        <v>1</v>
      </c>
      <c r="D933" t="str">
        <f>"SO"</f>
        <v>SO</v>
      </c>
      <c r="E933"/>
      <c r="F933" s="19">
        <v>40185.584247685183</v>
      </c>
      <c r="G933"/>
      <c r="H933">
        <v>1</v>
      </c>
      <c r="I933">
        <v>0</v>
      </c>
      <c r="J933"/>
      <c r="K933"/>
      <c r="L933"/>
      <c r="M933" s="1">
        <v>40543</v>
      </c>
      <c r="N933" t="s">
        <v>101</v>
      </c>
      <c r="O933"/>
      <c r="P933"/>
      <c r="Q933"/>
    </row>
    <row r="934" spans="1:17" x14ac:dyDescent="0.3">
      <c r="A934" t="str">
        <f>"11717"</f>
        <v>11717</v>
      </c>
      <c r="B934">
        <v>105328</v>
      </c>
      <c r="C934">
        <v>1</v>
      </c>
      <c r="D934" t="str">
        <f>"SO"</f>
        <v>SO</v>
      </c>
      <c r="E934"/>
      <c r="F934" s="19">
        <v>40185.582662037035</v>
      </c>
      <c r="G934"/>
      <c r="H934">
        <v>1</v>
      </c>
      <c r="I934">
        <v>0</v>
      </c>
      <c r="J934"/>
      <c r="K934"/>
      <c r="L934"/>
      <c r="M934" s="1">
        <v>40543</v>
      </c>
      <c r="N934" t="s">
        <v>101</v>
      </c>
      <c r="O934"/>
      <c r="P934"/>
      <c r="Q934"/>
    </row>
    <row r="935" spans="1:17" x14ac:dyDescent="0.3">
      <c r="A935" t="str">
        <f>"11716"</f>
        <v>11716</v>
      </c>
      <c r="B935">
        <v>105441</v>
      </c>
      <c r="C935">
        <v>1</v>
      </c>
      <c r="D935" t="str">
        <f>"SO"</f>
        <v>SO</v>
      </c>
      <c r="E935"/>
      <c r="F935" s="19">
        <v>40185.581342592595</v>
      </c>
      <c r="G935"/>
      <c r="H935">
        <v>1</v>
      </c>
      <c r="I935">
        <v>0</v>
      </c>
      <c r="J935"/>
      <c r="K935"/>
      <c r="L935"/>
      <c r="M935" s="1">
        <v>40543</v>
      </c>
      <c r="N935" t="s">
        <v>101</v>
      </c>
      <c r="O935"/>
      <c r="P935"/>
      <c r="Q935"/>
    </row>
    <row r="936" spans="1:17" x14ac:dyDescent="0.3">
      <c r="A936" t="str">
        <f>"11715"</f>
        <v>11715</v>
      </c>
      <c r="B936">
        <v>105554</v>
      </c>
      <c r="C936">
        <v>1</v>
      </c>
      <c r="D936" t="str">
        <f>"SO"</f>
        <v>SO</v>
      </c>
      <c r="E936"/>
      <c r="F936" s="19">
        <v>40185.580578703702</v>
      </c>
      <c r="G936"/>
      <c r="H936">
        <v>1</v>
      </c>
      <c r="I936">
        <v>0</v>
      </c>
      <c r="J936"/>
      <c r="K936"/>
      <c r="L936"/>
      <c r="M936" s="1">
        <v>40543</v>
      </c>
      <c r="N936" t="s">
        <v>101</v>
      </c>
      <c r="O936"/>
      <c r="P936"/>
      <c r="Q936"/>
    </row>
    <row r="937" spans="1:17" x14ac:dyDescent="0.3">
      <c r="A937" t="str">
        <f>"11714"</f>
        <v>11714</v>
      </c>
      <c r="B937">
        <v>105667</v>
      </c>
      <c r="C937">
        <v>1</v>
      </c>
      <c r="D937" t="str">
        <f>"SO"</f>
        <v>SO</v>
      </c>
      <c r="E937"/>
      <c r="F937" s="19">
        <v>40185.579872685186</v>
      </c>
      <c r="G937"/>
      <c r="H937">
        <v>1</v>
      </c>
      <c r="I937">
        <v>0</v>
      </c>
      <c r="J937"/>
      <c r="K937"/>
      <c r="L937"/>
      <c r="M937" s="1">
        <v>40543</v>
      </c>
      <c r="N937" t="s">
        <v>101</v>
      </c>
      <c r="O937"/>
      <c r="P937"/>
      <c r="Q937"/>
    </row>
    <row r="938" spans="1:17" x14ac:dyDescent="0.3">
      <c r="A938" t="str">
        <f>"11713"</f>
        <v>11713</v>
      </c>
      <c r="B938">
        <v>105780</v>
      </c>
      <c r="C938">
        <v>1</v>
      </c>
      <c r="D938" t="str">
        <f>"SO"</f>
        <v>SO</v>
      </c>
      <c r="E938"/>
      <c r="F938" s="19">
        <v>40185.549270833333</v>
      </c>
      <c r="G938"/>
      <c r="H938">
        <v>1</v>
      </c>
      <c r="I938">
        <v>0</v>
      </c>
      <c r="J938"/>
      <c r="K938"/>
      <c r="L938"/>
      <c r="M938" s="1">
        <v>40543</v>
      </c>
      <c r="N938" t="s">
        <v>101</v>
      </c>
      <c r="O938"/>
      <c r="P938"/>
      <c r="Q938"/>
    </row>
    <row r="939" spans="1:17" x14ac:dyDescent="0.3">
      <c r="A939" t="str">
        <f>"11712"</f>
        <v>11712</v>
      </c>
      <c r="B939">
        <v>105893</v>
      </c>
      <c r="C939">
        <v>1</v>
      </c>
      <c r="D939" t="str">
        <f>"SO"</f>
        <v>SO</v>
      </c>
      <c r="E939"/>
      <c r="F939" s="19">
        <v>40185.548090277778</v>
      </c>
      <c r="G939"/>
      <c r="H939">
        <v>1</v>
      </c>
      <c r="I939">
        <v>0</v>
      </c>
      <c r="J939"/>
      <c r="K939"/>
      <c r="L939"/>
      <c r="M939" s="1">
        <v>40543</v>
      </c>
      <c r="N939" t="s">
        <v>101</v>
      </c>
      <c r="O939"/>
      <c r="P939"/>
      <c r="Q939"/>
    </row>
    <row r="940" spans="1:17" x14ac:dyDescent="0.3">
      <c r="A940" t="str">
        <f>"11711"</f>
        <v>11711</v>
      </c>
      <c r="B940">
        <v>106006</v>
      </c>
      <c r="C940">
        <v>1</v>
      </c>
      <c r="D940" t="str">
        <f>"SO"</f>
        <v>SO</v>
      </c>
      <c r="E940"/>
      <c r="F940" s="19">
        <v>40185.547349537039</v>
      </c>
      <c r="G940"/>
      <c r="H940">
        <v>1</v>
      </c>
      <c r="I940">
        <v>0</v>
      </c>
      <c r="J940"/>
      <c r="K940"/>
      <c r="L940"/>
      <c r="M940" s="1">
        <v>40543</v>
      </c>
      <c r="N940" t="s">
        <v>101</v>
      </c>
      <c r="O940"/>
      <c r="P940"/>
      <c r="Q940"/>
    </row>
    <row r="941" spans="1:17" x14ac:dyDescent="0.3">
      <c r="A941" t="str">
        <f>"11710"</f>
        <v>11710</v>
      </c>
      <c r="B941">
        <v>106119</v>
      </c>
      <c r="C941">
        <v>1</v>
      </c>
      <c r="D941" t="str">
        <f>"SO"</f>
        <v>SO</v>
      </c>
      <c r="E941"/>
      <c r="F941" s="19">
        <v>40185.546527777777</v>
      </c>
      <c r="G941"/>
      <c r="H941">
        <v>1</v>
      </c>
      <c r="I941">
        <v>0</v>
      </c>
      <c r="J941"/>
      <c r="K941"/>
      <c r="L941"/>
      <c r="M941" s="1">
        <v>40543</v>
      </c>
      <c r="N941" t="s">
        <v>101</v>
      </c>
      <c r="O941"/>
      <c r="P941"/>
      <c r="Q941"/>
    </row>
    <row r="942" spans="1:17" x14ac:dyDescent="0.3">
      <c r="A942" t="str">
        <f>"11709"</f>
        <v>11709</v>
      </c>
      <c r="B942">
        <v>106232</v>
      </c>
      <c r="C942">
        <v>1</v>
      </c>
      <c r="D942" t="str">
        <f>"SO"</f>
        <v>SO</v>
      </c>
      <c r="E942"/>
      <c r="F942" s="19">
        <v>40185.545601851853</v>
      </c>
      <c r="G942"/>
      <c r="H942">
        <v>1</v>
      </c>
      <c r="I942">
        <v>0</v>
      </c>
      <c r="J942"/>
      <c r="K942"/>
      <c r="L942"/>
      <c r="M942" s="1">
        <v>40543</v>
      </c>
      <c r="N942" t="s">
        <v>101</v>
      </c>
      <c r="O942"/>
      <c r="P942"/>
      <c r="Q942"/>
    </row>
    <row r="943" spans="1:17" x14ac:dyDescent="0.3">
      <c r="A943" t="str">
        <f>"11708"</f>
        <v>11708</v>
      </c>
      <c r="B943">
        <v>106345</v>
      </c>
      <c r="C943">
        <v>1</v>
      </c>
      <c r="D943" t="str">
        <f>"SO"</f>
        <v>SO</v>
      </c>
      <c r="E943"/>
      <c r="F943" s="19">
        <v>40185.543611111112</v>
      </c>
      <c r="G943"/>
      <c r="H943">
        <v>1</v>
      </c>
      <c r="I943">
        <v>0</v>
      </c>
      <c r="J943"/>
      <c r="K943"/>
      <c r="L943"/>
      <c r="M943" s="1">
        <v>40543</v>
      </c>
      <c r="N943" t="s">
        <v>101</v>
      </c>
      <c r="O943"/>
      <c r="P943"/>
      <c r="Q943"/>
    </row>
    <row r="944" spans="1:17" x14ac:dyDescent="0.3">
      <c r="A944" t="str">
        <f>"11707"</f>
        <v>11707</v>
      </c>
      <c r="B944">
        <v>106458</v>
      </c>
      <c r="C944">
        <v>1</v>
      </c>
      <c r="D944" t="str">
        <f>"SO"</f>
        <v>SO</v>
      </c>
      <c r="E944"/>
      <c r="F944" s="19">
        <v>40185.54173611111</v>
      </c>
      <c r="G944"/>
      <c r="H944">
        <v>1</v>
      </c>
      <c r="I944">
        <v>0</v>
      </c>
      <c r="J944"/>
      <c r="K944"/>
      <c r="L944"/>
      <c r="M944" s="1">
        <v>40543</v>
      </c>
      <c r="N944" t="s">
        <v>101</v>
      </c>
      <c r="O944"/>
      <c r="P944"/>
      <c r="Q944"/>
    </row>
    <row r="945" spans="1:17" x14ac:dyDescent="0.3">
      <c r="A945" t="str">
        <f>"11706"</f>
        <v>11706</v>
      </c>
      <c r="B945">
        <v>106571</v>
      </c>
      <c r="C945">
        <v>1</v>
      </c>
      <c r="D945" t="str">
        <f>"SO"</f>
        <v>SO</v>
      </c>
      <c r="E945"/>
      <c r="F945" s="19">
        <v>40185.498113425929</v>
      </c>
      <c r="G945"/>
      <c r="H945">
        <v>1</v>
      </c>
      <c r="I945">
        <v>0</v>
      </c>
      <c r="J945"/>
      <c r="K945"/>
      <c r="L945"/>
      <c r="M945" s="1">
        <v>40543</v>
      </c>
      <c r="N945" t="s">
        <v>101</v>
      </c>
      <c r="O945"/>
      <c r="P945"/>
      <c r="Q945"/>
    </row>
    <row r="946" spans="1:17" x14ac:dyDescent="0.3">
      <c r="A946" t="str">
        <f>"11705"</f>
        <v>11705</v>
      </c>
      <c r="B946">
        <v>106684</v>
      </c>
      <c r="C946">
        <v>1</v>
      </c>
      <c r="D946" t="str">
        <f>"SO"</f>
        <v>SO</v>
      </c>
      <c r="E946"/>
      <c r="F946" s="19">
        <v>40185.496655092589</v>
      </c>
      <c r="G946"/>
      <c r="H946">
        <v>1</v>
      </c>
      <c r="I946">
        <v>0</v>
      </c>
      <c r="J946"/>
      <c r="K946"/>
      <c r="L946"/>
      <c r="M946" s="1">
        <v>40543</v>
      </c>
      <c r="N946" t="s">
        <v>101</v>
      </c>
      <c r="O946"/>
      <c r="P946"/>
      <c r="Q946"/>
    </row>
    <row r="947" spans="1:17" x14ac:dyDescent="0.3">
      <c r="A947" t="str">
        <f>"11704"</f>
        <v>11704</v>
      </c>
      <c r="B947">
        <v>106797</v>
      </c>
      <c r="C947">
        <v>1</v>
      </c>
      <c r="D947" t="str">
        <f>"SO"</f>
        <v>SO</v>
      </c>
      <c r="E947"/>
      <c r="F947" s="19">
        <v>40185.49422453704</v>
      </c>
      <c r="G947"/>
      <c r="H947">
        <v>1</v>
      </c>
      <c r="I947">
        <v>0</v>
      </c>
      <c r="J947"/>
      <c r="K947"/>
      <c r="L947"/>
      <c r="M947" s="1">
        <v>40543</v>
      </c>
      <c r="N947" t="s">
        <v>101</v>
      </c>
      <c r="O947"/>
      <c r="P947"/>
      <c r="Q947"/>
    </row>
    <row r="948" spans="1:17" x14ac:dyDescent="0.3">
      <c r="A948" t="str">
        <f>"11703"</f>
        <v>11703</v>
      </c>
      <c r="B948">
        <v>106910</v>
      </c>
      <c r="C948">
        <v>1</v>
      </c>
      <c r="D948" t="str">
        <f>"SO"</f>
        <v>SO</v>
      </c>
      <c r="E948"/>
      <c r="F948" s="19">
        <v>40185.493009259262</v>
      </c>
      <c r="G948"/>
      <c r="H948">
        <v>1</v>
      </c>
      <c r="I948">
        <v>0</v>
      </c>
      <c r="J948"/>
      <c r="K948"/>
      <c r="L948"/>
      <c r="M948" s="1">
        <v>40543</v>
      </c>
      <c r="N948" t="s">
        <v>101</v>
      </c>
      <c r="O948"/>
      <c r="P948"/>
      <c r="Q948"/>
    </row>
    <row r="949" spans="1:17" x14ac:dyDescent="0.3">
      <c r="A949" t="str">
        <f>"11697"</f>
        <v>11697</v>
      </c>
      <c r="B949">
        <v>107023</v>
      </c>
      <c r="C949">
        <v>1</v>
      </c>
      <c r="D949" t="str">
        <f>"SO"</f>
        <v>SO</v>
      </c>
      <c r="E949"/>
      <c r="F949" s="19">
        <v>40183.671516203707</v>
      </c>
      <c r="G949"/>
      <c r="H949">
        <v>1</v>
      </c>
      <c r="I949">
        <v>0</v>
      </c>
      <c r="J949"/>
      <c r="K949"/>
      <c r="L949"/>
      <c r="M949" s="1">
        <v>40543</v>
      </c>
      <c r="N949" t="s">
        <v>101</v>
      </c>
      <c r="O949"/>
      <c r="P949"/>
      <c r="Q949"/>
    </row>
    <row r="950" spans="1:17" x14ac:dyDescent="0.3">
      <c r="A950" t="str">
        <f>"11692"</f>
        <v>11692</v>
      </c>
      <c r="B950">
        <v>107136</v>
      </c>
      <c r="C950">
        <v>2</v>
      </c>
      <c r="D950" t="str">
        <f>"SO"</f>
        <v>SO</v>
      </c>
      <c r="E950"/>
      <c r="F950" s="19">
        <v>40183.589236111111</v>
      </c>
      <c r="G950"/>
      <c r="H950">
        <v>1</v>
      </c>
      <c r="I950">
        <v>0</v>
      </c>
      <c r="J950"/>
      <c r="K950"/>
      <c r="L950"/>
      <c r="M950" s="1">
        <v>40214</v>
      </c>
      <c r="N950" t="s">
        <v>101</v>
      </c>
      <c r="O950"/>
      <c r="P950"/>
      <c r="Q950"/>
    </row>
    <row r="951" spans="1:17" x14ac:dyDescent="0.3">
      <c r="A951" t="str">
        <f>"11692"</f>
        <v>11692</v>
      </c>
      <c r="B951">
        <v>107249</v>
      </c>
      <c r="C951">
        <v>3</v>
      </c>
      <c r="D951" t="str">
        <f>"SO"</f>
        <v>SO</v>
      </c>
      <c r="E951"/>
      <c r="F951" s="19">
        <v>40183.589236111111</v>
      </c>
      <c r="G951"/>
      <c r="H951">
        <v>1</v>
      </c>
      <c r="I951">
        <v>0</v>
      </c>
      <c r="J951"/>
      <c r="K951"/>
      <c r="L951"/>
      <c r="M951" s="1">
        <v>40214</v>
      </c>
      <c r="N951" t="s">
        <v>101</v>
      </c>
      <c r="O951"/>
      <c r="P951"/>
      <c r="Q951"/>
    </row>
    <row r="952" spans="1:17" x14ac:dyDescent="0.3">
      <c r="A952" t="str">
        <f>"11692"</f>
        <v>11692</v>
      </c>
      <c r="B952">
        <v>107362</v>
      </c>
      <c r="C952">
        <v>4</v>
      </c>
      <c r="D952" t="str">
        <f>"SO"</f>
        <v>SO</v>
      </c>
      <c r="E952"/>
      <c r="F952" s="19">
        <v>40183.589236111111</v>
      </c>
      <c r="G952"/>
      <c r="H952">
        <v>1</v>
      </c>
      <c r="I952">
        <v>0</v>
      </c>
      <c r="J952"/>
      <c r="K952"/>
      <c r="L952"/>
      <c r="M952" s="1">
        <v>40214</v>
      </c>
      <c r="N952" t="s">
        <v>101</v>
      </c>
      <c r="O952"/>
      <c r="P952"/>
      <c r="Q952"/>
    </row>
    <row r="953" spans="1:17" x14ac:dyDescent="0.3">
      <c r="A953" t="str">
        <f>"11692"</f>
        <v>11692</v>
      </c>
      <c r="B953">
        <v>107475</v>
      </c>
      <c r="C953">
        <v>5</v>
      </c>
      <c r="D953" t="str">
        <f>"SO"</f>
        <v>SO</v>
      </c>
      <c r="E953"/>
      <c r="F953" s="19">
        <v>40183.589236111111</v>
      </c>
      <c r="G953"/>
      <c r="H953">
        <v>1</v>
      </c>
      <c r="I953">
        <v>0</v>
      </c>
      <c r="J953"/>
      <c r="K953"/>
      <c r="L953"/>
      <c r="M953" s="1">
        <v>40214</v>
      </c>
      <c r="N953" t="s">
        <v>101</v>
      </c>
      <c r="O953"/>
      <c r="P953"/>
      <c r="Q953"/>
    </row>
    <row r="954" spans="1:17" x14ac:dyDescent="0.3">
      <c r="A954" t="str">
        <f>"11692"</f>
        <v>11692</v>
      </c>
      <c r="B954">
        <v>107588</v>
      </c>
      <c r="C954">
        <v>6</v>
      </c>
      <c r="D954" t="str">
        <f>"SO"</f>
        <v>SO</v>
      </c>
      <c r="E954"/>
      <c r="F954" s="19">
        <v>40183.589236111111</v>
      </c>
      <c r="G954"/>
      <c r="H954">
        <v>1</v>
      </c>
      <c r="I954">
        <v>0</v>
      </c>
      <c r="J954"/>
      <c r="K954"/>
      <c r="L954"/>
      <c r="M954" s="1">
        <v>40214</v>
      </c>
      <c r="N954" t="s">
        <v>101</v>
      </c>
      <c r="O954"/>
      <c r="P954"/>
      <c r="Q954"/>
    </row>
    <row r="955" spans="1:17" x14ac:dyDescent="0.3">
      <c r="A955" t="str">
        <f>"11692"</f>
        <v>11692</v>
      </c>
      <c r="B955">
        <v>107701</v>
      </c>
      <c r="C955">
        <v>7</v>
      </c>
      <c r="D955" t="str">
        <f>"SO"</f>
        <v>SO</v>
      </c>
      <c r="E955"/>
      <c r="F955" s="19">
        <v>40183.589236111111</v>
      </c>
      <c r="G955"/>
      <c r="H955">
        <v>1</v>
      </c>
      <c r="I955">
        <v>0</v>
      </c>
      <c r="J955"/>
      <c r="K955"/>
      <c r="L955"/>
      <c r="M955" s="1">
        <v>40214</v>
      </c>
      <c r="N955" t="s">
        <v>101</v>
      </c>
      <c r="O955"/>
      <c r="P955"/>
      <c r="Q955"/>
    </row>
    <row r="956" spans="1:17" x14ac:dyDescent="0.3">
      <c r="A956" t="str">
        <f>"11664"</f>
        <v>11664</v>
      </c>
      <c r="B956">
        <v>107814</v>
      </c>
      <c r="C956">
        <v>1</v>
      </c>
      <c r="D956" t="str">
        <f>"SO"</f>
        <v>SO</v>
      </c>
      <c r="E956"/>
      <c r="F956" s="19">
        <v>40163.682534722226</v>
      </c>
      <c r="G956"/>
      <c r="H956">
        <v>1</v>
      </c>
      <c r="I956">
        <v>0</v>
      </c>
      <c r="J956"/>
      <c r="K956"/>
      <c r="L956"/>
      <c r="M956" s="1">
        <v>40248</v>
      </c>
      <c r="N956" t="s">
        <v>101</v>
      </c>
      <c r="O956"/>
      <c r="P956"/>
      <c r="Q956"/>
    </row>
    <row r="957" spans="1:17" x14ac:dyDescent="0.3">
      <c r="A957" t="str">
        <f>"11662"</f>
        <v>11662</v>
      </c>
      <c r="B957">
        <v>107927</v>
      </c>
      <c r="C957">
        <v>1</v>
      </c>
      <c r="D957" t="str">
        <f>"SO"</f>
        <v>SO</v>
      </c>
      <c r="E957"/>
      <c r="F957" s="19">
        <v>40163.445405092592</v>
      </c>
      <c r="G957"/>
      <c r="H957">
        <v>1</v>
      </c>
      <c r="I957">
        <v>0</v>
      </c>
      <c r="J957"/>
      <c r="K957"/>
      <c r="L957"/>
      <c r="M957" s="1">
        <v>40165</v>
      </c>
      <c r="N957" t="s">
        <v>101</v>
      </c>
      <c r="O957"/>
      <c r="P957"/>
      <c r="Q957"/>
    </row>
    <row r="958" spans="1:17" x14ac:dyDescent="0.3">
      <c r="A958" t="str">
        <f>"11612"</f>
        <v>11612</v>
      </c>
      <c r="B958">
        <v>108040</v>
      </c>
      <c r="C958">
        <v>2</v>
      </c>
      <c r="D958" t="str">
        <f>"SO"</f>
        <v>SO</v>
      </c>
      <c r="E958"/>
      <c r="F958" s="19">
        <v>40141.532511574071</v>
      </c>
      <c r="G958"/>
      <c r="H958">
        <v>1</v>
      </c>
      <c r="I958">
        <v>0</v>
      </c>
      <c r="J958"/>
      <c r="K958"/>
      <c r="L958"/>
      <c r="M958" s="1">
        <v>40168</v>
      </c>
      <c r="N958" t="s">
        <v>101</v>
      </c>
      <c r="O958"/>
      <c r="P958"/>
      <c r="Q958"/>
    </row>
    <row r="959" spans="1:17" x14ac:dyDescent="0.3">
      <c r="A959" t="str">
        <f>"11612"</f>
        <v>11612</v>
      </c>
      <c r="B959">
        <v>108153</v>
      </c>
      <c r="C959">
        <v>4</v>
      </c>
      <c r="D959" t="str">
        <f>"SO"</f>
        <v>SO</v>
      </c>
      <c r="E959"/>
      <c r="F959" s="19">
        <v>40141.535092592596</v>
      </c>
      <c r="G959"/>
      <c r="H959">
        <v>1</v>
      </c>
      <c r="I959">
        <v>0</v>
      </c>
      <c r="J959"/>
      <c r="K959"/>
      <c r="L959"/>
      <c r="M959" s="1">
        <v>40168</v>
      </c>
      <c r="N959" t="s">
        <v>101</v>
      </c>
      <c r="O959"/>
      <c r="P959"/>
      <c r="Q959"/>
    </row>
    <row r="960" spans="1:17" x14ac:dyDescent="0.3">
      <c r="A960" t="str">
        <f>"11612"</f>
        <v>11612</v>
      </c>
      <c r="B960">
        <v>108266</v>
      </c>
      <c r="C960">
        <v>5</v>
      </c>
      <c r="D960" t="str">
        <f>"SO"</f>
        <v>SO</v>
      </c>
      <c r="E960"/>
      <c r="F960" s="19">
        <v>40141.535092592596</v>
      </c>
      <c r="G960"/>
      <c r="H960">
        <v>2</v>
      </c>
      <c r="I960">
        <v>0</v>
      </c>
      <c r="J960"/>
      <c r="K960"/>
      <c r="L960"/>
      <c r="M960" s="1">
        <v>40168</v>
      </c>
      <c r="N960" t="s">
        <v>101</v>
      </c>
      <c r="O960"/>
      <c r="P960"/>
      <c r="Q960"/>
    </row>
    <row r="961" spans="1:17" x14ac:dyDescent="0.3">
      <c r="A961" t="str">
        <f>"11612"</f>
        <v>11612</v>
      </c>
      <c r="B961">
        <v>108379</v>
      </c>
      <c r="C961">
        <v>6</v>
      </c>
      <c r="D961" t="str">
        <f>"SO"</f>
        <v>SO</v>
      </c>
      <c r="E961"/>
      <c r="F961" s="19">
        <v>40141.535092592596</v>
      </c>
      <c r="G961"/>
      <c r="H961">
        <v>2</v>
      </c>
      <c r="I961">
        <v>0</v>
      </c>
      <c r="J961"/>
      <c r="K961"/>
      <c r="L961"/>
      <c r="M961" s="1">
        <v>40168</v>
      </c>
      <c r="N961" t="s">
        <v>101</v>
      </c>
      <c r="O961"/>
      <c r="P961"/>
      <c r="Q961"/>
    </row>
    <row r="962" spans="1:17" x14ac:dyDescent="0.3">
      <c r="A962" t="str">
        <f>"11612"</f>
        <v>11612</v>
      </c>
      <c r="B962">
        <v>108492</v>
      </c>
      <c r="C962">
        <v>7</v>
      </c>
      <c r="D962" t="str">
        <f>"SO"</f>
        <v>SO</v>
      </c>
      <c r="E962"/>
      <c r="F962" s="19">
        <v>40141.535092592596</v>
      </c>
      <c r="G962"/>
      <c r="H962">
        <v>2</v>
      </c>
      <c r="I962">
        <v>0</v>
      </c>
      <c r="J962"/>
      <c r="K962"/>
      <c r="L962"/>
      <c r="M962" s="1">
        <v>40168</v>
      </c>
      <c r="N962" t="s">
        <v>101</v>
      </c>
      <c r="O962"/>
      <c r="P962"/>
      <c r="Q962"/>
    </row>
    <row r="963" spans="1:17" x14ac:dyDescent="0.3">
      <c r="A963" t="str">
        <f>"11612"</f>
        <v>11612</v>
      </c>
      <c r="B963">
        <v>108605</v>
      </c>
      <c r="C963">
        <v>8</v>
      </c>
      <c r="D963" t="str">
        <f>"SO"</f>
        <v>SO</v>
      </c>
      <c r="E963"/>
      <c r="F963" s="19">
        <v>40141.536481481482</v>
      </c>
      <c r="G963"/>
      <c r="H963">
        <v>2</v>
      </c>
      <c r="I963">
        <v>0</v>
      </c>
      <c r="J963"/>
      <c r="K963"/>
      <c r="L963"/>
      <c r="M963" s="1">
        <v>40168</v>
      </c>
      <c r="N963" t="s">
        <v>101</v>
      </c>
      <c r="O963"/>
      <c r="P963"/>
      <c r="Q963"/>
    </row>
    <row r="964" spans="1:17" x14ac:dyDescent="0.3">
      <c r="A964" t="str">
        <f>"11612"</f>
        <v>11612</v>
      </c>
      <c r="B964">
        <v>108718</v>
      </c>
      <c r="C964">
        <v>9</v>
      </c>
      <c r="D964" t="str">
        <f>"SO"</f>
        <v>SO</v>
      </c>
      <c r="E964"/>
      <c r="F964" s="19">
        <v>40141.536481481482</v>
      </c>
      <c r="G964"/>
      <c r="H964">
        <v>2</v>
      </c>
      <c r="I964">
        <v>0</v>
      </c>
      <c r="J964"/>
      <c r="K964"/>
      <c r="L964"/>
      <c r="M964" s="1">
        <v>40168</v>
      </c>
      <c r="N964" t="s">
        <v>101</v>
      </c>
      <c r="O964"/>
      <c r="P964"/>
      <c r="Q964"/>
    </row>
    <row r="965" spans="1:17" x14ac:dyDescent="0.3">
      <c r="A965" t="str">
        <f>"11612"</f>
        <v>11612</v>
      </c>
      <c r="B965">
        <v>108831</v>
      </c>
      <c r="C965">
        <v>10</v>
      </c>
      <c r="D965" t="str">
        <f>"SO"</f>
        <v>SO</v>
      </c>
      <c r="E965"/>
      <c r="F965" s="19">
        <v>40141.536481481482</v>
      </c>
      <c r="G965"/>
      <c r="H965">
        <v>4</v>
      </c>
      <c r="I965">
        <v>0</v>
      </c>
      <c r="J965"/>
      <c r="K965"/>
      <c r="L965"/>
      <c r="M965" s="1">
        <v>40168</v>
      </c>
      <c r="N965" t="s">
        <v>101</v>
      </c>
      <c r="O965"/>
      <c r="P965"/>
      <c r="Q965"/>
    </row>
    <row r="966" spans="1:17" x14ac:dyDescent="0.3">
      <c r="A966" t="str">
        <f>"11612"</f>
        <v>11612</v>
      </c>
      <c r="B966">
        <v>108944</v>
      </c>
      <c r="C966">
        <v>11</v>
      </c>
      <c r="D966" t="str">
        <f>"SO"</f>
        <v>SO</v>
      </c>
      <c r="E966"/>
      <c r="F966" s="19">
        <v>40141.536481481482</v>
      </c>
      <c r="G966"/>
      <c r="H966">
        <v>4</v>
      </c>
      <c r="I966">
        <v>0</v>
      </c>
      <c r="J966"/>
      <c r="K966"/>
      <c r="L966"/>
      <c r="M966" s="1">
        <v>40168</v>
      </c>
      <c r="N966" t="s">
        <v>101</v>
      </c>
      <c r="O966"/>
      <c r="P966"/>
      <c r="Q966"/>
    </row>
    <row r="967" spans="1:17" x14ac:dyDescent="0.3">
      <c r="A967" t="str">
        <f>"11612"</f>
        <v>11612</v>
      </c>
      <c r="B967">
        <v>109057</v>
      </c>
      <c r="C967">
        <v>12</v>
      </c>
      <c r="D967" t="str">
        <f>"SO"</f>
        <v>SO</v>
      </c>
      <c r="E967"/>
      <c r="F967" s="19">
        <v>40141.536481481482</v>
      </c>
      <c r="G967"/>
      <c r="H967">
        <v>4</v>
      </c>
      <c r="I967">
        <v>0</v>
      </c>
      <c r="J967"/>
      <c r="K967"/>
      <c r="L967"/>
      <c r="M967" s="1">
        <v>40168</v>
      </c>
      <c r="N967" t="s">
        <v>101</v>
      </c>
      <c r="O967"/>
      <c r="P967"/>
      <c r="Q967"/>
    </row>
    <row r="968" spans="1:17" x14ac:dyDescent="0.3">
      <c r="A968" t="str">
        <f>"11612"</f>
        <v>11612</v>
      </c>
      <c r="B968">
        <v>109170</v>
      </c>
      <c r="C968">
        <v>13</v>
      </c>
      <c r="D968" t="str">
        <f>"SO"</f>
        <v>SO</v>
      </c>
      <c r="E968"/>
      <c r="F968" s="19">
        <v>40141.536481481482</v>
      </c>
      <c r="G968"/>
      <c r="H968">
        <v>4</v>
      </c>
      <c r="I968">
        <v>0</v>
      </c>
      <c r="J968"/>
      <c r="K968"/>
      <c r="L968"/>
      <c r="M968" s="1">
        <v>40168</v>
      </c>
      <c r="N968" t="s">
        <v>101</v>
      </c>
      <c r="O968"/>
      <c r="P968"/>
      <c r="Q968"/>
    </row>
    <row r="969" spans="1:17" x14ac:dyDescent="0.3">
      <c r="A969" t="str">
        <f>"11604"</f>
        <v>11604</v>
      </c>
      <c r="B969">
        <v>109283</v>
      </c>
      <c r="C969">
        <v>1</v>
      </c>
      <c r="D969" t="str">
        <f>"SO"</f>
        <v>SO</v>
      </c>
      <c r="E969"/>
      <c r="F969" s="19">
        <v>40135.659351851849</v>
      </c>
      <c r="G969"/>
      <c r="H969">
        <v>1</v>
      </c>
      <c r="I969">
        <v>0</v>
      </c>
      <c r="J969"/>
      <c r="K969"/>
      <c r="L969"/>
      <c r="M969" s="1">
        <v>40144</v>
      </c>
      <c r="N969" t="s">
        <v>101</v>
      </c>
      <c r="O969"/>
      <c r="P969"/>
      <c r="Q969"/>
    </row>
    <row r="970" spans="1:17" x14ac:dyDescent="0.3">
      <c r="A970" t="str">
        <f>"11559"</f>
        <v>11559</v>
      </c>
      <c r="B970">
        <v>109396</v>
      </c>
      <c r="C970">
        <v>1</v>
      </c>
      <c r="D970" t="str">
        <f>"SO"</f>
        <v>SO</v>
      </c>
      <c r="E970"/>
      <c r="F970" s="19">
        <v>40115.462222222224</v>
      </c>
      <c r="G970"/>
      <c r="H970">
        <v>1</v>
      </c>
      <c r="I970">
        <v>0</v>
      </c>
      <c r="J970"/>
      <c r="K970"/>
      <c r="L970"/>
      <c r="M970" s="1">
        <v>40115</v>
      </c>
      <c r="N970" t="s">
        <v>101</v>
      </c>
      <c r="O970"/>
      <c r="P970"/>
      <c r="Q970"/>
    </row>
    <row r="971" spans="1:17" x14ac:dyDescent="0.3">
      <c r="A971" t="str">
        <f>"11534"</f>
        <v>11534</v>
      </c>
      <c r="B971">
        <v>109509</v>
      </c>
      <c r="C971">
        <v>1</v>
      </c>
      <c r="D971" t="str">
        <f>"SO"</f>
        <v>SO</v>
      </c>
      <c r="E971"/>
      <c r="F971" s="19">
        <v>40109.327141203707</v>
      </c>
      <c r="G971"/>
      <c r="H971">
        <v>1</v>
      </c>
      <c r="I971">
        <v>0</v>
      </c>
      <c r="J971"/>
      <c r="K971"/>
      <c r="L971"/>
      <c r="M971" s="1">
        <v>40147</v>
      </c>
      <c r="N971" t="s">
        <v>101</v>
      </c>
      <c r="O971"/>
      <c r="P971"/>
      <c r="Q971"/>
    </row>
    <row r="972" spans="1:17" x14ac:dyDescent="0.3">
      <c r="A972" t="str">
        <f>"11516"</f>
        <v>11516</v>
      </c>
      <c r="B972">
        <v>109622</v>
      </c>
      <c r="C972">
        <v>2</v>
      </c>
      <c r="D972" t="str">
        <f>"SO"</f>
        <v>SO</v>
      </c>
      <c r="E972"/>
      <c r="F972" s="19">
        <v>40102.448275462964</v>
      </c>
      <c r="G972"/>
      <c r="H972">
        <v>1</v>
      </c>
      <c r="I972">
        <v>0</v>
      </c>
      <c r="J972"/>
      <c r="K972"/>
      <c r="L972"/>
      <c r="M972" s="1">
        <v>40144</v>
      </c>
      <c r="N972" t="s">
        <v>101</v>
      </c>
      <c r="O972"/>
      <c r="P972"/>
      <c r="Q972"/>
    </row>
    <row r="973" spans="1:17" x14ac:dyDescent="0.3">
      <c r="A973" t="str">
        <f>"11516"</f>
        <v>11516</v>
      </c>
      <c r="B973">
        <v>109735</v>
      </c>
      <c r="C973">
        <v>3</v>
      </c>
      <c r="D973" t="str">
        <f>"SO"</f>
        <v>SO</v>
      </c>
      <c r="E973"/>
      <c r="F973" s="19">
        <v>40102.448275462964</v>
      </c>
      <c r="G973"/>
      <c r="H973">
        <v>1</v>
      </c>
      <c r="I973">
        <v>0</v>
      </c>
      <c r="J973"/>
      <c r="K973"/>
      <c r="L973"/>
      <c r="M973" s="1">
        <v>40144</v>
      </c>
      <c r="N973" t="s">
        <v>101</v>
      </c>
      <c r="O973"/>
      <c r="P973"/>
      <c r="Q973"/>
    </row>
    <row r="974" spans="1:17" x14ac:dyDescent="0.3">
      <c r="A974" t="str">
        <f>"11516"</f>
        <v>11516</v>
      </c>
      <c r="B974">
        <v>109848</v>
      </c>
      <c r="C974">
        <v>4</v>
      </c>
      <c r="D974" t="str">
        <f>"SO"</f>
        <v>SO</v>
      </c>
      <c r="E974"/>
      <c r="F974" s="19">
        <v>40102.448275462964</v>
      </c>
      <c r="G974"/>
      <c r="H974">
        <v>20</v>
      </c>
      <c r="I974">
        <v>0</v>
      </c>
      <c r="J974"/>
      <c r="K974"/>
      <c r="L974"/>
      <c r="M974" s="1">
        <v>40144</v>
      </c>
      <c r="N974" t="s">
        <v>101</v>
      </c>
      <c r="O974"/>
      <c r="P974"/>
      <c r="Q974"/>
    </row>
    <row r="975" spans="1:17" x14ac:dyDescent="0.3">
      <c r="A975" t="str">
        <f>"11516"</f>
        <v>11516</v>
      </c>
      <c r="B975">
        <v>109961</v>
      </c>
      <c r="C975">
        <v>5</v>
      </c>
      <c r="D975" t="str">
        <f>"SO"</f>
        <v>SO</v>
      </c>
      <c r="E975"/>
      <c r="F975" s="19">
        <v>40102.448275462964</v>
      </c>
      <c r="G975"/>
      <c r="H975">
        <v>20</v>
      </c>
      <c r="I975">
        <v>0</v>
      </c>
      <c r="J975"/>
      <c r="K975"/>
      <c r="L975"/>
      <c r="M975" s="1">
        <v>40144</v>
      </c>
      <c r="N975" t="s">
        <v>101</v>
      </c>
      <c r="O975"/>
      <c r="P975"/>
      <c r="Q975"/>
    </row>
    <row r="976" spans="1:17" x14ac:dyDescent="0.3">
      <c r="A976" t="str">
        <f>"11516"</f>
        <v>11516</v>
      </c>
      <c r="B976">
        <v>110074</v>
      </c>
      <c r="C976">
        <v>6</v>
      </c>
      <c r="D976" t="str">
        <f>"SO"</f>
        <v>SO</v>
      </c>
      <c r="E976"/>
      <c r="F976" s="19">
        <v>40102.448275462964</v>
      </c>
      <c r="G976"/>
      <c r="H976">
        <v>20</v>
      </c>
      <c r="I976">
        <v>0</v>
      </c>
      <c r="J976"/>
      <c r="K976"/>
      <c r="L976"/>
      <c r="M976" s="1">
        <v>40144</v>
      </c>
      <c r="N976" t="s">
        <v>101</v>
      </c>
      <c r="O976"/>
      <c r="P976"/>
      <c r="Q976"/>
    </row>
    <row r="977" spans="1:17" x14ac:dyDescent="0.3">
      <c r="A977" t="str">
        <f>"11516"</f>
        <v>11516</v>
      </c>
      <c r="B977">
        <v>110187</v>
      </c>
      <c r="C977">
        <v>7</v>
      </c>
      <c r="D977" t="str">
        <f>"SO"</f>
        <v>SO</v>
      </c>
      <c r="E977"/>
      <c r="F977" s="19">
        <v>40102.448275462964</v>
      </c>
      <c r="G977"/>
      <c r="H977">
        <v>20</v>
      </c>
      <c r="I977">
        <v>0</v>
      </c>
      <c r="J977"/>
      <c r="K977"/>
      <c r="L977"/>
      <c r="M977" s="1">
        <v>40144</v>
      </c>
      <c r="N977" t="s">
        <v>101</v>
      </c>
      <c r="O977"/>
      <c r="P977"/>
      <c r="Q977"/>
    </row>
    <row r="978" spans="1:17" x14ac:dyDescent="0.3">
      <c r="A978" t="str">
        <f>"11516"</f>
        <v>11516</v>
      </c>
      <c r="B978">
        <v>110300</v>
      </c>
      <c r="C978">
        <v>8</v>
      </c>
      <c r="D978" t="str">
        <f>"SO"</f>
        <v>SO</v>
      </c>
      <c r="E978"/>
      <c r="F978" s="19">
        <v>40107.610532407409</v>
      </c>
      <c r="G978"/>
      <c r="H978">
        <v>1</v>
      </c>
      <c r="I978">
        <v>0</v>
      </c>
      <c r="J978"/>
      <c r="K978"/>
      <c r="L978"/>
      <c r="M978" s="1">
        <v>40144</v>
      </c>
      <c r="N978" t="s">
        <v>101</v>
      </c>
      <c r="O978"/>
      <c r="P978"/>
      <c r="Q978"/>
    </row>
    <row r="979" spans="1:17" x14ac:dyDescent="0.3">
      <c r="A979" t="str">
        <f>"11516"</f>
        <v>11516</v>
      </c>
      <c r="B979">
        <v>110413</v>
      </c>
      <c r="C979">
        <v>9</v>
      </c>
      <c r="D979" t="str">
        <f>"SO"</f>
        <v>SO</v>
      </c>
      <c r="E979"/>
      <c r="F979" s="19">
        <v>40108.328958333332</v>
      </c>
      <c r="G979"/>
      <c r="H979">
        <v>24</v>
      </c>
      <c r="I979">
        <v>0</v>
      </c>
      <c r="J979"/>
      <c r="K979"/>
      <c r="L979"/>
      <c r="M979" s="1">
        <v>40144</v>
      </c>
      <c r="N979" t="s">
        <v>101</v>
      </c>
      <c r="O979"/>
      <c r="P979"/>
      <c r="Q979"/>
    </row>
    <row r="980" spans="1:17" x14ac:dyDescent="0.3">
      <c r="A980" t="str">
        <f>"11516"</f>
        <v>11516</v>
      </c>
      <c r="B980">
        <v>110526</v>
      </c>
      <c r="C980">
        <v>10</v>
      </c>
      <c r="D980" t="str">
        <f>"SO"</f>
        <v>SO</v>
      </c>
      <c r="E980"/>
      <c r="F980" s="19">
        <v>40108.328958333332</v>
      </c>
      <c r="G980"/>
      <c r="H980">
        <v>8</v>
      </c>
      <c r="I980">
        <v>0</v>
      </c>
      <c r="J980"/>
      <c r="K980"/>
      <c r="L980"/>
      <c r="M980" s="1">
        <v>40144</v>
      </c>
      <c r="N980" t="s">
        <v>101</v>
      </c>
      <c r="O980"/>
      <c r="P980"/>
      <c r="Q980"/>
    </row>
    <row r="981" spans="1:17" x14ac:dyDescent="0.3">
      <c r="A981" t="str">
        <f>"11516"</f>
        <v>11516</v>
      </c>
      <c r="B981">
        <v>110639</v>
      </c>
      <c r="C981">
        <v>11</v>
      </c>
      <c r="D981" t="str">
        <f>"SO"</f>
        <v>SO</v>
      </c>
      <c r="E981"/>
      <c r="F981" s="19">
        <v>40108.328958333332</v>
      </c>
      <c r="G981"/>
      <c r="H981">
        <v>4</v>
      </c>
      <c r="I981">
        <v>0</v>
      </c>
      <c r="J981"/>
      <c r="K981"/>
      <c r="L981"/>
      <c r="M981" s="1">
        <v>40144</v>
      </c>
      <c r="N981" t="s">
        <v>101</v>
      </c>
      <c r="O981"/>
      <c r="P981"/>
      <c r="Q981"/>
    </row>
    <row r="982" spans="1:17" x14ac:dyDescent="0.3">
      <c r="A982" t="str">
        <f>"11482"</f>
        <v>11482</v>
      </c>
      <c r="B982">
        <v>110752</v>
      </c>
      <c r="C982">
        <v>2</v>
      </c>
      <c r="D982" t="str">
        <f>"SO"</f>
        <v>SO</v>
      </c>
      <c r="E982"/>
      <c r="F982" s="19">
        <v>40091.601689814815</v>
      </c>
      <c r="G982"/>
      <c r="H982">
        <v>1</v>
      </c>
      <c r="I982">
        <v>0</v>
      </c>
      <c r="J982"/>
      <c r="K982"/>
      <c r="L982"/>
      <c r="M982" s="1">
        <v>40109</v>
      </c>
      <c r="N982" t="s">
        <v>101</v>
      </c>
      <c r="O982"/>
      <c r="P982"/>
      <c r="Q982"/>
    </row>
    <row r="983" spans="1:17" x14ac:dyDescent="0.3">
      <c r="A983" t="str">
        <f>"11482"</f>
        <v>11482</v>
      </c>
      <c r="B983">
        <v>110865</v>
      </c>
      <c r="C983">
        <v>3</v>
      </c>
      <c r="D983" t="str">
        <f>"SO"</f>
        <v>SO</v>
      </c>
      <c r="E983"/>
      <c r="F983" s="19">
        <v>40091.601689814815</v>
      </c>
      <c r="G983"/>
      <c r="H983">
        <v>1</v>
      </c>
      <c r="I983">
        <v>0</v>
      </c>
      <c r="J983"/>
      <c r="K983"/>
      <c r="L983"/>
      <c r="M983" s="1">
        <v>40109</v>
      </c>
      <c r="N983" t="s">
        <v>101</v>
      </c>
      <c r="O983"/>
      <c r="P983"/>
      <c r="Q983"/>
    </row>
    <row r="984" spans="1:17" x14ac:dyDescent="0.3">
      <c r="A984" t="str">
        <f>"11482"</f>
        <v>11482</v>
      </c>
      <c r="B984">
        <v>110978</v>
      </c>
      <c r="C984">
        <v>4</v>
      </c>
      <c r="D984" t="str">
        <f>"SO"</f>
        <v>SO</v>
      </c>
      <c r="E984"/>
      <c r="F984" s="19">
        <v>40091.601689814815</v>
      </c>
      <c r="G984"/>
      <c r="H984">
        <v>1</v>
      </c>
      <c r="I984">
        <v>0</v>
      </c>
      <c r="J984"/>
      <c r="K984"/>
      <c r="L984"/>
      <c r="M984" s="1">
        <v>40109</v>
      </c>
      <c r="N984" t="s">
        <v>101</v>
      </c>
      <c r="O984"/>
      <c r="P984"/>
      <c r="Q984"/>
    </row>
    <row r="985" spans="1:17" x14ac:dyDescent="0.3">
      <c r="A985" t="str">
        <f>"11482"</f>
        <v>11482</v>
      </c>
      <c r="B985">
        <v>111091</v>
      </c>
      <c r="C985">
        <v>5</v>
      </c>
      <c r="D985" t="str">
        <f>"SO"</f>
        <v>SO</v>
      </c>
      <c r="E985"/>
      <c r="F985" s="19">
        <v>40091.601689814815</v>
      </c>
      <c r="G985"/>
      <c r="H985">
        <v>1</v>
      </c>
      <c r="I985">
        <v>0</v>
      </c>
      <c r="J985"/>
      <c r="K985"/>
      <c r="L985"/>
      <c r="M985" s="1">
        <v>40109</v>
      </c>
      <c r="N985" t="s">
        <v>101</v>
      </c>
      <c r="O985"/>
      <c r="P985"/>
      <c r="Q985"/>
    </row>
    <row r="986" spans="1:17" x14ac:dyDescent="0.3">
      <c r="A986" t="str">
        <f>"11482"</f>
        <v>11482</v>
      </c>
      <c r="B986">
        <v>111204</v>
      </c>
      <c r="C986">
        <v>6</v>
      </c>
      <c r="D986" t="str">
        <f>"SO"</f>
        <v>SO</v>
      </c>
      <c r="E986"/>
      <c r="F986" s="19">
        <v>40113.408819444441</v>
      </c>
      <c r="G986"/>
      <c r="H986">
        <v>1</v>
      </c>
      <c r="I986">
        <v>0</v>
      </c>
      <c r="J986"/>
      <c r="K986"/>
      <c r="L986"/>
      <c r="M986" s="1">
        <v>40109</v>
      </c>
      <c r="N986" t="s">
        <v>101</v>
      </c>
      <c r="O986"/>
      <c r="P986"/>
      <c r="Q986"/>
    </row>
    <row r="987" spans="1:17" x14ac:dyDescent="0.3">
      <c r="A987" t="str">
        <f>"11482"</f>
        <v>11482</v>
      </c>
      <c r="B987">
        <v>111317</v>
      </c>
      <c r="C987">
        <v>7</v>
      </c>
      <c r="D987" t="str">
        <f>"SO"</f>
        <v>SO</v>
      </c>
      <c r="E987"/>
      <c r="F987" s="19">
        <v>40133.35800925926</v>
      </c>
      <c r="G987"/>
      <c r="H987">
        <v>1</v>
      </c>
      <c r="I987">
        <v>0</v>
      </c>
      <c r="J987"/>
      <c r="K987"/>
      <c r="L987"/>
      <c r="M987" s="1">
        <v>40137</v>
      </c>
      <c r="N987" t="s">
        <v>101</v>
      </c>
      <c r="O987"/>
      <c r="P987"/>
      <c r="Q987"/>
    </row>
    <row r="988" spans="1:17" x14ac:dyDescent="0.3">
      <c r="A988" t="str">
        <f>"11482"</f>
        <v>11482</v>
      </c>
      <c r="B988">
        <v>111430</v>
      </c>
      <c r="C988">
        <v>8</v>
      </c>
      <c r="D988" t="str">
        <f>"SO"</f>
        <v>SO</v>
      </c>
      <c r="E988"/>
      <c r="F988" s="19">
        <v>40133.35800925926</v>
      </c>
      <c r="G988"/>
      <c r="H988">
        <v>1</v>
      </c>
      <c r="I988">
        <v>0</v>
      </c>
      <c r="J988"/>
      <c r="K988"/>
      <c r="L988"/>
      <c r="M988" s="1">
        <v>40137</v>
      </c>
      <c r="N988" t="s">
        <v>101</v>
      </c>
      <c r="O988"/>
      <c r="P988"/>
      <c r="Q988"/>
    </row>
    <row r="989" spans="1:17" x14ac:dyDescent="0.3">
      <c r="A989" t="str">
        <f>"11482"</f>
        <v>11482</v>
      </c>
      <c r="B989">
        <v>111543</v>
      </c>
      <c r="C989">
        <v>9</v>
      </c>
      <c r="D989" t="str">
        <f>"SO"</f>
        <v>SO</v>
      </c>
      <c r="E989"/>
      <c r="F989" s="19">
        <v>40133.35800925926</v>
      </c>
      <c r="G989"/>
      <c r="H989">
        <v>1</v>
      </c>
      <c r="I989">
        <v>0</v>
      </c>
      <c r="J989"/>
      <c r="K989"/>
      <c r="L989"/>
      <c r="M989" s="1">
        <v>40137</v>
      </c>
      <c r="N989" t="s">
        <v>101</v>
      </c>
      <c r="O989"/>
      <c r="P989"/>
      <c r="Q989"/>
    </row>
    <row r="990" spans="1:17" x14ac:dyDescent="0.3">
      <c r="A990" t="str">
        <f>"11460"</f>
        <v>11460</v>
      </c>
      <c r="B990">
        <v>111656</v>
      </c>
      <c r="C990">
        <v>2</v>
      </c>
      <c r="D990" t="str">
        <f>"SO"</f>
        <v>SO</v>
      </c>
      <c r="E990"/>
      <c r="F990" s="19">
        <v>40087.367476851854</v>
      </c>
      <c r="G990"/>
      <c r="H990">
        <v>1</v>
      </c>
      <c r="I990">
        <v>0</v>
      </c>
      <c r="J990"/>
      <c r="K990"/>
      <c r="L990"/>
      <c r="M990" s="1">
        <v>40112</v>
      </c>
      <c r="N990" t="s">
        <v>101</v>
      </c>
      <c r="O990"/>
      <c r="P990"/>
      <c r="Q990"/>
    </row>
    <row r="991" spans="1:17" x14ac:dyDescent="0.3">
      <c r="A991" t="str">
        <f>"11460"</f>
        <v>11460</v>
      </c>
      <c r="B991">
        <v>111769</v>
      </c>
      <c r="C991">
        <v>3</v>
      </c>
      <c r="D991" t="str">
        <f>"SO"</f>
        <v>SO</v>
      </c>
      <c r="E991"/>
      <c r="F991" s="19">
        <v>40087.367476851854</v>
      </c>
      <c r="G991"/>
      <c r="H991">
        <v>1</v>
      </c>
      <c r="I991">
        <v>0</v>
      </c>
      <c r="J991"/>
      <c r="K991"/>
      <c r="L991"/>
      <c r="M991" s="1">
        <v>40112</v>
      </c>
      <c r="N991" t="s">
        <v>101</v>
      </c>
      <c r="O991"/>
      <c r="P991"/>
      <c r="Q991"/>
    </row>
    <row r="992" spans="1:17" x14ac:dyDescent="0.3">
      <c r="A992" t="str">
        <f>"11460"</f>
        <v>11460</v>
      </c>
      <c r="B992">
        <v>111882</v>
      </c>
      <c r="C992">
        <v>4</v>
      </c>
      <c r="D992" t="str">
        <f>"SO"</f>
        <v>SO</v>
      </c>
      <c r="E992"/>
      <c r="F992" s="19">
        <v>40087.367476851854</v>
      </c>
      <c r="G992"/>
      <c r="H992">
        <v>1</v>
      </c>
      <c r="I992">
        <v>0</v>
      </c>
      <c r="J992"/>
      <c r="K992"/>
      <c r="L992"/>
      <c r="M992" s="1">
        <v>40112</v>
      </c>
      <c r="N992" t="s">
        <v>101</v>
      </c>
      <c r="O992"/>
      <c r="P992"/>
      <c r="Q992"/>
    </row>
    <row r="993" spans="1:17" x14ac:dyDescent="0.3">
      <c r="A993" t="str">
        <f>"11460"</f>
        <v>11460</v>
      </c>
      <c r="B993">
        <v>111995</v>
      </c>
      <c r="C993">
        <v>5</v>
      </c>
      <c r="D993" t="str">
        <f>"SO"</f>
        <v>SO</v>
      </c>
      <c r="E993"/>
      <c r="F993" s="19">
        <v>40087.367476851854</v>
      </c>
      <c r="G993"/>
      <c r="H993">
        <v>1</v>
      </c>
      <c r="I993">
        <v>0</v>
      </c>
      <c r="J993"/>
      <c r="K993"/>
      <c r="L993"/>
      <c r="M993" s="1">
        <v>40112</v>
      </c>
      <c r="N993" t="s">
        <v>101</v>
      </c>
      <c r="O993"/>
      <c r="P993"/>
      <c r="Q993"/>
    </row>
    <row r="994" spans="1:17" x14ac:dyDescent="0.3">
      <c r="A994" t="str">
        <f>"11460"</f>
        <v>11460</v>
      </c>
      <c r="B994">
        <v>112108</v>
      </c>
      <c r="C994">
        <v>6</v>
      </c>
      <c r="D994" t="str">
        <f>"SO"</f>
        <v>SO</v>
      </c>
      <c r="E994"/>
      <c r="F994" s="19">
        <v>40087.367476851854</v>
      </c>
      <c r="G994"/>
      <c r="H994">
        <v>1</v>
      </c>
      <c r="I994">
        <v>0</v>
      </c>
      <c r="J994"/>
      <c r="K994"/>
      <c r="L994"/>
      <c r="M994" s="1">
        <v>40112</v>
      </c>
      <c r="N994" t="s">
        <v>101</v>
      </c>
      <c r="O994"/>
      <c r="P994"/>
      <c r="Q994"/>
    </row>
    <row r="995" spans="1:17" x14ac:dyDescent="0.3">
      <c r="A995" t="str">
        <f>"11460"</f>
        <v>11460</v>
      </c>
      <c r="B995">
        <v>112221</v>
      </c>
      <c r="C995">
        <v>7</v>
      </c>
      <c r="D995" t="str">
        <f>"SO"</f>
        <v>SO</v>
      </c>
      <c r="E995"/>
      <c r="F995" s="19">
        <v>40087.367476851854</v>
      </c>
      <c r="G995"/>
      <c r="H995">
        <v>1</v>
      </c>
      <c r="I995">
        <v>0</v>
      </c>
      <c r="J995"/>
      <c r="K995"/>
      <c r="L995"/>
      <c r="M995" s="1">
        <v>40112</v>
      </c>
      <c r="N995" t="s">
        <v>101</v>
      </c>
      <c r="O995"/>
      <c r="P995"/>
      <c r="Q995"/>
    </row>
    <row r="996" spans="1:17" x14ac:dyDescent="0.3">
      <c r="A996" t="str">
        <f>"11460"</f>
        <v>11460</v>
      </c>
      <c r="B996">
        <v>112334</v>
      </c>
      <c r="C996">
        <v>8</v>
      </c>
      <c r="D996" t="str">
        <f>"SO"</f>
        <v>SO</v>
      </c>
      <c r="E996"/>
      <c r="F996" s="19">
        <v>40087.367476851854</v>
      </c>
      <c r="G996"/>
      <c r="H996">
        <v>3</v>
      </c>
      <c r="I996">
        <v>0</v>
      </c>
      <c r="J996"/>
      <c r="K996"/>
      <c r="L996"/>
      <c r="M996" s="1">
        <v>40112</v>
      </c>
      <c r="N996" t="s">
        <v>101</v>
      </c>
      <c r="O996"/>
      <c r="P996"/>
      <c r="Q996"/>
    </row>
    <row r="997" spans="1:17" x14ac:dyDescent="0.3">
      <c r="A997" t="str">
        <f>"11430"</f>
        <v>11430</v>
      </c>
      <c r="B997">
        <v>112447</v>
      </c>
      <c r="C997">
        <v>2</v>
      </c>
      <c r="D997" t="str">
        <f>"SO"</f>
        <v>SO</v>
      </c>
      <c r="E997"/>
      <c r="F997" s="19">
        <v>40066.327280092592</v>
      </c>
      <c r="G997"/>
      <c r="H997">
        <v>8</v>
      </c>
      <c r="I997">
        <v>0</v>
      </c>
      <c r="J997"/>
      <c r="K997"/>
      <c r="L997"/>
      <c r="M997" s="1">
        <v>40129</v>
      </c>
      <c r="N997" t="s">
        <v>101</v>
      </c>
      <c r="O997"/>
      <c r="P997"/>
      <c r="Q997"/>
    </row>
    <row r="998" spans="1:17" x14ac:dyDescent="0.3">
      <c r="A998" t="str">
        <f>"11430"</f>
        <v>11430</v>
      </c>
      <c r="B998">
        <v>112560</v>
      </c>
      <c r="C998">
        <v>3</v>
      </c>
      <c r="D998" t="str">
        <f>"SO"</f>
        <v>SO</v>
      </c>
      <c r="E998"/>
      <c r="F998" s="19">
        <v>40066.327280092592</v>
      </c>
      <c r="G998"/>
      <c r="H998">
        <v>16</v>
      </c>
      <c r="I998">
        <v>0</v>
      </c>
      <c r="J998"/>
      <c r="K998"/>
      <c r="L998"/>
      <c r="M998" s="1">
        <v>40129</v>
      </c>
      <c r="N998" t="s">
        <v>101</v>
      </c>
      <c r="O998"/>
      <c r="P998"/>
      <c r="Q998"/>
    </row>
    <row r="999" spans="1:17" x14ac:dyDescent="0.3">
      <c r="A999" t="str">
        <f>"11430"</f>
        <v>11430</v>
      </c>
      <c r="B999">
        <v>112673</v>
      </c>
      <c r="C999">
        <v>4</v>
      </c>
      <c r="D999" t="str">
        <f>"SO"</f>
        <v>SO</v>
      </c>
      <c r="E999"/>
      <c r="F999" s="19">
        <v>40066.327280092592</v>
      </c>
      <c r="G999"/>
      <c r="H999">
        <v>16</v>
      </c>
      <c r="I999">
        <v>0</v>
      </c>
      <c r="J999"/>
      <c r="K999"/>
      <c r="L999"/>
      <c r="M999" s="1">
        <v>40129</v>
      </c>
      <c r="N999" t="s">
        <v>101</v>
      </c>
      <c r="O999"/>
      <c r="P999"/>
      <c r="Q999"/>
    </row>
    <row r="1000" spans="1:17" x14ac:dyDescent="0.3">
      <c r="A1000" t="str">
        <f>"11430"</f>
        <v>11430</v>
      </c>
      <c r="B1000">
        <v>112786</v>
      </c>
      <c r="C1000">
        <v>5</v>
      </c>
      <c r="D1000" t="str">
        <f>"SO"</f>
        <v>SO</v>
      </c>
      <c r="E1000"/>
      <c r="F1000" s="19">
        <v>40072.648298611108</v>
      </c>
      <c r="G1000"/>
      <c r="H1000">
        <v>2</v>
      </c>
      <c r="I1000">
        <v>0</v>
      </c>
      <c r="J1000"/>
      <c r="K1000"/>
      <c r="L1000"/>
      <c r="M1000" s="1">
        <v>40129</v>
      </c>
      <c r="N1000" t="s">
        <v>101</v>
      </c>
      <c r="O1000"/>
      <c r="P1000"/>
      <c r="Q1000"/>
    </row>
    <row r="1001" spans="1:17" x14ac:dyDescent="0.3">
      <c r="A1001" t="str">
        <f>"11425"</f>
        <v>11425</v>
      </c>
      <c r="B1001">
        <v>112899</v>
      </c>
      <c r="C1001">
        <v>2</v>
      </c>
      <c r="D1001" t="str">
        <f>"SO"</f>
        <v>SO</v>
      </c>
      <c r="E1001"/>
      <c r="F1001" s="19">
        <v>40107.547673611109</v>
      </c>
      <c r="G1001"/>
      <c r="H1001">
        <v>1</v>
      </c>
      <c r="I1001">
        <v>0</v>
      </c>
      <c r="J1001"/>
      <c r="K1001"/>
      <c r="L1001"/>
      <c r="M1001" s="1">
        <v>40123</v>
      </c>
      <c r="N1001" t="s">
        <v>101</v>
      </c>
      <c r="O1001"/>
      <c r="P1001"/>
      <c r="Q1001"/>
    </row>
    <row r="1002" spans="1:17" x14ac:dyDescent="0.3">
      <c r="A1002" t="str">
        <f>"11425"</f>
        <v>11425</v>
      </c>
      <c r="B1002">
        <v>113012</v>
      </c>
      <c r="C1002">
        <v>3</v>
      </c>
      <c r="D1002" t="str">
        <f>"SO"</f>
        <v>SO</v>
      </c>
      <c r="E1002"/>
      <c r="F1002" s="19">
        <v>40107.547673611109</v>
      </c>
      <c r="G1002"/>
      <c r="H1002">
        <v>1</v>
      </c>
      <c r="I1002">
        <v>0</v>
      </c>
      <c r="J1002"/>
      <c r="K1002"/>
      <c r="L1002"/>
      <c r="M1002" s="1">
        <v>40123</v>
      </c>
      <c r="N1002" t="s">
        <v>101</v>
      </c>
      <c r="O1002"/>
      <c r="P1002"/>
      <c r="Q1002"/>
    </row>
    <row r="1003" spans="1:17" x14ac:dyDescent="0.3">
      <c r="A1003" t="str">
        <f>"11425"</f>
        <v>11425</v>
      </c>
      <c r="B1003">
        <v>113125</v>
      </c>
      <c r="C1003">
        <v>4</v>
      </c>
      <c r="D1003" t="str">
        <f>"SO"</f>
        <v>SO</v>
      </c>
      <c r="E1003"/>
      <c r="F1003" s="19">
        <v>40107.547673611109</v>
      </c>
      <c r="G1003"/>
      <c r="H1003">
        <v>1</v>
      </c>
      <c r="I1003">
        <v>0</v>
      </c>
      <c r="J1003"/>
      <c r="K1003"/>
      <c r="L1003"/>
      <c r="M1003" s="1">
        <v>40123</v>
      </c>
      <c r="N1003" t="s">
        <v>101</v>
      </c>
      <c r="O1003"/>
      <c r="P1003"/>
      <c r="Q1003"/>
    </row>
    <row r="1004" spans="1:17" x14ac:dyDescent="0.3">
      <c r="A1004" t="str">
        <f>"11425"</f>
        <v>11425</v>
      </c>
      <c r="B1004">
        <v>113238</v>
      </c>
      <c r="C1004">
        <v>5</v>
      </c>
      <c r="D1004" t="str">
        <f>"SO"</f>
        <v>SO</v>
      </c>
      <c r="E1004"/>
      <c r="F1004" s="19">
        <v>40107.547673611109</v>
      </c>
      <c r="G1004"/>
      <c r="H1004">
        <v>2</v>
      </c>
      <c r="I1004">
        <v>0</v>
      </c>
      <c r="J1004"/>
      <c r="K1004"/>
      <c r="L1004"/>
      <c r="M1004" s="1">
        <v>40123</v>
      </c>
      <c r="N1004" t="s">
        <v>101</v>
      </c>
      <c r="O1004"/>
      <c r="P1004"/>
      <c r="Q1004"/>
    </row>
    <row r="1005" spans="1:17" x14ac:dyDescent="0.3">
      <c r="A1005" t="str">
        <f>"11425"</f>
        <v>11425</v>
      </c>
      <c r="B1005">
        <v>113351</v>
      </c>
      <c r="C1005">
        <v>6</v>
      </c>
      <c r="D1005" t="str">
        <f>"SO"</f>
        <v>SO</v>
      </c>
      <c r="E1005"/>
      <c r="F1005" s="19">
        <v>40107.547673611109</v>
      </c>
      <c r="G1005"/>
      <c r="H1005">
        <v>1</v>
      </c>
      <c r="I1005">
        <v>0</v>
      </c>
      <c r="J1005"/>
      <c r="K1005"/>
      <c r="L1005"/>
      <c r="M1005" s="1">
        <v>40123</v>
      </c>
      <c r="N1005" t="s">
        <v>101</v>
      </c>
      <c r="O1005"/>
      <c r="P1005"/>
      <c r="Q1005"/>
    </row>
    <row r="1006" spans="1:17" x14ac:dyDescent="0.3">
      <c r="A1006" t="str">
        <f>"11425"</f>
        <v>11425</v>
      </c>
      <c r="B1006">
        <v>113464</v>
      </c>
      <c r="C1006">
        <v>7</v>
      </c>
      <c r="D1006" t="str">
        <f>"SO"</f>
        <v>SO</v>
      </c>
      <c r="E1006"/>
      <c r="F1006" s="19">
        <v>40107.547673611109</v>
      </c>
      <c r="G1006"/>
      <c r="H1006">
        <v>1</v>
      </c>
      <c r="I1006">
        <v>0</v>
      </c>
      <c r="J1006"/>
      <c r="K1006"/>
      <c r="L1006"/>
      <c r="M1006" s="1">
        <v>40123</v>
      </c>
      <c r="N1006" t="s">
        <v>101</v>
      </c>
      <c r="O1006"/>
      <c r="P1006"/>
      <c r="Q1006"/>
    </row>
    <row r="1007" spans="1:17" x14ac:dyDescent="0.3">
      <c r="A1007" t="str">
        <f>"11425"</f>
        <v>11425</v>
      </c>
      <c r="B1007">
        <v>113577</v>
      </c>
      <c r="C1007">
        <v>8</v>
      </c>
      <c r="D1007" t="str">
        <f>"SO"</f>
        <v>SO</v>
      </c>
      <c r="E1007"/>
      <c r="F1007" s="19">
        <v>40107.547673611109</v>
      </c>
      <c r="G1007"/>
      <c r="H1007">
        <v>1</v>
      </c>
      <c r="I1007">
        <v>0</v>
      </c>
      <c r="J1007"/>
      <c r="K1007"/>
      <c r="L1007"/>
      <c r="M1007" s="1">
        <v>40123</v>
      </c>
      <c r="N1007" t="s">
        <v>101</v>
      </c>
      <c r="O1007"/>
      <c r="P1007"/>
      <c r="Q1007"/>
    </row>
    <row r="1008" spans="1:17" x14ac:dyDescent="0.3">
      <c r="A1008" t="str">
        <f>"11425"</f>
        <v>11425</v>
      </c>
      <c r="B1008">
        <v>113690</v>
      </c>
      <c r="C1008">
        <v>9</v>
      </c>
      <c r="D1008" t="str">
        <f>"SO"</f>
        <v>SO</v>
      </c>
      <c r="E1008"/>
      <c r="F1008" s="19">
        <v>40107.547673611109</v>
      </c>
      <c r="G1008"/>
      <c r="H1008">
        <v>2</v>
      </c>
      <c r="I1008">
        <v>0</v>
      </c>
      <c r="J1008"/>
      <c r="K1008"/>
      <c r="L1008"/>
      <c r="M1008" s="1">
        <v>40123</v>
      </c>
      <c r="N1008" t="s">
        <v>101</v>
      </c>
      <c r="O1008"/>
      <c r="P1008"/>
      <c r="Q1008"/>
    </row>
    <row r="1009" spans="1:17" x14ac:dyDescent="0.3">
      <c r="A1009" t="str">
        <f>"11425"</f>
        <v>11425</v>
      </c>
      <c r="B1009">
        <v>113803</v>
      </c>
      <c r="C1009">
        <v>10</v>
      </c>
      <c r="D1009" t="str">
        <f>"SO"</f>
        <v>SO</v>
      </c>
      <c r="E1009"/>
      <c r="F1009" s="19">
        <v>40107.547673611109</v>
      </c>
      <c r="G1009"/>
      <c r="H1009">
        <v>2</v>
      </c>
      <c r="I1009">
        <v>0</v>
      </c>
      <c r="J1009"/>
      <c r="K1009"/>
      <c r="L1009"/>
      <c r="M1009" s="1">
        <v>40123</v>
      </c>
      <c r="N1009" t="s">
        <v>101</v>
      </c>
      <c r="O1009"/>
      <c r="P1009"/>
      <c r="Q1009"/>
    </row>
    <row r="1010" spans="1:17" x14ac:dyDescent="0.3">
      <c r="A1010" t="str">
        <f>"11425"</f>
        <v>11425</v>
      </c>
      <c r="B1010">
        <v>113916</v>
      </c>
      <c r="C1010">
        <v>11</v>
      </c>
      <c r="D1010" t="str">
        <f>"SO"</f>
        <v>SO</v>
      </c>
      <c r="E1010"/>
      <c r="F1010" s="19">
        <v>40107.547673611109</v>
      </c>
      <c r="G1010"/>
      <c r="H1010">
        <v>1</v>
      </c>
      <c r="I1010">
        <v>0</v>
      </c>
      <c r="J1010"/>
      <c r="K1010"/>
      <c r="L1010"/>
      <c r="M1010" s="1">
        <v>40123</v>
      </c>
      <c r="N1010" t="s">
        <v>101</v>
      </c>
      <c r="O1010"/>
      <c r="P1010"/>
      <c r="Q1010"/>
    </row>
    <row r="1011" spans="1:17" x14ac:dyDescent="0.3">
      <c r="A1011" t="str">
        <f>"11425"</f>
        <v>11425</v>
      </c>
      <c r="B1011">
        <v>114029</v>
      </c>
      <c r="C1011">
        <v>12</v>
      </c>
      <c r="D1011" t="str">
        <f>"SO"</f>
        <v>SO</v>
      </c>
      <c r="E1011"/>
      <c r="F1011" s="19">
        <v>40107.547673611109</v>
      </c>
      <c r="G1011"/>
      <c r="H1011">
        <v>2</v>
      </c>
      <c r="I1011">
        <v>0</v>
      </c>
      <c r="J1011"/>
      <c r="K1011"/>
      <c r="L1011"/>
      <c r="M1011" s="1">
        <v>40123</v>
      </c>
      <c r="N1011" t="s">
        <v>101</v>
      </c>
      <c r="O1011"/>
      <c r="P1011"/>
      <c r="Q1011"/>
    </row>
    <row r="1012" spans="1:17" x14ac:dyDescent="0.3">
      <c r="A1012" t="str">
        <f>"11425"</f>
        <v>11425</v>
      </c>
      <c r="B1012">
        <v>114142</v>
      </c>
      <c r="C1012">
        <v>13</v>
      </c>
      <c r="D1012" t="str">
        <f>"SO"</f>
        <v>SO</v>
      </c>
      <c r="E1012"/>
      <c r="F1012" s="19">
        <v>40107.547673611109</v>
      </c>
      <c r="G1012"/>
      <c r="H1012">
        <v>2</v>
      </c>
      <c r="I1012">
        <v>0</v>
      </c>
      <c r="J1012"/>
      <c r="K1012"/>
      <c r="L1012"/>
      <c r="M1012" s="1">
        <v>40123</v>
      </c>
      <c r="N1012" t="s">
        <v>101</v>
      </c>
      <c r="O1012"/>
      <c r="P1012"/>
      <c r="Q1012"/>
    </row>
    <row r="1013" spans="1:17" x14ac:dyDescent="0.3">
      <c r="A1013" t="str">
        <f>"11425"</f>
        <v>11425</v>
      </c>
      <c r="B1013">
        <v>114255</v>
      </c>
      <c r="C1013">
        <v>14</v>
      </c>
      <c r="D1013" t="str">
        <f>"SO"</f>
        <v>SO</v>
      </c>
      <c r="E1013"/>
      <c r="F1013" s="19">
        <v>40107.547673611109</v>
      </c>
      <c r="G1013"/>
      <c r="H1013">
        <v>1</v>
      </c>
      <c r="I1013">
        <v>0</v>
      </c>
      <c r="J1013"/>
      <c r="K1013"/>
      <c r="L1013"/>
      <c r="M1013" s="1">
        <v>40123</v>
      </c>
      <c r="N1013" t="s">
        <v>101</v>
      </c>
      <c r="O1013"/>
      <c r="P1013"/>
      <c r="Q1013"/>
    </row>
    <row r="1014" spans="1:17" x14ac:dyDescent="0.3">
      <c r="A1014" t="str">
        <f>"11425"</f>
        <v>11425</v>
      </c>
      <c r="B1014">
        <v>114368</v>
      </c>
      <c r="C1014">
        <v>15</v>
      </c>
      <c r="D1014" t="str">
        <f>"SO"</f>
        <v>SO</v>
      </c>
      <c r="E1014"/>
      <c r="F1014" s="19">
        <v>40107.547673611109</v>
      </c>
      <c r="G1014"/>
      <c r="H1014">
        <v>1</v>
      </c>
      <c r="I1014">
        <v>0</v>
      </c>
      <c r="J1014"/>
      <c r="K1014"/>
      <c r="L1014"/>
      <c r="M1014" s="1">
        <v>40123</v>
      </c>
      <c r="N1014" t="s">
        <v>101</v>
      </c>
      <c r="O1014"/>
      <c r="P1014"/>
      <c r="Q1014"/>
    </row>
    <row r="1015" spans="1:17" x14ac:dyDescent="0.3">
      <c r="A1015" t="str">
        <f>"11425"</f>
        <v>11425</v>
      </c>
      <c r="B1015">
        <v>114481</v>
      </c>
      <c r="C1015">
        <v>16</v>
      </c>
      <c r="D1015" t="str">
        <f>"SO"</f>
        <v>SO</v>
      </c>
      <c r="E1015"/>
      <c r="F1015" s="19">
        <v>40107.547673611109</v>
      </c>
      <c r="G1015"/>
      <c r="H1015">
        <v>1</v>
      </c>
      <c r="I1015">
        <v>0</v>
      </c>
      <c r="J1015"/>
      <c r="K1015"/>
      <c r="L1015"/>
      <c r="M1015" s="1">
        <v>40123</v>
      </c>
      <c r="N1015" t="s">
        <v>101</v>
      </c>
      <c r="O1015"/>
      <c r="P1015"/>
      <c r="Q1015"/>
    </row>
    <row r="1016" spans="1:17" x14ac:dyDescent="0.3">
      <c r="A1016" t="str">
        <f>"11425"</f>
        <v>11425</v>
      </c>
      <c r="B1016">
        <v>114594</v>
      </c>
      <c r="C1016">
        <v>17</v>
      </c>
      <c r="D1016" t="str">
        <f>"SO"</f>
        <v>SO</v>
      </c>
      <c r="E1016"/>
      <c r="F1016" s="19">
        <v>40107.547673611109</v>
      </c>
      <c r="G1016"/>
      <c r="H1016">
        <v>1</v>
      </c>
      <c r="I1016">
        <v>0</v>
      </c>
      <c r="J1016"/>
      <c r="K1016"/>
      <c r="L1016"/>
      <c r="M1016" s="1">
        <v>40123</v>
      </c>
      <c r="N1016" t="s">
        <v>101</v>
      </c>
      <c r="O1016"/>
      <c r="P1016"/>
      <c r="Q1016"/>
    </row>
    <row r="1017" spans="1:17" x14ac:dyDescent="0.3">
      <c r="A1017" t="str">
        <f>"11425"</f>
        <v>11425</v>
      </c>
      <c r="B1017">
        <v>114707</v>
      </c>
      <c r="C1017">
        <v>18</v>
      </c>
      <c r="D1017" t="str">
        <f>"SO"</f>
        <v>SO</v>
      </c>
      <c r="E1017"/>
      <c r="F1017" s="19">
        <v>40107.547673611109</v>
      </c>
      <c r="G1017"/>
      <c r="H1017">
        <v>1</v>
      </c>
      <c r="I1017">
        <v>0</v>
      </c>
      <c r="J1017"/>
      <c r="K1017"/>
      <c r="L1017"/>
      <c r="M1017" s="1">
        <v>40123</v>
      </c>
      <c r="N1017" t="s">
        <v>101</v>
      </c>
      <c r="O1017"/>
      <c r="P1017"/>
      <c r="Q1017"/>
    </row>
    <row r="1018" spans="1:17" x14ac:dyDescent="0.3">
      <c r="A1018" t="str">
        <f>"11425"</f>
        <v>11425</v>
      </c>
      <c r="B1018">
        <v>114820</v>
      </c>
      <c r="C1018">
        <v>19</v>
      </c>
      <c r="D1018" t="str">
        <f>"SO"</f>
        <v>SO</v>
      </c>
      <c r="E1018"/>
      <c r="F1018" s="19">
        <v>40107.547673611109</v>
      </c>
      <c r="G1018"/>
      <c r="H1018">
        <v>1</v>
      </c>
      <c r="I1018">
        <v>0</v>
      </c>
      <c r="J1018"/>
      <c r="K1018"/>
      <c r="L1018"/>
      <c r="M1018" s="1">
        <v>40123</v>
      </c>
      <c r="N1018" t="s">
        <v>101</v>
      </c>
      <c r="O1018"/>
      <c r="P1018"/>
      <c r="Q1018"/>
    </row>
    <row r="1019" spans="1:17" x14ac:dyDescent="0.3">
      <c r="A1019" t="str">
        <f>"11425"</f>
        <v>11425</v>
      </c>
      <c r="B1019">
        <v>114933</v>
      </c>
      <c r="C1019">
        <v>20</v>
      </c>
      <c r="D1019" t="str">
        <f>"SO"</f>
        <v>SO</v>
      </c>
      <c r="E1019"/>
      <c r="F1019" s="19">
        <v>40107.547673611109</v>
      </c>
      <c r="G1019"/>
      <c r="H1019">
        <v>1</v>
      </c>
      <c r="I1019">
        <v>0</v>
      </c>
      <c r="J1019"/>
      <c r="K1019"/>
      <c r="L1019"/>
      <c r="M1019" s="1">
        <v>40123</v>
      </c>
      <c r="N1019" t="s">
        <v>101</v>
      </c>
      <c r="O1019"/>
      <c r="P1019"/>
      <c r="Q1019"/>
    </row>
    <row r="1020" spans="1:17" x14ac:dyDescent="0.3">
      <c r="A1020" t="str">
        <f>"11425"</f>
        <v>11425</v>
      </c>
      <c r="B1020">
        <v>115046</v>
      </c>
      <c r="C1020">
        <v>21</v>
      </c>
      <c r="D1020" t="str">
        <f>"SO"</f>
        <v>SO</v>
      </c>
      <c r="E1020"/>
      <c r="F1020" s="19">
        <v>40107.547673611109</v>
      </c>
      <c r="G1020"/>
      <c r="H1020">
        <v>1</v>
      </c>
      <c r="I1020">
        <v>0</v>
      </c>
      <c r="J1020"/>
      <c r="K1020"/>
      <c r="L1020"/>
      <c r="M1020" s="1">
        <v>40123</v>
      </c>
      <c r="N1020" t="s">
        <v>101</v>
      </c>
      <c r="O1020"/>
      <c r="P1020"/>
      <c r="Q1020"/>
    </row>
    <row r="1021" spans="1:17" x14ac:dyDescent="0.3">
      <c r="A1021" t="str">
        <f>"11425"</f>
        <v>11425</v>
      </c>
      <c r="B1021">
        <v>115159</v>
      </c>
      <c r="C1021">
        <v>22</v>
      </c>
      <c r="D1021" t="str">
        <f>"SO"</f>
        <v>SO</v>
      </c>
      <c r="E1021"/>
      <c r="F1021" s="19">
        <v>40107.547673611109</v>
      </c>
      <c r="G1021"/>
      <c r="H1021">
        <v>1</v>
      </c>
      <c r="I1021">
        <v>0</v>
      </c>
      <c r="J1021"/>
      <c r="K1021"/>
      <c r="L1021"/>
      <c r="M1021" s="1">
        <v>40123</v>
      </c>
      <c r="N1021" t="s">
        <v>101</v>
      </c>
      <c r="O1021"/>
      <c r="P1021"/>
      <c r="Q1021"/>
    </row>
    <row r="1022" spans="1:17" x14ac:dyDescent="0.3">
      <c r="A1022" t="str">
        <f>"11425"</f>
        <v>11425</v>
      </c>
      <c r="B1022">
        <v>115272</v>
      </c>
      <c r="C1022">
        <v>23</v>
      </c>
      <c r="D1022" t="str">
        <f>"SO"</f>
        <v>SO</v>
      </c>
      <c r="E1022"/>
      <c r="F1022" s="19">
        <v>40107.547673611109</v>
      </c>
      <c r="G1022"/>
      <c r="H1022">
        <v>1</v>
      </c>
      <c r="I1022">
        <v>0</v>
      </c>
      <c r="J1022"/>
      <c r="K1022"/>
      <c r="L1022"/>
      <c r="M1022" s="1">
        <v>40123</v>
      </c>
      <c r="N1022" t="s">
        <v>101</v>
      </c>
      <c r="O1022"/>
      <c r="P1022"/>
      <c r="Q1022"/>
    </row>
    <row r="1023" spans="1:17" x14ac:dyDescent="0.3">
      <c r="A1023" t="str">
        <f>"11425"</f>
        <v>11425</v>
      </c>
      <c r="B1023">
        <v>115385</v>
      </c>
      <c r="C1023">
        <v>24</v>
      </c>
      <c r="D1023" t="str">
        <f>"SO"</f>
        <v>SO</v>
      </c>
      <c r="E1023"/>
      <c r="F1023" s="19">
        <v>40107.547673611109</v>
      </c>
      <c r="G1023"/>
      <c r="H1023">
        <v>1</v>
      </c>
      <c r="I1023">
        <v>0</v>
      </c>
      <c r="J1023"/>
      <c r="K1023"/>
      <c r="L1023"/>
      <c r="M1023" s="1">
        <v>40123</v>
      </c>
      <c r="N1023" t="s">
        <v>101</v>
      </c>
      <c r="O1023"/>
      <c r="P1023"/>
      <c r="Q1023"/>
    </row>
    <row r="1024" spans="1:17" x14ac:dyDescent="0.3">
      <c r="A1024" t="str">
        <f>"11425"</f>
        <v>11425</v>
      </c>
      <c r="B1024">
        <v>115498</v>
      </c>
      <c r="C1024">
        <v>25</v>
      </c>
      <c r="D1024" t="str">
        <f>"SO"</f>
        <v>SO</v>
      </c>
      <c r="E1024"/>
      <c r="F1024" s="19">
        <v>40107.547673611109</v>
      </c>
      <c r="G1024"/>
      <c r="H1024">
        <v>1</v>
      </c>
      <c r="I1024">
        <v>0</v>
      </c>
      <c r="J1024"/>
      <c r="K1024"/>
      <c r="L1024"/>
      <c r="M1024" s="1">
        <v>40123</v>
      </c>
      <c r="N1024" t="s">
        <v>101</v>
      </c>
      <c r="O1024"/>
      <c r="P1024"/>
      <c r="Q1024"/>
    </row>
    <row r="1025" spans="1:17" x14ac:dyDescent="0.3">
      <c r="A1025" t="str">
        <f>"11425"</f>
        <v>11425</v>
      </c>
      <c r="B1025">
        <v>115611</v>
      </c>
      <c r="C1025">
        <v>26</v>
      </c>
      <c r="D1025" t="str">
        <f>"SO"</f>
        <v>SO</v>
      </c>
      <c r="E1025"/>
      <c r="F1025" s="19">
        <v>40107.547673611109</v>
      </c>
      <c r="G1025"/>
      <c r="H1025">
        <v>1</v>
      </c>
      <c r="I1025">
        <v>0</v>
      </c>
      <c r="J1025"/>
      <c r="K1025"/>
      <c r="L1025"/>
      <c r="M1025" s="1">
        <v>40123</v>
      </c>
      <c r="N1025" t="s">
        <v>101</v>
      </c>
      <c r="O1025"/>
      <c r="P1025"/>
      <c r="Q1025"/>
    </row>
    <row r="1026" spans="1:17" x14ac:dyDescent="0.3">
      <c r="A1026" t="str">
        <f>"11425"</f>
        <v>11425</v>
      </c>
      <c r="B1026">
        <v>115724</v>
      </c>
      <c r="C1026">
        <v>27</v>
      </c>
      <c r="D1026" t="str">
        <f>"SO"</f>
        <v>SO</v>
      </c>
      <c r="E1026"/>
      <c r="F1026" s="19">
        <v>40107.547673611109</v>
      </c>
      <c r="G1026"/>
      <c r="H1026">
        <v>2</v>
      </c>
      <c r="I1026">
        <v>0</v>
      </c>
      <c r="J1026"/>
      <c r="K1026"/>
      <c r="L1026"/>
      <c r="M1026" s="1">
        <v>40123</v>
      </c>
      <c r="N1026" t="s">
        <v>101</v>
      </c>
      <c r="O1026"/>
      <c r="P1026"/>
      <c r="Q1026"/>
    </row>
    <row r="1027" spans="1:17" x14ac:dyDescent="0.3">
      <c r="A1027" t="str">
        <f>"11425"</f>
        <v>11425</v>
      </c>
      <c r="B1027">
        <v>115837</v>
      </c>
      <c r="C1027">
        <v>28</v>
      </c>
      <c r="D1027" t="str">
        <f>"SO"</f>
        <v>SO</v>
      </c>
      <c r="E1027"/>
      <c r="F1027" s="19">
        <v>40107.547673611109</v>
      </c>
      <c r="G1027"/>
      <c r="H1027">
        <v>2</v>
      </c>
      <c r="I1027">
        <v>0</v>
      </c>
      <c r="J1027"/>
      <c r="K1027"/>
      <c r="L1027"/>
      <c r="M1027" s="1">
        <v>40123</v>
      </c>
      <c r="N1027" t="s">
        <v>101</v>
      </c>
      <c r="O1027"/>
      <c r="P1027"/>
      <c r="Q1027"/>
    </row>
    <row r="1028" spans="1:17" x14ac:dyDescent="0.3">
      <c r="A1028" t="str">
        <f>"11425"</f>
        <v>11425</v>
      </c>
      <c r="B1028">
        <v>115950</v>
      </c>
      <c r="C1028">
        <v>29</v>
      </c>
      <c r="D1028" t="str">
        <f>"SO"</f>
        <v>SO</v>
      </c>
      <c r="E1028"/>
      <c r="F1028" s="19">
        <v>40107.547673611109</v>
      </c>
      <c r="G1028"/>
      <c r="H1028">
        <v>2</v>
      </c>
      <c r="I1028">
        <v>0</v>
      </c>
      <c r="J1028"/>
      <c r="K1028"/>
      <c r="L1028"/>
      <c r="M1028" s="1">
        <v>40123</v>
      </c>
      <c r="N1028" t="s">
        <v>101</v>
      </c>
      <c r="O1028"/>
      <c r="P1028"/>
      <c r="Q1028"/>
    </row>
    <row r="1029" spans="1:17" x14ac:dyDescent="0.3">
      <c r="A1029" t="str">
        <f>"11425"</f>
        <v>11425</v>
      </c>
      <c r="B1029">
        <v>116063</v>
      </c>
      <c r="C1029">
        <v>30</v>
      </c>
      <c r="D1029" t="str">
        <f>"SO"</f>
        <v>SO</v>
      </c>
      <c r="E1029"/>
      <c r="F1029" s="19">
        <v>40107.547673611109</v>
      </c>
      <c r="G1029"/>
      <c r="H1029">
        <v>4</v>
      </c>
      <c r="I1029">
        <v>0</v>
      </c>
      <c r="J1029"/>
      <c r="K1029"/>
      <c r="L1029"/>
      <c r="M1029" s="1">
        <v>40123</v>
      </c>
      <c r="N1029" t="s">
        <v>101</v>
      </c>
      <c r="O1029"/>
      <c r="P1029"/>
      <c r="Q1029"/>
    </row>
    <row r="1030" spans="1:17" x14ac:dyDescent="0.3">
      <c r="A1030" t="str">
        <f>"11425"</f>
        <v>11425</v>
      </c>
      <c r="B1030">
        <v>116176</v>
      </c>
      <c r="C1030">
        <v>31</v>
      </c>
      <c r="D1030" t="str">
        <f>"SO"</f>
        <v>SO</v>
      </c>
      <c r="E1030"/>
      <c r="F1030" s="19">
        <v>40107.547673611109</v>
      </c>
      <c r="G1030"/>
      <c r="H1030">
        <v>1</v>
      </c>
      <c r="I1030">
        <v>0</v>
      </c>
      <c r="J1030"/>
      <c r="K1030"/>
      <c r="L1030"/>
      <c r="M1030" s="1">
        <v>40123</v>
      </c>
      <c r="N1030" t="s">
        <v>101</v>
      </c>
      <c r="O1030"/>
      <c r="P1030"/>
      <c r="Q1030"/>
    </row>
    <row r="1031" spans="1:17" x14ac:dyDescent="0.3">
      <c r="A1031" t="str">
        <f>"11425"</f>
        <v>11425</v>
      </c>
      <c r="B1031">
        <v>116289</v>
      </c>
      <c r="C1031">
        <v>32</v>
      </c>
      <c r="D1031" t="str">
        <f>"SO"</f>
        <v>SO</v>
      </c>
      <c r="E1031"/>
      <c r="F1031" s="19">
        <v>40107.547673611109</v>
      </c>
      <c r="G1031"/>
      <c r="H1031">
        <v>1</v>
      </c>
      <c r="I1031">
        <v>0</v>
      </c>
      <c r="J1031"/>
      <c r="K1031"/>
      <c r="L1031"/>
      <c r="M1031" s="1">
        <v>40123</v>
      </c>
      <c r="N1031" t="s">
        <v>101</v>
      </c>
      <c r="O1031"/>
      <c r="P1031"/>
      <c r="Q1031"/>
    </row>
    <row r="1032" spans="1:17" x14ac:dyDescent="0.3">
      <c r="A1032" t="str">
        <f>"11425"</f>
        <v>11425</v>
      </c>
      <c r="B1032">
        <v>116402</v>
      </c>
      <c r="C1032">
        <v>33</v>
      </c>
      <c r="D1032" t="str">
        <f>"SO"</f>
        <v>SO</v>
      </c>
      <c r="E1032"/>
      <c r="F1032" s="19">
        <v>40108.53765046296</v>
      </c>
      <c r="G1032"/>
      <c r="H1032">
        <v>4</v>
      </c>
      <c r="I1032">
        <v>0</v>
      </c>
      <c r="J1032"/>
      <c r="K1032"/>
      <c r="L1032"/>
      <c r="M1032" s="1">
        <v>40123</v>
      </c>
      <c r="N1032" t="s">
        <v>101</v>
      </c>
      <c r="O1032"/>
      <c r="P1032"/>
      <c r="Q1032"/>
    </row>
    <row r="1033" spans="1:17" x14ac:dyDescent="0.3">
      <c r="A1033" t="str">
        <f>"11425"</f>
        <v>11425</v>
      </c>
      <c r="B1033">
        <v>116515</v>
      </c>
      <c r="C1033">
        <v>34</v>
      </c>
      <c r="D1033" t="str">
        <f>"SO"</f>
        <v>SO</v>
      </c>
      <c r="E1033"/>
      <c r="F1033" s="19">
        <v>40108.53765046296</v>
      </c>
      <c r="G1033"/>
      <c r="H1033">
        <v>2</v>
      </c>
      <c r="I1033">
        <v>0</v>
      </c>
      <c r="J1033"/>
      <c r="K1033"/>
      <c r="L1033"/>
      <c r="M1033" s="1">
        <v>40123</v>
      </c>
      <c r="N1033" t="s">
        <v>101</v>
      </c>
      <c r="O1033"/>
      <c r="P1033"/>
      <c r="Q1033"/>
    </row>
    <row r="1034" spans="1:17" x14ac:dyDescent="0.3">
      <c r="A1034" t="str">
        <f>"11425"</f>
        <v>11425</v>
      </c>
      <c r="B1034">
        <v>116628</v>
      </c>
      <c r="C1034">
        <v>35</v>
      </c>
      <c r="D1034" t="str">
        <f>"SO"</f>
        <v>SO</v>
      </c>
      <c r="E1034"/>
      <c r="F1034" s="19">
        <v>40108.53765046296</v>
      </c>
      <c r="G1034"/>
      <c r="H1034">
        <v>1</v>
      </c>
      <c r="I1034">
        <v>0</v>
      </c>
      <c r="J1034"/>
      <c r="K1034"/>
      <c r="L1034"/>
      <c r="M1034" s="1">
        <v>40123</v>
      </c>
      <c r="N1034" t="s">
        <v>101</v>
      </c>
      <c r="O1034"/>
      <c r="P1034"/>
      <c r="Q1034"/>
    </row>
    <row r="1035" spans="1:17" x14ac:dyDescent="0.3">
      <c r="A1035" t="str">
        <f>"11425"</f>
        <v>11425</v>
      </c>
      <c r="B1035">
        <v>116741</v>
      </c>
      <c r="C1035">
        <v>36</v>
      </c>
      <c r="D1035" t="str">
        <f>"SO"</f>
        <v>SO</v>
      </c>
      <c r="E1035"/>
      <c r="F1035" s="19">
        <v>40108.53765046296</v>
      </c>
      <c r="G1035"/>
      <c r="H1035">
        <v>1</v>
      </c>
      <c r="I1035">
        <v>0</v>
      </c>
      <c r="J1035"/>
      <c r="K1035"/>
      <c r="L1035"/>
      <c r="M1035" s="1">
        <v>40123</v>
      </c>
      <c r="N1035" t="s">
        <v>101</v>
      </c>
      <c r="O1035"/>
      <c r="P1035"/>
      <c r="Q1035"/>
    </row>
    <row r="1036" spans="1:17" x14ac:dyDescent="0.3">
      <c r="A1036" t="str">
        <f>"11425"</f>
        <v>11425</v>
      </c>
      <c r="B1036">
        <v>116854</v>
      </c>
      <c r="C1036">
        <v>37</v>
      </c>
      <c r="D1036" t="str">
        <f>"SO"</f>
        <v>SO</v>
      </c>
      <c r="E1036"/>
      <c r="F1036" s="19">
        <v>40108.53765046296</v>
      </c>
      <c r="G1036"/>
      <c r="H1036">
        <v>1</v>
      </c>
      <c r="I1036">
        <v>0</v>
      </c>
      <c r="J1036"/>
      <c r="K1036"/>
      <c r="L1036"/>
      <c r="M1036" s="1">
        <v>40123</v>
      </c>
      <c r="N1036" t="s">
        <v>101</v>
      </c>
      <c r="O1036"/>
      <c r="P1036"/>
      <c r="Q1036"/>
    </row>
    <row r="1037" spans="1:17" x14ac:dyDescent="0.3">
      <c r="A1037" t="str">
        <f>"11425"</f>
        <v>11425</v>
      </c>
      <c r="B1037">
        <v>116967</v>
      </c>
      <c r="C1037">
        <v>38</v>
      </c>
      <c r="D1037" t="str">
        <f>"SO"</f>
        <v>SO</v>
      </c>
      <c r="E1037"/>
      <c r="F1037" s="19">
        <v>40108.53765046296</v>
      </c>
      <c r="G1037"/>
      <c r="H1037">
        <v>4</v>
      </c>
      <c r="I1037">
        <v>0</v>
      </c>
      <c r="J1037"/>
      <c r="K1037"/>
      <c r="L1037"/>
      <c r="M1037" s="1">
        <v>40123</v>
      </c>
      <c r="N1037" t="s">
        <v>101</v>
      </c>
      <c r="O1037"/>
      <c r="P1037"/>
      <c r="Q1037"/>
    </row>
    <row r="1038" spans="1:17" x14ac:dyDescent="0.3">
      <c r="A1038" t="str">
        <f>"11425"</f>
        <v>11425</v>
      </c>
      <c r="B1038">
        <v>117080</v>
      </c>
      <c r="C1038">
        <v>39</v>
      </c>
      <c r="D1038" t="str">
        <f>"SO"</f>
        <v>SO</v>
      </c>
      <c r="E1038"/>
      <c r="F1038" s="19">
        <v>40108.53765046296</v>
      </c>
      <c r="G1038"/>
      <c r="H1038">
        <v>8</v>
      </c>
      <c r="I1038">
        <v>0</v>
      </c>
      <c r="J1038"/>
      <c r="K1038"/>
      <c r="L1038"/>
      <c r="M1038" s="1">
        <v>40123</v>
      </c>
      <c r="N1038" t="s">
        <v>101</v>
      </c>
      <c r="O1038"/>
      <c r="P1038"/>
      <c r="Q1038"/>
    </row>
    <row r="1039" spans="1:17" x14ac:dyDescent="0.3">
      <c r="A1039" t="str">
        <f>"11425"</f>
        <v>11425</v>
      </c>
      <c r="B1039">
        <v>117193</v>
      </c>
      <c r="C1039">
        <v>40</v>
      </c>
      <c r="D1039" t="str">
        <f>"SO"</f>
        <v>SO</v>
      </c>
      <c r="E1039"/>
      <c r="F1039" s="19">
        <v>40108.53765046296</v>
      </c>
      <c r="G1039"/>
      <c r="H1039">
        <v>8</v>
      </c>
      <c r="I1039">
        <v>0</v>
      </c>
      <c r="J1039"/>
      <c r="K1039"/>
      <c r="L1039"/>
      <c r="M1039" s="1">
        <v>40123</v>
      </c>
      <c r="N1039" t="s">
        <v>101</v>
      </c>
      <c r="O1039"/>
      <c r="P1039"/>
      <c r="Q1039"/>
    </row>
    <row r="1040" spans="1:17" x14ac:dyDescent="0.3">
      <c r="A1040" t="str">
        <f>"11425"</f>
        <v>11425</v>
      </c>
      <c r="B1040">
        <v>117306</v>
      </c>
      <c r="C1040">
        <v>41</v>
      </c>
      <c r="D1040" t="str">
        <f>"SO"</f>
        <v>SO</v>
      </c>
      <c r="E1040"/>
      <c r="F1040" s="19">
        <v>40108.53765046296</v>
      </c>
      <c r="G1040"/>
      <c r="H1040">
        <v>1</v>
      </c>
      <c r="I1040">
        <v>0</v>
      </c>
      <c r="J1040"/>
      <c r="K1040"/>
      <c r="L1040"/>
      <c r="M1040" s="1">
        <v>40123</v>
      </c>
      <c r="N1040" t="s">
        <v>101</v>
      </c>
      <c r="O1040"/>
      <c r="P1040"/>
      <c r="Q1040"/>
    </row>
    <row r="1041" spans="1:17" x14ac:dyDescent="0.3">
      <c r="A1041" t="str">
        <f>"11362"</f>
        <v>11362</v>
      </c>
      <c r="B1041">
        <v>117419</v>
      </c>
      <c r="C1041">
        <v>2</v>
      </c>
      <c r="D1041" t="str">
        <f>"SO"</f>
        <v>SO</v>
      </c>
      <c r="E1041"/>
      <c r="F1041" s="19">
        <v>40100.621423611112</v>
      </c>
      <c r="G1041"/>
      <c r="H1041">
        <v>1</v>
      </c>
      <c r="I1041">
        <v>0</v>
      </c>
      <c r="J1041"/>
      <c r="K1041"/>
      <c r="L1041"/>
      <c r="M1041" s="1">
        <v>40137</v>
      </c>
      <c r="N1041" t="s">
        <v>101</v>
      </c>
      <c r="O1041"/>
      <c r="P1041"/>
      <c r="Q1041"/>
    </row>
    <row r="1042" spans="1:17" x14ac:dyDescent="0.3">
      <c r="A1042" t="str">
        <f>"11362"</f>
        <v>11362</v>
      </c>
      <c r="B1042">
        <v>117532</v>
      </c>
      <c r="C1042">
        <v>3</v>
      </c>
      <c r="D1042" t="str">
        <f>"SO"</f>
        <v>SO</v>
      </c>
      <c r="E1042"/>
      <c r="F1042" s="19">
        <v>40100.621423611112</v>
      </c>
      <c r="G1042"/>
      <c r="H1042">
        <v>1</v>
      </c>
      <c r="I1042">
        <v>0</v>
      </c>
      <c r="J1042"/>
      <c r="K1042"/>
      <c r="L1042"/>
      <c r="M1042" s="1">
        <v>40137</v>
      </c>
      <c r="N1042" t="s">
        <v>101</v>
      </c>
      <c r="O1042"/>
      <c r="P1042"/>
      <c r="Q1042"/>
    </row>
    <row r="1043" spans="1:17" x14ac:dyDescent="0.3">
      <c r="A1043" t="str">
        <f>"11362"</f>
        <v>11362</v>
      </c>
      <c r="B1043">
        <v>117645</v>
      </c>
      <c r="C1043">
        <v>4</v>
      </c>
      <c r="D1043" t="str">
        <f>"SO"</f>
        <v>SO</v>
      </c>
      <c r="E1043"/>
      <c r="F1043" s="19">
        <v>40100.621423611112</v>
      </c>
      <c r="G1043"/>
      <c r="H1043">
        <v>1</v>
      </c>
      <c r="I1043">
        <v>0</v>
      </c>
      <c r="J1043"/>
      <c r="K1043"/>
      <c r="L1043"/>
      <c r="M1043" s="1">
        <v>40137</v>
      </c>
      <c r="N1043" t="s">
        <v>101</v>
      </c>
      <c r="O1043"/>
      <c r="P1043"/>
      <c r="Q1043"/>
    </row>
    <row r="1044" spans="1:17" x14ac:dyDescent="0.3">
      <c r="A1044" t="str">
        <f>"11362"</f>
        <v>11362</v>
      </c>
      <c r="B1044">
        <v>117758</v>
      </c>
      <c r="C1044">
        <v>5</v>
      </c>
      <c r="D1044" t="str">
        <f>"SO"</f>
        <v>SO</v>
      </c>
      <c r="E1044"/>
      <c r="F1044" s="19">
        <v>40100.621423611112</v>
      </c>
      <c r="G1044"/>
      <c r="H1044">
        <v>1</v>
      </c>
      <c r="I1044">
        <v>0</v>
      </c>
      <c r="J1044"/>
      <c r="K1044"/>
      <c r="L1044"/>
      <c r="M1044" s="1">
        <v>40137</v>
      </c>
      <c r="N1044" t="s">
        <v>101</v>
      </c>
      <c r="O1044"/>
      <c r="P1044"/>
      <c r="Q1044"/>
    </row>
    <row r="1045" spans="1:17" x14ac:dyDescent="0.3">
      <c r="A1045" t="str">
        <f>"11362"</f>
        <v>11362</v>
      </c>
      <c r="B1045">
        <v>117871</v>
      </c>
      <c r="C1045">
        <v>6</v>
      </c>
      <c r="D1045" t="str">
        <f>"SO"</f>
        <v>SO</v>
      </c>
      <c r="E1045"/>
      <c r="F1045" s="19">
        <v>40100.621423611112</v>
      </c>
      <c r="G1045"/>
      <c r="H1045">
        <v>1</v>
      </c>
      <c r="I1045">
        <v>0</v>
      </c>
      <c r="J1045"/>
      <c r="K1045"/>
      <c r="L1045"/>
      <c r="M1045" s="1">
        <v>40137</v>
      </c>
      <c r="N1045" t="s">
        <v>101</v>
      </c>
      <c r="O1045"/>
      <c r="P1045"/>
      <c r="Q1045"/>
    </row>
    <row r="1046" spans="1:17" x14ac:dyDescent="0.3">
      <c r="A1046" t="str">
        <f>"11362"</f>
        <v>11362</v>
      </c>
      <c r="B1046">
        <v>117984</v>
      </c>
      <c r="C1046">
        <v>7</v>
      </c>
      <c r="D1046" t="str">
        <f>"SO"</f>
        <v>SO</v>
      </c>
      <c r="E1046"/>
      <c r="F1046" s="19">
        <v>40100.621423611112</v>
      </c>
      <c r="G1046"/>
      <c r="H1046">
        <v>1</v>
      </c>
      <c r="I1046">
        <v>0</v>
      </c>
      <c r="J1046"/>
      <c r="K1046"/>
      <c r="L1046"/>
      <c r="M1046" s="1">
        <v>40137</v>
      </c>
      <c r="N1046" t="s">
        <v>101</v>
      </c>
      <c r="O1046"/>
      <c r="P1046"/>
      <c r="Q1046"/>
    </row>
    <row r="1047" spans="1:17" x14ac:dyDescent="0.3">
      <c r="A1047" t="str">
        <f>"11362"</f>
        <v>11362</v>
      </c>
      <c r="B1047">
        <v>118097</v>
      </c>
      <c r="C1047">
        <v>8</v>
      </c>
      <c r="D1047" t="str">
        <f>"SO"</f>
        <v>SO</v>
      </c>
      <c r="E1047"/>
      <c r="F1047" s="19">
        <v>40100.621423611112</v>
      </c>
      <c r="G1047"/>
      <c r="H1047">
        <v>12</v>
      </c>
      <c r="I1047">
        <v>0</v>
      </c>
      <c r="J1047"/>
      <c r="K1047"/>
      <c r="L1047"/>
      <c r="M1047" s="1">
        <v>40137</v>
      </c>
      <c r="N1047" t="s">
        <v>101</v>
      </c>
      <c r="O1047"/>
      <c r="P1047"/>
      <c r="Q1047"/>
    </row>
    <row r="1048" spans="1:17" x14ac:dyDescent="0.3">
      <c r="A1048" t="str">
        <f>"11362"</f>
        <v>11362</v>
      </c>
      <c r="B1048">
        <v>118210</v>
      </c>
      <c r="C1048">
        <v>9</v>
      </c>
      <c r="D1048" t="str">
        <f>"SO"</f>
        <v>SO</v>
      </c>
      <c r="E1048"/>
      <c r="F1048" s="19">
        <v>40100.621423611112</v>
      </c>
      <c r="G1048"/>
      <c r="H1048">
        <v>4</v>
      </c>
      <c r="I1048">
        <v>0</v>
      </c>
      <c r="J1048"/>
      <c r="K1048"/>
      <c r="L1048"/>
      <c r="M1048" s="1">
        <v>40137</v>
      </c>
      <c r="N1048" t="s">
        <v>101</v>
      </c>
      <c r="O1048"/>
      <c r="P1048"/>
      <c r="Q1048"/>
    </row>
    <row r="1049" spans="1:17" x14ac:dyDescent="0.3">
      <c r="A1049" t="str">
        <f>"11362"</f>
        <v>11362</v>
      </c>
      <c r="B1049">
        <v>118323</v>
      </c>
      <c r="C1049">
        <v>10</v>
      </c>
      <c r="D1049" t="str">
        <f>"SO"</f>
        <v>SO</v>
      </c>
      <c r="E1049"/>
      <c r="F1049" s="19">
        <v>40100.621423611112</v>
      </c>
      <c r="G1049"/>
      <c r="H1049">
        <v>2</v>
      </c>
      <c r="I1049">
        <v>0</v>
      </c>
      <c r="J1049"/>
      <c r="K1049"/>
      <c r="L1049"/>
      <c r="M1049" s="1">
        <v>40137</v>
      </c>
      <c r="N1049" t="s">
        <v>101</v>
      </c>
      <c r="O1049"/>
      <c r="P1049"/>
      <c r="Q1049"/>
    </row>
    <row r="1050" spans="1:17" x14ac:dyDescent="0.3">
      <c r="A1050" t="str">
        <f>"11362"</f>
        <v>11362</v>
      </c>
      <c r="B1050">
        <v>118436</v>
      </c>
      <c r="C1050">
        <v>11</v>
      </c>
      <c r="D1050" t="str">
        <f>"SO"</f>
        <v>SO</v>
      </c>
      <c r="E1050"/>
      <c r="F1050" s="19">
        <v>40100.621423611112</v>
      </c>
      <c r="G1050"/>
      <c r="H1050">
        <v>2</v>
      </c>
      <c r="I1050">
        <v>0</v>
      </c>
      <c r="J1050"/>
      <c r="K1050"/>
      <c r="L1050"/>
      <c r="M1050" s="1">
        <v>40137</v>
      </c>
      <c r="N1050" t="s">
        <v>101</v>
      </c>
      <c r="O1050"/>
      <c r="P1050"/>
      <c r="Q1050"/>
    </row>
    <row r="1051" spans="1:17" x14ac:dyDescent="0.3">
      <c r="A1051" t="str">
        <f>"11362"</f>
        <v>11362</v>
      </c>
      <c r="B1051">
        <v>118549</v>
      </c>
      <c r="C1051">
        <v>12</v>
      </c>
      <c r="D1051" t="str">
        <f>"SO"</f>
        <v>SO</v>
      </c>
      <c r="E1051"/>
      <c r="F1051" s="19">
        <v>40100.621423611112</v>
      </c>
      <c r="G1051"/>
      <c r="H1051">
        <v>1</v>
      </c>
      <c r="I1051">
        <v>0</v>
      </c>
      <c r="J1051"/>
      <c r="K1051"/>
      <c r="L1051"/>
      <c r="M1051" s="1">
        <v>40137</v>
      </c>
      <c r="N1051" t="s">
        <v>101</v>
      </c>
      <c r="O1051"/>
      <c r="P1051"/>
      <c r="Q1051"/>
    </row>
    <row r="1052" spans="1:17" x14ac:dyDescent="0.3">
      <c r="A1052" t="str">
        <f>"11362"</f>
        <v>11362</v>
      </c>
      <c r="B1052">
        <v>118662</v>
      </c>
      <c r="C1052">
        <v>13</v>
      </c>
      <c r="D1052" t="str">
        <f>"SO"</f>
        <v>SO</v>
      </c>
      <c r="E1052"/>
      <c r="F1052" s="19">
        <v>40100.621423611112</v>
      </c>
      <c r="G1052"/>
      <c r="H1052">
        <v>1</v>
      </c>
      <c r="I1052">
        <v>0</v>
      </c>
      <c r="J1052"/>
      <c r="K1052"/>
      <c r="L1052"/>
      <c r="M1052" s="1">
        <v>40137</v>
      </c>
      <c r="N1052" t="s">
        <v>101</v>
      </c>
      <c r="O1052"/>
      <c r="P1052"/>
      <c r="Q1052"/>
    </row>
    <row r="1053" spans="1:17" x14ac:dyDescent="0.3">
      <c r="A1053" t="str">
        <f>"11362"</f>
        <v>11362</v>
      </c>
      <c r="B1053">
        <v>118775</v>
      </c>
      <c r="C1053">
        <v>14</v>
      </c>
      <c r="D1053" t="str">
        <f>"SO"</f>
        <v>SO</v>
      </c>
      <c r="E1053"/>
      <c r="F1053" s="19">
        <v>40100.621423611112</v>
      </c>
      <c r="G1053"/>
      <c r="H1053">
        <v>1</v>
      </c>
      <c r="I1053">
        <v>0</v>
      </c>
      <c r="J1053"/>
      <c r="K1053"/>
      <c r="L1053"/>
      <c r="M1053" s="1">
        <v>40137</v>
      </c>
      <c r="N1053" t="s">
        <v>101</v>
      </c>
      <c r="O1053"/>
      <c r="P1053"/>
      <c r="Q1053"/>
    </row>
    <row r="1054" spans="1:17" x14ac:dyDescent="0.3">
      <c r="A1054" t="str">
        <f>"11362"</f>
        <v>11362</v>
      </c>
      <c r="B1054">
        <v>118888</v>
      </c>
      <c r="C1054">
        <v>15</v>
      </c>
      <c r="D1054" t="str">
        <f>"SO"</f>
        <v>SO</v>
      </c>
      <c r="E1054"/>
      <c r="F1054" s="19">
        <v>40100.621423611112</v>
      </c>
      <c r="G1054"/>
      <c r="H1054">
        <v>2</v>
      </c>
      <c r="I1054">
        <v>0</v>
      </c>
      <c r="J1054"/>
      <c r="K1054"/>
      <c r="L1054"/>
      <c r="M1054" s="1">
        <v>40137</v>
      </c>
      <c r="N1054" t="s">
        <v>101</v>
      </c>
      <c r="O1054"/>
      <c r="P1054"/>
      <c r="Q1054"/>
    </row>
    <row r="1055" spans="1:17" x14ac:dyDescent="0.3">
      <c r="A1055" t="str">
        <f>"11362"</f>
        <v>11362</v>
      </c>
      <c r="B1055">
        <v>119001</v>
      </c>
      <c r="C1055">
        <v>16</v>
      </c>
      <c r="D1055" t="str">
        <f>"SO"</f>
        <v>SO</v>
      </c>
      <c r="E1055"/>
      <c r="F1055" s="19">
        <v>40100.621423611112</v>
      </c>
      <c r="G1055"/>
      <c r="H1055">
        <v>1</v>
      </c>
      <c r="I1055">
        <v>0</v>
      </c>
      <c r="J1055"/>
      <c r="K1055"/>
      <c r="L1055"/>
      <c r="M1055" s="1">
        <v>40137</v>
      </c>
      <c r="N1055" t="s">
        <v>101</v>
      </c>
      <c r="O1055"/>
      <c r="P1055"/>
      <c r="Q1055"/>
    </row>
    <row r="1056" spans="1:17" x14ac:dyDescent="0.3">
      <c r="A1056" t="str">
        <f>"11362"</f>
        <v>11362</v>
      </c>
      <c r="B1056">
        <v>119114</v>
      </c>
      <c r="C1056">
        <v>17</v>
      </c>
      <c r="D1056" t="str">
        <f>"SO"</f>
        <v>SO</v>
      </c>
      <c r="E1056"/>
      <c r="F1056" s="19">
        <v>40100.621423611112</v>
      </c>
      <c r="G1056"/>
      <c r="H1056">
        <v>1</v>
      </c>
      <c r="I1056">
        <v>0</v>
      </c>
      <c r="J1056"/>
      <c r="K1056"/>
      <c r="L1056"/>
      <c r="M1056" s="1">
        <v>40137</v>
      </c>
      <c r="N1056" t="s">
        <v>101</v>
      </c>
      <c r="O1056"/>
      <c r="P1056"/>
      <c r="Q1056"/>
    </row>
    <row r="1057" spans="1:17" x14ac:dyDescent="0.3">
      <c r="A1057" t="str">
        <f>"11362"</f>
        <v>11362</v>
      </c>
      <c r="B1057">
        <v>119227</v>
      </c>
      <c r="C1057">
        <v>18</v>
      </c>
      <c r="D1057" t="str">
        <f>"SO"</f>
        <v>SO</v>
      </c>
      <c r="E1057"/>
      <c r="F1057" s="19">
        <v>40100.621423611112</v>
      </c>
      <c r="G1057"/>
      <c r="H1057">
        <v>1</v>
      </c>
      <c r="I1057">
        <v>0</v>
      </c>
      <c r="J1057"/>
      <c r="K1057"/>
      <c r="L1057"/>
      <c r="M1057" s="1">
        <v>40137</v>
      </c>
      <c r="N1057" t="s">
        <v>101</v>
      </c>
      <c r="O1057"/>
      <c r="P1057"/>
      <c r="Q1057"/>
    </row>
    <row r="1058" spans="1:17" x14ac:dyDescent="0.3">
      <c r="A1058" t="str">
        <f>"11362"</f>
        <v>11362</v>
      </c>
      <c r="B1058">
        <v>119340</v>
      </c>
      <c r="C1058">
        <v>19</v>
      </c>
      <c r="D1058" t="str">
        <f>"SO"</f>
        <v>SO</v>
      </c>
      <c r="E1058"/>
      <c r="F1058" s="19">
        <v>40100.621423611112</v>
      </c>
      <c r="G1058"/>
      <c r="H1058">
        <v>1</v>
      </c>
      <c r="I1058">
        <v>0</v>
      </c>
      <c r="J1058"/>
      <c r="K1058"/>
      <c r="L1058"/>
      <c r="M1058" s="1">
        <v>40137</v>
      </c>
      <c r="N1058" t="s">
        <v>101</v>
      </c>
      <c r="O1058"/>
      <c r="P1058"/>
      <c r="Q1058"/>
    </row>
    <row r="1059" spans="1:17" x14ac:dyDescent="0.3">
      <c r="A1059" t="str">
        <f>"11362"</f>
        <v>11362</v>
      </c>
      <c r="B1059">
        <v>119453</v>
      </c>
      <c r="C1059">
        <v>20</v>
      </c>
      <c r="D1059" t="str">
        <f>"SO"</f>
        <v>SO</v>
      </c>
      <c r="E1059"/>
      <c r="F1059" s="19">
        <v>40100.621423611112</v>
      </c>
      <c r="G1059"/>
      <c r="H1059">
        <v>2</v>
      </c>
      <c r="I1059">
        <v>0</v>
      </c>
      <c r="J1059"/>
      <c r="K1059"/>
      <c r="L1059"/>
      <c r="M1059" s="1">
        <v>40137</v>
      </c>
      <c r="N1059" t="s">
        <v>101</v>
      </c>
      <c r="O1059"/>
      <c r="P1059"/>
      <c r="Q1059"/>
    </row>
    <row r="1060" spans="1:17" x14ac:dyDescent="0.3">
      <c r="A1060" t="str">
        <f>"11362"</f>
        <v>11362</v>
      </c>
      <c r="B1060">
        <v>119566</v>
      </c>
      <c r="C1060">
        <v>21</v>
      </c>
      <c r="D1060" t="str">
        <f>"SO"</f>
        <v>SO</v>
      </c>
      <c r="E1060"/>
      <c r="F1060" s="19">
        <v>40100.621423611112</v>
      </c>
      <c r="G1060"/>
      <c r="H1060">
        <v>4</v>
      </c>
      <c r="I1060">
        <v>0</v>
      </c>
      <c r="J1060"/>
      <c r="K1060"/>
      <c r="L1060"/>
      <c r="M1060" s="1">
        <v>40137</v>
      </c>
      <c r="N1060" t="s">
        <v>101</v>
      </c>
      <c r="O1060"/>
      <c r="P1060"/>
      <c r="Q1060"/>
    </row>
    <row r="1061" spans="1:17" x14ac:dyDescent="0.3">
      <c r="A1061" t="str">
        <f>"11362"</f>
        <v>11362</v>
      </c>
      <c r="B1061">
        <v>119679</v>
      </c>
      <c r="C1061">
        <v>22</v>
      </c>
      <c r="D1061" t="str">
        <f>"SO"</f>
        <v>SO</v>
      </c>
      <c r="E1061"/>
      <c r="F1061" s="19">
        <v>40100.621423611112</v>
      </c>
      <c r="G1061"/>
      <c r="H1061">
        <v>1</v>
      </c>
      <c r="I1061">
        <v>0</v>
      </c>
      <c r="J1061"/>
      <c r="K1061"/>
      <c r="L1061"/>
      <c r="M1061" s="1">
        <v>40137</v>
      </c>
      <c r="N1061" t="s">
        <v>101</v>
      </c>
      <c r="O1061"/>
      <c r="P1061"/>
      <c r="Q1061"/>
    </row>
    <row r="1062" spans="1:17" x14ac:dyDescent="0.3">
      <c r="A1062" t="str">
        <f>"11362"</f>
        <v>11362</v>
      </c>
      <c r="B1062">
        <v>119792</v>
      </c>
      <c r="C1062">
        <v>23</v>
      </c>
      <c r="D1062" t="str">
        <f>"SO"</f>
        <v>SO</v>
      </c>
      <c r="E1062"/>
      <c r="F1062" s="19">
        <v>40100.621423611112</v>
      </c>
      <c r="G1062"/>
      <c r="H1062">
        <v>1</v>
      </c>
      <c r="I1062">
        <v>0</v>
      </c>
      <c r="J1062"/>
      <c r="K1062"/>
      <c r="L1062"/>
      <c r="M1062" s="1">
        <v>40137</v>
      </c>
      <c r="N1062" t="s">
        <v>101</v>
      </c>
      <c r="O1062"/>
      <c r="P1062"/>
      <c r="Q1062"/>
    </row>
    <row r="1063" spans="1:17" x14ac:dyDescent="0.3">
      <c r="A1063" t="str">
        <f>"11362"</f>
        <v>11362</v>
      </c>
      <c r="B1063">
        <v>119905</v>
      </c>
      <c r="C1063">
        <v>24</v>
      </c>
      <c r="D1063" t="str">
        <f>"SO"</f>
        <v>SO</v>
      </c>
      <c r="E1063"/>
      <c r="F1063" s="19">
        <v>40100.621423611112</v>
      </c>
      <c r="G1063"/>
      <c r="H1063">
        <v>1</v>
      </c>
      <c r="I1063">
        <v>0</v>
      </c>
      <c r="J1063"/>
      <c r="K1063"/>
      <c r="L1063"/>
      <c r="M1063" s="1">
        <v>40137</v>
      </c>
      <c r="N1063" t="s">
        <v>101</v>
      </c>
      <c r="O1063"/>
      <c r="P1063"/>
      <c r="Q1063"/>
    </row>
    <row r="1064" spans="1:17" x14ac:dyDescent="0.3">
      <c r="A1064" t="str">
        <f>"11362"</f>
        <v>11362</v>
      </c>
      <c r="B1064">
        <v>120018</v>
      </c>
      <c r="C1064">
        <v>25</v>
      </c>
      <c r="D1064" t="str">
        <f>"SO"</f>
        <v>SO</v>
      </c>
      <c r="E1064"/>
      <c r="F1064" s="19">
        <v>40100.621423611112</v>
      </c>
      <c r="G1064"/>
      <c r="H1064">
        <v>1</v>
      </c>
      <c r="I1064">
        <v>0</v>
      </c>
      <c r="J1064"/>
      <c r="K1064"/>
      <c r="L1064"/>
      <c r="M1064" s="1">
        <v>40137</v>
      </c>
      <c r="N1064" t="s">
        <v>101</v>
      </c>
      <c r="O1064"/>
      <c r="P1064"/>
      <c r="Q1064"/>
    </row>
    <row r="1065" spans="1:17" x14ac:dyDescent="0.3">
      <c r="A1065" t="str">
        <f>"11362"</f>
        <v>11362</v>
      </c>
      <c r="B1065">
        <v>120131</v>
      </c>
      <c r="C1065">
        <v>26</v>
      </c>
      <c r="D1065" t="str">
        <f>"SO"</f>
        <v>SO</v>
      </c>
      <c r="E1065"/>
      <c r="F1065" s="19">
        <v>40100.621423611112</v>
      </c>
      <c r="G1065"/>
      <c r="H1065">
        <v>1</v>
      </c>
      <c r="I1065">
        <v>0</v>
      </c>
      <c r="J1065"/>
      <c r="K1065"/>
      <c r="L1065"/>
      <c r="M1065" s="1">
        <v>40137</v>
      </c>
      <c r="N1065" t="s">
        <v>101</v>
      </c>
      <c r="O1065"/>
      <c r="P1065"/>
      <c r="Q1065"/>
    </row>
    <row r="1066" spans="1:17" x14ac:dyDescent="0.3">
      <c r="A1066" t="str">
        <f>"11362"</f>
        <v>11362</v>
      </c>
      <c r="B1066">
        <v>120244</v>
      </c>
      <c r="C1066">
        <v>27</v>
      </c>
      <c r="D1066" t="str">
        <f>"SO"</f>
        <v>SO</v>
      </c>
      <c r="E1066"/>
      <c r="F1066" s="19">
        <v>40100.621423611112</v>
      </c>
      <c r="G1066"/>
      <c r="H1066">
        <v>2</v>
      </c>
      <c r="I1066">
        <v>0</v>
      </c>
      <c r="J1066"/>
      <c r="K1066"/>
      <c r="L1066"/>
      <c r="M1066" s="1">
        <v>40137</v>
      </c>
      <c r="N1066" t="s">
        <v>101</v>
      </c>
      <c r="O1066"/>
      <c r="P1066"/>
      <c r="Q1066"/>
    </row>
    <row r="1067" spans="1:17" x14ac:dyDescent="0.3">
      <c r="A1067" t="str">
        <f>"11362"</f>
        <v>11362</v>
      </c>
      <c r="B1067">
        <v>120357</v>
      </c>
      <c r="C1067">
        <v>28</v>
      </c>
      <c r="D1067" t="str">
        <f>"SO"</f>
        <v>SO</v>
      </c>
      <c r="E1067"/>
      <c r="F1067" s="19">
        <v>40100.621423611112</v>
      </c>
      <c r="G1067"/>
      <c r="H1067">
        <v>1</v>
      </c>
      <c r="I1067">
        <v>0</v>
      </c>
      <c r="J1067"/>
      <c r="K1067"/>
      <c r="L1067"/>
      <c r="M1067" s="1">
        <v>40137</v>
      </c>
      <c r="N1067" t="s">
        <v>101</v>
      </c>
      <c r="O1067"/>
      <c r="P1067"/>
      <c r="Q1067"/>
    </row>
    <row r="1068" spans="1:17" x14ac:dyDescent="0.3">
      <c r="A1068" t="str">
        <f>"11362"</f>
        <v>11362</v>
      </c>
      <c r="B1068">
        <v>120470</v>
      </c>
      <c r="C1068">
        <v>29</v>
      </c>
      <c r="D1068" t="str">
        <f>"SO"</f>
        <v>SO</v>
      </c>
      <c r="E1068"/>
      <c r="F1068" s="19">
        <v>40100.621423611112</v>
      </c>
      <c r="G1068"/>
      <c r="H1068">
        <v>1</v>
      </c>
      <c r="I1068">
        <v>0</v>
      </c>
      <c r="J1068"/>
      <c r="K1068"/>
      <c r="L1068"/>
      <c r="M1068" s="1">
        <v>40137</v>
      </c>
      <c r="N1068" t="s">
        <v>101</v>
      </c>
      <c r="O1068"/>
      <c r="P1068"/>
      <c r="Q1068"/>
    </row>
    <row r="1069" spans="1:17" x14ac:dyDescent="0.3">
      <c r="A1069" t="str">
        <f>"11362"</f>
        <v>11362</v>
      </c>
      <c r="B1069">
        <v>120583</v>
      </c>
      <c r="C1069">
        <v>30</v>
      </c>
      <c r="D1069" t="str">
        <f>"SO"</f>
        <v>SO</v>
      </c>
      <c r="E1069"/>
      <c r="F1069" s="19">
        <v>40100.621423611112</v>
      </c>
      <c r="G1069"/>
      <c r="H1069">
        <v>1</v>
      </c>
      <c r="I1069">
        <v>0</v>
      </c>
      <c r="J1069"/>
      <c r="K1069"/>
      <c r="L1069"/>
      <c r="M1069" s="1">
        <v>40137</v>
      </c>
      <c r="N1069" t="s">
        <v>101</v>
      </c>
      <c r="O1069"/>
      <c r="P1069"/>
      <c r="Q1069"/>
    </row>
    <row r="1070" spans="1:17" x14ac:dyDescent="0.3">
      <c r="A1070" t="str">
        <f>"11362"</f>
        <v>11362</v>
      </c>
      <c r="B1070">
        <v>120696</v>
      </c>
      <c r="C1070">
        <v>31</v>
      </c>
      <c r="D1070" t="str">
        <f>"SO"</f>
        <v>SO</v>
      </c>
      <c r="E1070"/>
      <c r="F1070" s="19">
        <v>40100.621423611112</v>
      </c>
      <c r="G1070"/>
      <c r="H1070">
        <v>1</v>
      </c>
      <c r="I1070">
        <v>0</v>
      </c>
      <c r="J1070"/>
      <c r="K1070"/>
      <c r="L1070"/>
      <c r="M1070" s="1">
        <v>40137</v>
      </c>
      <c r="N1070" t="s">
        <v>101</v>
      </c>
      <c r="O1070"/>
      <c r="P1070"/>
      <c r="Q1070"/>
    </row>
    <row r="1071" spans="1:17" x14ac:dyDescent="0.3">
      <c r="A1071" t="str">
        <f>"11362"</f>
        <v>11362</v>
      </c>
      <c r="B1071">
        <v>120809</v>
      </c>
      <c r="C1071">
        <v>32</v>
      </c>
      <c r="D1071" t="str">
        <f>"SO"</f>
        <v>SO</v>
      </c>
      <c r="E1071"/>
      <c r="F1071" s="19">
        <v>40100.621423611112</v>
      </c>
      <c r="G1071"/>
      <c r="H1071">
        <v>2</v>
      </c>
      <c r="I1071">
        <v>0</v>
      </c>
      <c r="J1071"/>
      <c r="K1071"/>
      <c r="L1071"/>
      <c r="M1071" s="1">
        <v>40137</v>
      </c>
      <c r="N1071" t="s">
        <v>101</v>
      </c>
      <c r="O1071"/>
      <c r="P1071"/>
      <c r="Q1071"/>
    </row>
    <row r="1072" spans="1:17" x14ac:dyDescent="0.3">
      <c r="A1072" t="str">
        <f>"11362"</f>
        <v>11362</v>
      </c>
      <c r="B1072">
        <v>120922</v>
      </c>
      <c r="C1072">
        <v>33</v>
      </c>
      <c r="D1072" t="str">
        <f>"SO"</f>
        <v>SO</v>
      </c>
      <c r="E1072"/>
      <c r="F1072" s="19">
        <v>40100.621423611112</v>
      </c>
      <c r="G1072"/>
      <c r="H1072">
        <v>2</v>
      </c>
      <c r="I1072">
        <v>0</v>
      </c>
      <c r="J1072"/>
      <c r="K1072"/>
      <c r="L1072"/>
      <c r="M1072" s="1">
        <v>40137</v>
      </c>
      <c r="N1072" t="s">
        <v>101</v>
      </c>
      <c r="O1072"/>
      <c r="P1072"/>
      <c r="Q1072"/>
    </row>
    <row r="1073" spans="1:17" x14ac:dyDescent="0.3">
      <c r="A1073" t="str">
        <f>"11362"</f>
        <v>11362</v>
      </c>
      <c r="B1073">
        <v>121035</v>
      </c>
      <c r="C1073">
        <v>34</v>
      </c>
      <c r="D1073" t="str">
        <f>"SO"</f>
        <v>SO</v>
      </c>
      <c r="E1073"/>
      <c r="F1073" s="19">
        <v>40100.621423611112</v>
      </c>
      <c r="G1073"/>
      <c r="H1073">
        <v>2</v>
      </c>
      <c r="I1073">
        <v>0</v>
      </c>
      <c r="J1073"/>
      <c r="K1073"/>
      <c r="L1073"/>
      <c r="M1073" s="1">
        <v>40137</v>
      </c>
      <c r="N1073" t="s">
        <v>101</v>
      </c>
      <c r="O1073"/>
      <c r="P1073"/>
      <c r="Q1073"/>
    </row>
    <row r="1074" spans="1:17" x14ac:dyDescent="0.3">
      <c r="A1074" t="str">
        <f>"11362"</f>
        <v>11362</v>
      </c>
      <c r="B1074">
        <v>121148</v>
      </c>
      <c r="C1074">
        <v>35</v>
      </c>
      <c r="D1074" t="str">
        <f>"SO"</f>
        <v>SO</v>
      </c>
      <c r="E1074"/>
      <c r="F1074" s="19">
        <v>40100.621423611112</v>
      </c>
      <c r="G1074"/>
      <c r="H1074">
        <v>2</v>
      </c>
      <c r="I1074">
        <v>0</v>
      </c>
      <c r="J1074"/>
      <c r="K1074"/>
      <c r="L1074"/>
      <c r="M1074" s="1">
        <v>40137</v>
      </c>
      <c r="N1074" t="s">
        <v>101</v>
      </c>
      <c r="O1074"/>
      <c r="P1074"/>
      <c r="Q1074"/>
    </row>
    <row r="1075" spans="1:17" x14ac:dyDescent="0.3">
      <c r="A1075" t="str">
        <f>"11362"</f>
        <v>11362</v>
      </c>
      <c r="B1075">
        <v>121261</v>
      </c>
      <c r="C1075">
        <v>36</v>
      </c>
      <c r="D1075" t="str">
        <f>"SO"</f>
        <v>SO</v>
      </c>
      <c r="E1075"/>
      <c r="F1075" s="19">
        <v>40100.621423611112</v>
      </c>
      <c r="G1075"/>
      <c r="H1075">
        <v>1</v>
      </c>
      <c r="I1075">
        <v>0</v>
      </c>
      <c r="J1075"/>
      <c r="K1075"/>
      <c r="L1075"/>
      <c r="M1075" s="1">
        <v>40137</v>
      </c>
      <c r="N1075" t="s">
        <v>101</v>
      </c>
      <c r="O1075"/>
      <c r="P1075"/>
      <c r="Q1075"/>
    </row>
    <row r="1076" spans="1:17" x14ac:dyDescent="0.3">
      <c r="A1076" t="str">
        <f>"11362"</f>
        <v>11362</v>
      </c>
      <c r="B1076">
        <v>121374</v>
      </c>
      <c r="C1076">
        <v>37</v>
      </c>
      <c r="D1076" t="str">
        <f>"SO"</f>
        <v>SO</v>
      </c>
      <c r="E1076"/>
      <c r="F1076" s="19">
        <v>40100.621423611112</v>
      </c>
      <c r="G1076"/>
      <c r="H1076">
        <v>4</v>
      </c>
      <c r="I1076">
        <v>0</v>
      </c>
      <c r="J1076"/>
      <c r="K1076"/>
      <c r="L1076"/>
      <c r="M1076" s="1">
        <v>40137</v>
      </c>
      <c r="N1076" t="s">
        <v>101</v>
      </c>
      <c r="O1076"/>
      <c r="P1076"/>
      <c r="Q1076"/>
    </row>
    <row r="1077" spans="1:17" x14ac:dyDescent="0.3">
      <c r="A1077" t="str">
        <f>"11362"</f>
        <v>11362</v>
      </c>
      <c r="B1077">
        <v>121487</v>
      </c>
      <c r="C1077">
        <v>38</v>
      </c>
      <c r="D1077" t="str">
        <f>"SO"</f>
        <v>SO</v>
      </c>
      <c r="E1077"/>
      <c r="F1077" s="19">
        <v>40100.621423611112</v>
      </c>
      <c r="G1077"/>
      <c r="H1077">
        <v>4</v>
      </c>
      <c r="I1077">
        <v>0</v>
      </c>
      <c r="J1077"/>
      <c r="K1077"/>
      <c r="L1077"/>
      <c r="M1077" s="1">
        <v>40137</v>
      </c>
      <c r="N1077" t="s">
        <v>101</v>
      </c>
      <c r="O1077"/>
      <c r="P1077"/>
      <c r="Q1077"/>
    </row>
    <row r="1078" spans="1:17" x14ac:dyDescent="0.3">
      <c r="A1078" t="str">
        <f>"11362"</f>
        <v>11362</v>
      </c>
      <c r="B1078">
        <v>121600</v>
      </c>
      <c r="C1078">
        <v>39</v>
      </c>
      <c r="D1078" t="str">
        <f>"SO"</f>
        <v>SO</v>
      </c>
      <c r="E1078"/>
      <c r="F1078" s="19">
        <v>40100.621423611112</v>
      </c>
      <c r="G1078"/>
      <c r="H1078">
        <v>2</v>
      </c>
      <c r="I1078">
        <v>0</v>
      </c>
      <c r="J1078"/>
      <c r="K1078"/>
      <c r="L1078"/>
      <c r="M1078" s="1">
        <v>40137</v>
      </c>
      <c r="N1078" t="s">
        <v>101</v>
      </c>
      <c r="O1078"/>
      <c r="P1078"/>
      <c r="Q1078"/>
    </row>
    <row r="1079" spans="1:17" x14ac:dyDescent="0.3">
      <c r="A1079" t="str">
        <f>"11362"</f>
        <v>11362</v>
      </c>
      <c r="B1079">
        <v>121713</v>
      </c>
      <c r="C1079">
        <v>40</v>
      </c>
      <c r="D1079" t="str">
        <f>"SO"</f>
        <v>SO</v>
      </c>
      <c r="E1079"/>
      <c r="F1079" s="19">
        <v>40100.621423611112</v>
      </c>
      <c r="G1079"/>
      <c r="H1079">
        <v>8</v>
      </c>
      <c r="I1079">
        <v>0</v>
      </c>
      <c r="J1079"/>
      <c r="K1079"/>
      <c r="L1079"/>
      <c r="M1079" s="1">
        <v>40137</v>
      </c>
      <c r="N1079" t="s">
        <v>101</v>
      </c>
      <c r="O1079"/>
      <c r="P1079"/>
      <c r="Q1079"/>
    </row>
    <row r="1080" spans="1:17" x14ac:dyDescent="0.3">
      <c r="A1080" t="str">
        <f>"11362"</f>
        <v>11362</v>
      </c>
      <c r="B1080">
        <v>121826</v>
      </c>
      <c r="C1080">
        <v>41</v>
      </c>
      <c r="D1080" t="str">
        <f>"SO"</f>
        <v>SO</v>
      </c>
      <c r="E1080"/>
      <c r="F1080" s="19">
        <v>40100.621423611112</v>
      </c>
      <c r="G1080"/>
      <c r="H1080">
        <v>1</v>
      </c>
      <c r="I1080">
        <v>0</v>
      </c>
      <c r="J1080"/>
      <c r="K1080"/>
      <c r="L1080"/>
      <c r="M1080" s="1">
        <v>40137</v>
      </c>
      <c r="N1080" t="s">
        <v>101</v>
      </c>
      <c r="O1080"/>
      <c r="P1080"/>
      <c r="Q1080"/>
    </row>
    <row r="1081" spans="1:17" x14ac:dyDescent="0.3">
      <c r="A1081" t="str">
        <f>"11362"</f>
        <v>11362</v>
      </c>
      <c r="B1081">
        <v>121939</v>
      </c>
      <c r="C1081">
        <v>42</v>
      </c>
      <c r="D1081" t="str">
        <f>"SO"</f>
        <v>SO</v>
      </c>
      <c r="E1081"/>
      <c r="F1081" s="19">
        <v>40100.621423611112</v>
      </c>
      <c r="G1081"/>
      <c r="H1081">
        <v>2</v>
      </c>
      <c r="I1081">
        <v>0</v>
      </c>
      <c r="J1081"/>
      <c r="K1081"/>
      <c r="L1081"/>
      <c r="M1081" s="1">
        <v>40137</v>
      </c>
      <c r="N1081" t="s">
        <v>101</v>
      </c>
      <c r="O1081"/>
      <c r="P1081"/>
      <c r="Q1081"/>
    </row>
    <row r="1082" spans="1:17" x14ac:dyDescent="0.3">
      <c r="A1082" t="str">
        <f>"11362"</f>
        <v>11362</v>
      </c>
      <c r="B1082">
        <v>122052</v>
      </c>
      <c r="C1082">
        <v>43</v>
      </c>
      <c r="D1082" t="str">
        <f>"SO"</f>
        <v>SO</v>
      </c>
      <c r="E1082"/>
      <c r="F1082" s="19">
        <v>40100.621423611112</v>
      </c>
      <c r="G1082"/>
      <c r="H1082">
        <v>1</v>
      </c>
      <c r="I1082">
        <v>0</v>
      </c>
      <c r="J1082"/>
      <c r="K1082"/>
      <c r="L1082"/>
      <c r="M1082" s="1">
        <v>40137</v>
      </c>
      <c r="N1082" t="s">
        <v>101</v>
      </c>
      <c r="O1082"/>
      <c r="P1082"/>
      <c r="Q1082"/>
    </row>
    <row r="1083" spans="1:17" x14ac:dyDescent="0.3">
      <c r="A1083" t="str">
        <f>"11362"</f>
        <v>11362</v>
      </c>
      <c r="B1083">
        <v>122165</v>
      </c>
      <c r="C1083">
        <v>44</v>
      </c>
      <c r="D1083" t="str">
        <f>"SO"</f>
        <v>SO</v>
      </c>
      <c r="E1083"/>
      <c r="F1083" s="19">
        <v>40100.621423611112</v>
      </c>
      <c r="G1083"/>
      <c r="H1083">
        <v>1</v>
      </c>
      <c r="I1083">
        <v>0</v>
      </c>
      <c r="J1083"/>
      <c r="K1083"/>
      <c r="L1083"/>
      <c r="M1083" s="1">
        <v>40137</v>
      </c>
      <c r="N1083" t="s">
        <v>101</v>
      </c>
      <c r="O1083"/>
      <c r="P1083"/>
      <c r="Q1083"/>
    </row>
    <row r="1084" spans="1:17" x14ac:dyDescent="0.3">
      <c r="A1084" t="str">
        <f>"11362"</f>
        <v>11362</v>
      </c>
      <c r="B1084">
        <v>122278</v>
      </c>
      <c r="C1084">
        <v>45</v>
      </c>
      <c r="D1084" t="str">
        <f>"SO"</f>
        <v>SO</v>
      </c>
      <c r="E1084"/>
      <c r="F1084" s="19">
        <v>40100.621423611112</v>
      </c>
      <c r="G1084"/>
      <c r="H1084">
        <v>1</v>
      </c>
      <c r="I1084">
        <v>0</v>
      </c>
      <c r="J1084"/>
      <c r="K1084"/>
      <c r="L1084"/>
      <c r="M1084" s="1">
        <v>40137</v>
      </c>
      <c r="N1084" t="s">
        <v>101</v>
      </c>
      <c r="O1084"/>
      <c r="P1084"/>
      <c r="Q1084"/>
    </row>
    <row r="1085" spans="1:17" x14ac:dyDescent="0.3">
      <c r="A1085" t="str">
        <f>"11362"</f>
        <v>11362</v>
      </c>
      <c r="B1085">
        <v>122391</v>
      </c>
      <c r="C1085">
        <v>46</v>
      </c>
      <c r="D1085" t="str">
        <f>"SO"</f>
        <v>SO</v>
      </c>
      <c r="E1085"/>
      <c r="F1085" s="19">
        <v>40100.621423611112</v>
      </c>
      <c r="G1085"/>
      <c r="H1085">
        <v>1</v>
      </c>
      <c r="I1085">
        <v>0</v>
      </c>
      <c r="J1085"/>
      <c r="K1085"/>
      <c r="L1085"/>
      <c r="M1085" s="1">
        <v>40137</v>
      </c>
      <c r="N1085" t="s">
        <v>101</v>
      </c>
      <c r="O1085"/>
      <c r="P1085"/>
      <c r="Q1085"/>
    </row>
    <row r="1086" spans="1:17" x14ac:dyDescent="0.3">
      <c r="A1086" t="str">
        <f>"11362"</f>
        <v>11362</v>
      </c>
      <c r="B1086">
        <v>122504</v>
      </c>
      <c r="C1086">
        <v>47</v>
      </c>
      <c r="D1086" t="str">
        <f>"SO"</f>
        <v>SO</v>
      </c>
      <c r="E1086"/>
      <c r="F1086" s="19">
        <v>40100.621423611112</v>
      </c>
      <c r="G1086"/>
      <c r="H1086">
        <v>2</v>
      </c>
      <c r="I1086">
        <v>0</v>
      </c>
      <c r="J1086"/>
      <c r="K1086"/>
      <c r="L1086"/>
      <c r="M1086" s="1">
        <v>40137</v>
      </c>
      <c r="N1086" t="s">
        <v>101</v>
      </c>
      <c r="O1086"/>
      <c r="P1086"/>
      <c r="Q1086"/>
    </row>
    <row r="1087" spans="1:17" x14ac:dyDescent="0.3">
      <c r="A1087" t="str">
        <f>"11362"</f>
        <v>11362</v>
      </c>
      <c r="B1087">
        <v>122617</v>
      </c>
      <c r="C1087">
        <v>48</v>
      </c>
      <c r="D1087" t="str">
        <f>"SO"</f>
        <v>SO</v>
      </c>
      <c r="E1087"/>
      <c r="F1087" s="19">
        <v>40133.646006944444</v>
      </c>
      <c r="G1087"/>
      <c r="H1087">
        <v>1</v>
      </c>
      <c r="I1087">
        <v>0</v>
      </c>
      <c r="J1087"/>
      <c r="K1087"/>
      <c r="L1087"/>
      <c r="M1087" s="1">
        <v>40137</v>
      </c>
      <c r="N1087" t="s">
        <v>101</v>
      </c>
      <c r="O1087"/>
      <c r="P1087"/>
      <c r="Q1087"/>
    </row>
    <row r="1088" spans="1:17" x14ac:dyDescent="0.3">
      <c r="A1088" t="str">
        <f>"11352"</f>
        <v>11352</v>
      </c>
      <c r="B1088">
        <v>122730</v>
      </c>
      <c r="C1088">
        <v>1</v>
      </c>
      <c r="D1088" t="str">
        <f>" "</f>
        <v xml:space="preserve"> </v>
      </c>
      <c r="E1088"/>
      <c r="F1088" s="19">
        <v>40021.630219907405</v>
      </c>
      <c r="G1088"/>
      <c r="H1088">
        <v>1</v>
      </c>
      <c r="I1088">
        <v>0</v>
      </c>
      <c r="J1088"/>
      <c r="K1088"/>
      <c r="L1088"/>
      <c r="M1088" s="1">
        <v>40042</v>
      </c>
      <c r="N1088" t="s">
        <v>101</v>
      </c>
      <c r="O1088"/>
      <c r="P1088"/>
      <c r="Q1088"/>
    </row>
    <row r="1089" spans="1:17" x14ac:dyDescent="0.3">
      <c r="A1089" t="str">
        <f>"11345"</f>
        <v>11345</v>
      </c>
      <c r="B1089">
        <v>122843</v>
      </c>
      <c r="C1089">
        <v>2</v>
      </c>
      <c r="D1089" t="str">
        <f>"SO"</f>
        <v>SO</v>
      </c>
      <c r="E1089"/>
      <c r="F1089" s="19">
        <v>40049.315555555557</v>
      </c>
      <c r="G1089"/>
      <c r="H1089">
        <v>1</v>
      </c>
      <c r="I1089">
        <v>0</v>
      </c>
      <c r="J1089"/>
      <c r="K1089"/>
      <c r="L1089"/>
      <c r="M1089" s="1">
        <v>40086</v>
      </c>
      <c r="N1089" t="s">
        <v>101</v>
      </c>
      <c r="O1089"/>
      <c r="P1089"/>
      <c r="Q1089"/>
    </row>
    <row r="1090" spans="1:17" x14ac:dyDescent="0.3">
      <c r="A1090" t="str">
        <f>"11345"</f>
        <v>11345</v>
      </c>
      <c r="B1090">
        <v>122956</v>
      </c>
      <c r="C1090">
        <v>3</v>
      </c>
      <c r="D1090" t="str">
        <f>"SO"</f>
        <v>SO</v>
      </c>
      <c r="E1090"/>
      <c r="F1090" s="19">
        <v>40049.315555555557</v>
      </c>
      <c r="G1090"/>
      <c r="H1090">
        <v>1</v>
      </c>
      <c r="I1090">
        <v>0</v>
      </c>
      <c r="J1090"/>
      <c r="K1090"/>
      <c r="L1090"/>
      <c r="M1090" s="1">
        <v>40086</v>
      </c>
      <c r="N1090" t="s">
        <v>101</v>
      </c>
      <c r="O1090"/>
      <c r="P1090"/>
      <c r="Q1090"/>
    </row>
    <row r="1091" spans="1:17" x14ac:dyDescent="0.3">
      <c r="A1091" t="str">
        <f>"11345"</f>
        <v>11345</v>
      </c>
      <c r="B1091">
        <v>123069</v>
      </c>
      <c r="C1091">
        <v>4</v>
      </c>
      <c r="D1091" t="str">
        <f>"SO"</f>
        <v>SO</v>
      </c>
      <c r="E1091"/>
      <c r="F1091" s="19">
        <v>40049.315555555557</v>
      </c>
      <c r="G1091"/>
      <c r="H1091">
        <v>1</v>
      </c>
      <c r="I1091">
        <v>0</v>
      </c>
      <c r="J1091"/>
      <c r="K1091"/>
      <c r="L1091"/>
      <c r="M1091" s="1">
        <v>40086</v>
      </c>
      <c r="N1091" t="s">
        <v>101</v>
      </c>
      <c r="O1091"/>
      <c r="P1091"/>
      <c r="Q1091"/>
    </row>
    <row r="1092" spans="1:17" x14ac:dyDescent="0.3">
      <c r="A1092" t="str">
        <f>"11345"</f>
        <v>11345</v>
      </c>
      <c r="B1092">
        <v>123182</v>
      </c>
      <c r="C1092">
        <v>5</v>
      </c>
      <c r="D1092" t="str">
        <f>"SO"</f>
        <v>SO</v>
      </c>
      <c r="E1092"/>
      <c r="F1092" s="19">
        <v>40049.315555555557</v>
      </c>
      <c r="G1092"/>
      <c r="H1092">
        <v>3</v>
      </c>
      <c r="I1092">
        <v>0</v>
      </c>
      <c r="J1092"/>
      <c r="K1092"/>
      <c r="L1092"/>
      <c r="M1092" s="1">
        <v>40086</v>
      </c>
      <c r="N1092" t="s">
        <v>101</v>
      </c>
      <c r="O1092"/>
      <c r="P1092"/>
      <c r="Q1092"/>
    </row>
    <row r="1093" spans="1:17" x14ac:dyDescent="0.3">
      <c r="A1093" t="str">
        <f>"11345"</f>
        <v>11345</v>
      </c>
      <c r="B1093">
        <v>123295</v>
      </c>
      <c r="C1093">
        <v>6</v>
      </c>
      <c r="D1093" t="str">
        <f>"SO"</f>
        <v>SO</v>
      </c>
      <c r="E1093"/>
      <c r="F1093" s="19">
        <v>40049.315555555557</v>
      </c>
      <c r="G1093"/>
      <c r="H1093">
        <v>6</v>
      </c>
      <c r="I1093">
        <v>0</v>
      </c>
      <c r="J1093"/>
      <c r="K1093"/>
      <c r="L1093"/>
      <c r="M1093" s="1">
        <v>40086</v>
      </c>
      <c r="N1093" t="s">
        <v>101</v>
      </c>
      <c r="O1093"/>
      <c r="P1093"/>
      <c r="Q1093"/>
    </row>
    <row r="1094" spans="1:17" x14ac:dyDescent="0.3">
      <c r="A1094" t="str">
        <f>"11344"</f>
        <v>11344</v>
      </c>
      <c r="B1094">
        <v>123408</v>
      </c>
      <c r="C1094">
        <v>2</v>
      </c>
      <c r="D1094" t="str">
        <f>"SO"</f>
        <v>SO</v>
      </c>
      <c r="E1094"/>
      <c r="F1094" s="19">
        <v>40065.443877314814</v>
      </c>
      <c r="G1094"/>
      <c r="H1094">
        <v>1</v>
      </c>
      <c r="I1094">
        <v>0</v>
      </c>
      <c r="J1094"/>
      <c r="K1094"/>
      <c r="L1094"/>
      <c r="M1094" s="1">
        <v>40086</v>
      </c>
      <c r="N1094" t="s">
        <v>101</v>
      </c>
      <c r="O1094"/>
      <c r="P1094"/>
      <c r="Q1094"/>
    </row>
    <row r="1095" spans="1:17" x14ac:dyDescent="0.3">
      <c r="A1095" t="str">
        <f>"11344"</f>
        <v>11344</v>
      </c>
      <c r="B1095">
        <v>123521</v>
      </c>
      <c r="C1095">
        <v>3</v>
      </c>
      <c r="D1095" t="str">
        <f>"SO"</f>
        <v>SO</v>
      </c>
      <c r="E1095"/>
      <c r="F1095" s="19">
        <v>40065.443877314814</v>
      </c>
      <c r="G1095"/>
      <c r="H1095">
        <v>1</v>
      </c>
      <c r="I1095">
        <v>0</v>
      </c>
      <c r="J1095"/>
      <c r="K1095"/>
      <c r="L1095"/>
      <c r="M1095" s="1">
        <v>40086</v>
      </c>
      <c r="N1095" t="s">
        <v>101</v>
      </c>
      <c r="O1095"/>
      <c r="P1095"/>
      <c r="Q1095"/>
    </row>
    <row r="1096" spans="1:17" x14ac:dyDescent="0.3">
      <c r="A1096" t="str">
        <f>"11344"</f>
        <v>11344</v>
      </c>
      <c r="B1096">
        <v>123634</v>
      </c>
      <c r="C1096">
        <v>4</v>
      </c>
      <c r="D1096" t="str">
        <f>"SO"</f>
        <v>SO</v>
      </c>
      <c r="E1096"/>
      <c r="F1096" s="19">
        <v>40065.443877314814</v>
      </c>
      <c r="G1096"/>
      <c r="H1096">
        <v>6</v>
      </c>
      <c r="I1096">
        <v>0</v>
      </c>
      <c r="J1096"/>
      <c r="K1096"/>
      <c r="L1096"/>
      <c r="M1096" s="1">
        <v>40086</v>
      </c>
      <c r="N1096" t="s">
        <v>101</v>
      </c>
      <c r="O1096"/>
      <c r="P1096"/>
      <c r="Q1096"/>
    </row>
    <row r="1097" spans="1:17" x14ac:dyDescent="0.3">
      <c r="A1097" t="str">
        <f>"11344"</f>
        <v>11344</v>
      </c>
      <c r="B1097">
        <v>123747</v>
      </c>
      <c r="C1097">
        <v>5</v>
      </c>
      <c r="D1097" t="str">
        <f>"SO"</f>
        <v>SO</v>
      </c>
      <c r="E1097"/>
      <c r="F1097" s="19">
        <v>40065.443877314814</v>
      </c>
      <c r="G1097"/>
      <c r="H1097">
        <v>6</v>
      </c>
      <c r="I1097">
        <v>0</v>
      </c>
      <c r="J1097"/>
      <c r="K1097"/>
      <c r="L1097"/>
      <c r="M1097" s="1">
        <v>40086</v>
      </c>
      <c r="N1097" t="s">
        <v>101</v>
      </c>
      <c r="O1097"/>
      <c r="P1097"/>
      <c r="Q1097"/>
    </row>
    <row r="1098" spans="1:17" x14ac:dyDescent="0.3">
      <c r="A1098" t="str">
        <f>"11344"</f>
        <v>11344</v>
      </c>
      <c r="B1098">
        <v>123860</v>
      </c>
      <c r="C1098">
        <v>6</v>
      </c>
      <c r="D1098" t="str">
        <f>"SO"</f>
        <v>SO</v>
      </c>
      <c r="E1098"/>
      <c r="F1098" s="19">
        <v>40065.443877314814</v>
      </c>
      <c r="G1098"/>
      <c r="H1098">
        <v>1</v>
      </c>
      <c r="I1098">
        <v>0</v>
      </c>
      <c r="J1098"/>
      <c r="K1098"/>
      <c r="L1098"/>
      <c r="M1098" s="1">
        <v>40086</v>
      </c>
      <c r="N1098" t="s">
        <v>101</v>
      </c>
      <c r="O1098"/>
      <c r="P1098"/>
      <c r="Q1098"/>
    </row>
    <row r="1099" spans="1:17" x14ac:dyDescent="0.3">
      <c r="A1099" t="str">
        <f>"11344"</f>
        <v>11344</v>
      </c>
      <c r="B1099">
        <v>123973</v>
      </c>
      <c r="C1099">
        <v>7</v>
      </c>
      <c r="D1099" t="str">
        <f>"SO"</f>
        <v>SO</v>
      </c>
      <c r="E1099"/>
      <c r="F1099" s="19">
        <v>40065.443877314814</v>
      </c>
      <c r="G1099"/>
      <c r="H1099">
        <v>1</v>
      </c>
      <c r="I1099">
        <v>0</v>
      </c>
      <c r="J1099"/>
      <c r="K1099"/>
      <c r="L1099"/>
      <c r="M1099" s="1">
        <v>40086</v>
      </c>
      <c r="N1099" t="s">
        <v>101</v>
      </c>
      <c r="O1099"/>
      <c r="P1099"/>
      <c r="Q1099"/>
    </row>
    <row r="1100" spans="1:17" x14ac:dyDescent="0.3">
      <c r="A1100" t="str">
        <f>"11341"</f>
        <v>11341</v>
      </c>
      <c r="B1100">
        <v>124086</v>
      </c>
      <c r="C1100">
        <v>3</v>
      </c>
      <c r="D1100" t="str">
        <f>"SO"</f>
        <v>SO</v>
      </c>
      <c r="E1100"/>
      <c r="F1100" s="19">
        <v>40043.363321759258</v>
      </c>
      <c r="G1100"/>
      <c r="H1100">
        <v>1</v>
      </c>
      <c r="I1100">
        <v>0</v>
      </c>
      <c r="J1100"/>
      <c r="K1100"/>
      <c r="L1100"/>
      <c r="M1100" s="1">
        <v>40064</v>
      </c>
      <c r="N1100" t="s">
        <v>101</v>
      </c>
      <c r="O1100"/>
      <c r="P1100"/>
      <c r="Q1100"/>
    </row>
    <row r="1101" spans="1:17" x14ac:dyDescent="0.3">
      <c r="A1101" t="str">
        <f>"11341"</f>
        <v>11341</v>
      </c>
      <c r="B1101">
        <v>124199</v>
      </c>
      <c r="C1101">
        <v>4</v>
      </c>
      <c r="D1101" t="str">
        <f>"SO"</f>
        <v>SO</v>
      </c>
      <c r="E1101"/>
      <c r="F1101" s="19">
        <v>40043.363321759258</v>
      </c>
      <c r="G1101"/>
      <c r="H1101">
        <v>1</v>
      </c>
      <c r="I1101">
        <v>0</v>
      </c>
      <c r="J1101"/>
      <c r="K1101"/>
      <c r="L1101"/>
      <c r="M1101" s="1">
        <v>40064</v>
      </c>
      <c r="N1101" t="s">
        <v>101</v>
      </c>
      <c r="O1101"/>
      <c r="P1101"/>
      <c r="Q1101"/>
    </row>
    <row r="1102" spans="1:17" x14ac:dyDescent="0.3">
      <c r="A1102" t="str">
        <f>"11341"</f>
        <v>11341</v>
      </c>
      <c r="B1102">
        <v>124312</v>
      </c>
      <c r="C1102">
        <v>5</v>
      </c>
      <c r="D1102" t="str">
        <f>"SO"</f>
        <v>SO</v>
      </c>
      <c r="E1102"/>
      <c r="F1102" s="19">
        <v>40043.363321759258</v>
      </c>
      <c r="G1102"/>
      <c r="H1102">
        <v>1</v>
      </c>
      <c r="I1102">
        <v>0</v>
      </c>
      <c r="J1102"/>
      <c r="K1102"/>
      <c r="L1102"/>
      <c r="M1102" s="1">
        <v>40064</v>
      </c>
      <c r="N1102" t="s">
        <v>101</v>
      </c>
      <c r="O1102"/>
      <c r="P1102"/>
      <c r="Q1102"/>
    </row>
    <row r="1103" spans="1:17" x14ac:dyDescent="0.3">
      <c r="A1103" t="str">
        <f>"11341"</f>
        <v>11341</v>
      </c>
      <c r="B1103">
        <v>124425</v>
      </c>
      <c r="C1103">
        <v>6</v>
      </c>
      <c r="D1103" t="str">
        <f>"SO"</f>
        <v>SO</v>
      </c>
      <c r="E1103"/>
      <c r="F1103" s="19">
        <v>40043.363321759258</v>
      </c>
      <c r="G1103"/>
      <c r="H1103">
        <v>5</v>
      </c>
      <c r="I1103">
        <v>0</v>
      </c>
      <c r="J1103"/>
      <c r="K1103"/>
      <c r="L1103"/>
      <c r="M1103" s="1">
        <v>40064</v>
      </c>
      <c r="N1103" t="s">
        <v>101</v>
      </c>
      <c r="O1103"/>
      <c r="P1103"/>
      <c r="Q1103"/>
    </row>
    <row r="1104" spans="1:17" x14ac:dyDescent="0.3">
      <c r="A1104" t="str">
        <f>"11341"</f>
        <v>11341</v>
      </c>
      <c r="B1104">
        <v>124538</v>
      </c>
      <c r="C1104">
        <v>7</v>
      </c>
      <c r="D1104" t="str">
        <f>"SO"</f>
        <v>SO</v>
      </c>
      <c r="E1104"/>
      <c r="F1104" s="19">
        <v>40043.363321759258</v>
      </c>
      <c r="G1104"/>
      <c r="H1104">
        <v>2</v>
      </c>
      <c r="I1104">
        <v>0</v>
      </c>
      <c r="J1104"/>
      <c r="K1104"/>
      <c r="L1104"/>
      <c r="M1104" s="1">
        <v>40064</v>
      </c>
      <c r="N1104" t="s">
        <v>101</v>
      </c>
      <c r="O1104"/>
      <c r="P1104"/>
      <c r="Q1104"/>
    </row>
    <row r="1105" spans="1:17" x14ac:dyDescent="0.3">
      <c r="A1105" t="str">
        <f>"11341"</f>
        <v>11341</v>
      </c>
      <c r="B1105">
        <v>124651</v>
      </c>
      <c r="C1105">
        <v>8</v>
      </c>
      <c r="D1105" t="str">
        <f>"SO"</f>
        <v>SO</v>
      </c>
      <c r="E1105"/>
      <c r="F1105" s="19">
        <v>40043.363321759258</v>
      </c>
      <c r="G1105"/>
      <c r="H1105">
        <v>1</v>
      </c>
      <c r="I1105">
        <v>0</v>
      </c>
      <c r="J1105"/>
      <c r="K1105"/>
      <c r="L1105"/>
      <c r="M1105" s="1">
        <v>40064</v>
      </c>
      <c r="N1105" t="s">
        <v>101</v>
      </c>
      <c r="O1105"/>
      <c r="P1105"/>
      <c r="Q1105"/>
    </row>
    <row r="1106" spans="1:17" x14ac:dyDescent="0.3">
      <c r="A1106" t="str">
        <f>"11341"</f>
        <v>11341</v>
      </c>
      <c r="B1106">
        <v>124764</v>
      </c>
      <c r="C1106">
        <v>9</v>
      </c>
      <c r="D1106" t="str">
        <f>"SO"</f>
        <v>SO</v>
      </c>
      <c r="E1106"/>
      <c r="F1106" s="19">
        <v>40043.363321759258</v>
      </c>
      <c r="G1106"/>
      <c r="H1106">
        <v>2</v>
      </c>
      <c r="I1106">
        <v>0</v>
      </c>
      <c r="J1106"/>
      <c r="K1106"/>
      <c r="L1106"/>
      <c r="M1106" s="1">
        <v>40064</v>
      </c>
      <c r="N1106" t="s">
        <v>101</v>
      </c>
      <c r="O1106"/>
      <c r="P1106"/>
      <c r="Q1106"/>
    </row>
    <row r="1107" spans="1:17" x14ac:dyDescent="0.3">
      <c r="A1107" t="str">
        <f>"11341"</f>
        <v>11341</v>
      </c>
      <c r="B1107">
        <v>124877</v>
      </c>
      <c r="C1107">
        <v>10</v>
      </c>
      <c r="D1107" t="str">
        <f>"SO"</f>
        <v>SO</v>
      </c>
      <c r="E1107"/>
      <c r="F1107" s="19">
        <v>40043.363321759258</v>
      </c>
      <c r="G1107"/>
      <c r="H1107">
        <v>1</v>
      </c>
      <c r="I1107">
        <v>0</v>
      </c>
      <c r="J1107"/>
      <c r="K1107"/>
      <c r="L1107"/>
      <c r="M1107" s="1">
        <v>40064</v>
      </c>
      <c r="N1107" t="s">
        <v>101</v>
      </c>
      <c r="O1107"/>
      <c r="P1107"/>
      <c r="Q1107"/>
    </row>
    <row r="1108" spans="1:17" x14ac:dyDescent="0.3">
      <c r="A1108" t="str">
        <f>"11341"</f>
        <v>11341</v>
      </c>
      <c r="B1108">
        <v>124990</v>
      </c>
      <c r="C1108">
        <v>11</v>
      </c>
      <c r="D1108" t="str">
        <f>"SO"</f>
        <v>SO</v>
      </c>
      <c r="E1108"/>
      <c r="F1108" s="19">
        <v>40043.363321759258</v>
      </c>
      <c r="G1108"/>
      <c r="H1108">
        <v>2</v>
      </c>
      <c r="I1108">
        <v>0</v>
      </c>
      <c r="J1108"/>
      <c r="K1108"/>
      <c r="L1108"/>
      <c r="M1108" s="1">
        <v>40064</v>
      </c>
      <c r="N1108" t="s">
        <v>101</v>
      </c>
      <c r="O1108"/>
      <c r="P1108"/>
      <c r="Q1108"/>
    </row>
    <row r="1109" spans="1:17" x14ac:dyDescent="0.3">
      <c r="A1109" t="str">
        <f>"11341"</f>
        <v>11341</v>
      </c>
      <c r="B1109">
        <v>125103</v>
      </c>
      <c r="C1109">
        <v>12</v>
      </c>
      <c r="D1109" t="str">
        <f>"SO"</f>
        <v>SO</v>
      </c>
      <c r="E1109"/>
      <c r="F1109" s="19">
        <v>40043.363321759258</v>
      </c>
      <c r="G1109"/>
      <c r="H1109">
        <v>1</v>
      </c>
      <c r="I1109">
        <v>0</v>
      </c>
      <c r="J1109"/>
      <c r="K1109"/>
      <c r="L1109"/>
      <c r="M1109" s="1">
        <v>40064</v>
      </c>
      <c r="N1109" t="s">
        <v>101</v>
      </c>
      <c r="O1109"/>
      <c r="P1109"/>
      <c r="Q1109"/>
    </row>
    <row r="1110" spans="1:17" x14ac:dyDescent="0.3">
      <c r="A1110" t="str">
        <f>"11341"</f>
        <v>11341</v>
      </c>
      <c r="B1110">
        <v>125216</v>
      </c>
      <c r="C1110">
        <v>13</v>
      </c>
      <c r="D1110" t="str">
        <f>"SO"</f>
        <v>SO</v>
      </c>
      <c r="E1110"/>
      <c r="F1110" s="19">
        <v>40043.363321759258</v>
      </c>
      <c r="G1110"/>
      <c r="H1110">
        <v>1</v>
      </c>
      <c r="I1110">
        <v>0</v>
      </c>
      <c r="J1110"/>
      <c r="K1110"/>
      <c r="L1110"/>
      <c r="M1110" s="1">
        <v>40064</v>
      </c>
      <c r="N1110" t="s">
        <v>101</v>
      </c>
      <c r="O1110"/>
      <c r="P1110"/>
      <c r="Q1110"/>
    </row>
    <row r="1111" spans="1:17" x14ac:dyDescent="0.3">
      <c r="A1111" t="str">
        <f>"11311"</f>
        <v>11311</v>
      </c>
      <c r="B1111">
        <v>125329</v>
      </c>
      <c r="C1111">
        <v>1</v>
      </c>
      <c r="D1111" t="str">
        <f>"SO"</f>
        <v>SO</v>
      </c>
      <c r="E1111"/>
      <c r="F1111" s="19">
        <v>39996.423472222225</v>
      </c>
      <c r="G1111"/>
      <c r="H1111">
        <v>3</v>
      </c>
      <c r="I1111">
        <v>0</v>
      </c>
      <c r="J1111"/>
      <c r="K1111"/>
      <c r="L1111"/>
      <c r="M1111" s="1">
        <v>40010</v>
      </c>
      <c r="N1111" t="s">
        <v>101</v>
      </c>
      <c r="O1111"/>
      <c r="P1111"/>
      <c r="Q1111"/>
    </row>
    <row r="1112" spans="1:17" x14ac:dyDescent="0.3">
      <c r="A1112" t="str">
        <f>"11220"</f>
        <v>11220</v>
      </c>
      <c r="B1112">
        <v>125442</v>
      </c>
      <c r="C1112">
        <v>1</v>
      </c>
      <c r="D1112" t="str">
        <f>"SO"</f>
        <v>SO</v>
      </c>
      <c r="E1112"/>
      <c r="F1112" s="19">
        <v>39960.36074074074</v>
      </c>
      <c r="G1112"/>
      <c r="H1112">
        <v>3</v>
      </c>
      <c r="I1112">
        <v>0</v>
      </c>
      <c r="J1112"/>
      <c r="K1112"/>
      <c r="L1112"/>
      <c r="M1112" s="1">
        <v>40178</v>
      </c>
      <c r="N1112" t="s">
        <v>101</v>
      </c>
      <c r="O1112"/>
      <c r="P1112"/>
      <c r="Q1112"/>
    </row>
    <row r="1113" spans="1:17" x14ac:dyDescent="0.3">
      <c r="A1113" t="str">
        <f>"11220"</f>
        <v>11220</v>
      </c>
      <c r="B1113">
        <v>125555</v>
      </c>
      <c r="C1113">
        <v>2</v>
      </c>
      <c r="D1113" t="str">
        <f>"SO"</f>
        <v>SO</v>
      </c>
      <c r="E1113"/>
      <c r="F1113" s="19">
        <v>39975.361180555556</v>
      </c>
      <c r="G1113"/>
      <c r="H1113">
        <v>7</v>
      </c>
      <c r="I1113">
        <v>0</v>
      </c>
      <c r="J1113"/>
      <c r="K1113"/>
      <c r="L1113"/>
      <c r="M1113" s="1">
        <v>40178</v>
      </c>
      <c r="N1113" t="s">
        <v>101</v>
      </c>
      <c r="O1113"/>
      <c r="P1113"/>
      <c r="Q1113"/>
    </row>
    <row r="1114" spans="1:17" x14ac:dyDescent="0.3">
      <c r="A1114" t="str">
        <f>"11219"</f>
        <v>11219</v>
      </c>
      <c r="B1114">
        <v>125668</v>
      </c>
      <c r="C1114">
        <v>1</v>
      </c>
      <c r="D1114" t="str">
        <f>"SO"</f>
        <v>SO</v>
      </c>
      <c r="E1114"/>
      <c r="F1114" s="19">
        <v>39959.591168981482</v>
      </c>
      <c r="G1114"/>
      <c r="H1114">
        <v>3</v>
      </c>
      <c r="I1114">
        <v>0</v>
      </c>
      <c r="J1114"/>
      <c r="K1114"/>
      <c r="L1114"/>
      <c r="M1114" s="1">
        <v>40178</v>
      </c>
      <c r="N1114" t="s">
        <v>101</v>
      </c>
      <c r="O1114"/>
      <c r="P1114"/>
      <c r="Q1114"/>
    </row>
    <row r="1115" spans="1:17" x14ac:dyDescent="0.3">
      <c r="A1115" t="str">
        <f>"11219"</f>
        <v>11219</v>
      </c>
      <c r="B1115">
        <v>125781</v>
      </c>
      <c r="C1115">
        <v>2</v>
      </c>
      <c r="D1115" t="str">
        <f>"SO"</f>
        <v>SO</v>
      </c>
      <c r="E1115"/>
      <c r="F1115" s="19">
        <v>39975.376875000002</v>
      </c>
      <c r="G1115"/>
      <c r="H1115">
        <v>7</v>
      </c>
      <c r="I1115">
        <v>0</v>
      </c>
      <c r="J1115"/>
      <c r="K1115"/>
      <c r="L1115"/>
      <c r="M1115" s="1">
        <v>40178</v>
      </c>
      <c r="N1115" t="s">
        <v>101</v>
      </c>
      <c r="O1115"/>
      <c r="P1115"/>
      <c r="Q1115"/>
    </row>
    <row r="1116" spans="1:17" x14ac:dyDescent="0.3">
      <c r="A1116" t="str">
        <f>"11218"</f>
        <v>11218</v>
      </c>
      <c r="B1116">
        <v>125894</v>
      </c>
      <c r="C1116">
        <v>1</v>
      </c>
      <c r="D1116" t="str">
        <f>"SO"</f>
        <v>SO</v>
      </c>
      <c r="E1116"/>
      <c r="F1116" s="19">
        <v>39959.581435185188</v>
      </c>
      <c r="G1116"/>
      <c r="H1116">
        <v>3</v>
      </c>
      <c r="I1116">
        <v>0</v>
      </c>
      <c r="J1116"/>
      <c r="K1116"/>
      <c r="L1116"/>
      <c r="M1116" s="1">
        <v>40178</v>
      </c>
      <c r="N1116" t="s">
        <v>101</v>
      </c>
      <c r="O1116"/>
      <c r="P1116"/>
      <c r="Q1116"/>
    </row>
    <row r="1117" spans="1:17" x14ac:dyDescent="0.3">
      <c r="A1117" t="str">
        <f>"11218"</f>
        <v>11218</v>
      </c>
      <c r="B1117">
        <v>126007</v>
      </c>
      <c r="C1117">
        <v>2</v>
      </c>
      <c r="D1117" t="str">
        <f>"SO"</f>
        <v>SO</v>
      </c>
      <c r="E1117"/>
      <c r="F1117" s="19">
        <v>39975.348333333335</v>
      </c>
      <c r="G1117"/>
      <c r="H1117">
        <v>7</v>
      </c>
      <c r="I1117">
        <v>0</v>
      </c>
      <c r="J1117"/>
      <c r="K1117"/>
      <c r="L1117"/>
      <c r="M1117" s="1">
        <v>40178</v>
      </c>
      <c r="N1117" t="s">
        <v>101</v>
      </c>
      <c r="O1117"/>
      <c r="P1117"/>
      <c r="Q1117"/>
    </row>
    <row r="1118" spans="1:17" x14ac:dyDescent="0.3">
      <c r="A1118" t="str">
        <f>"11217"</f>
        <v>11217</v>
      </c>
      <c r="B1118">
        <v>126120</v>
      </c>
      <c r="C1118">
        <v>1</v>
      </c>
      <c r="D1118" t="str">
        <f>"SO"</f>
        <v>SO</v>
      </c>
      <c r="E1118"/>
      <c r="F1118" s="19">
        <v>39959.574965277781</v>
      </c>
      <c r="G1118"/>
      <c r="H1118">
        <v>3</v>
      </c>
      <c r="I1118">
        <v>0</v>
      </c>
      <c r="J1118"/>
      <c r="K1118"/>
      <c r="L1118"/>
      <c r="M1118" s="1">
        <v>40178</v>
      </c>
      <c r="N1118" t="s">
        <v>101</v>
      </c>
      <c r="O1118"/>
      <c r="P1118"/>
      <c r="Q1118"/>
    </row>
    <row r="1119" spans="1:17" x14ac:dyDescent="0.3">
      <c r="A1119" t="str">
        <f>"11217"</f>
        <v>11217</v>
      </c>
      <c r="B1119">
        <v>126233</v>
      </c>
      <c r="C1119">
        <v>2</v>
      </c>
      <c r="D1119" t="str">
        <f>"SO"</f>
        <v>SO</v>
      </c>
      <c r="E1119"/>
      <c r="F1119" s="19">
        <v>39975.392824074072</v>
      </c>
      <c r="G1119"/>
      <c r="H1119">
        <v>7</v>
      </c>
      <c r="I1119">
        <v>0</v>
      </c>
      <c r="J1119"/>
      <c r="K1119"/>
      <c r="L1119"/>
      <c r="M1119" s="1">
        <v>40178</v>
      </c>
      <c r="N1119" t="s">
        <v>101</v>
      </c>
      <c r="O1119"/>
      <c r="P1119"/>
      <c r="Q1119"/>
    </row>
    <row r="1120" spans="1:17" x14ac:dyDescent="0.3">
      <c r="A1120" t="str">
        <f>"11216"</f>
        <v>11216</v>
      </c>
      <c r="B1120">
        <v>126346</v>
      </c>
      <c r="C1120">
        <v>1</v>
      </c>
      <c r="D1120" t="str">
        <f>"SO"</f>
        <v>SO</v>
      </c>
      <c r="E1120"/>
      <c r="F1120" s="19">
        <v>39959.555428240739</v>
      </c>
      <c r="G1120"/>
      <c r="H1120">
        <v>3</v>
      </c>
      <c r="I1120">
        <v>0</v>
      </c>
      <c r="J1120"/>
      <c r="K1120"/>
      <c r="L1120"/>
      <c r="M1120" s="1">
        <v>40178</v>
      </c>
      <c r="N1120" t="s">
        <v>101</v>
      </c>
      <c r="O1120"/>
      <c r="P1120"/>
      <c r="Q1120"/>
    </row>
    <row r="1121" spans="1:17" x14ac:dyDescent="0.3">
      <c r="A1121" t="str">
        <f>"11216"</f>
        <v>11216</v>
      </c>
      <c r="B1121">
        <v>126459</v>
      </c>
      <c r="C1121">
        <v>2</v>
      </c>
      <c r="D1121" t="str">
        <f>"SO"</f>
        <v>SO</v>
      </c>
      <c r="E1121"/>
      <c r="F1121" s="19">
        <v>39975.383449074077</v>
      </c>
      <c r="G1121"/>
      <c r="H1121">
        <v>7</v>
      </c>
      <c r="I1121">
        <v>0</v>
      </c>
      <c r="J1121"/>
      <c r="K1121"/>
      <c r="L1121"/>
      <c r="M1121" s="1">
        <v>40178</v>
      </c>
      <c r="N1121" t="s">
        <v>101</v>
      </c>
      <c r="O1121"/>
      <c r="P1121"/>
      <c r="Q1121"/>
    </row>
    <row r="1122" spans="1:17" x14ac:dyDescent="0.3">
      <c r="A1122" t="str">
        <f>"11150"</f>
        <v>11150</v>
      </c>
      <c r="B1122">
        <v>126572</v>
      </c>
      <c r="C1122">
        <v>1</v>
      </c>
      <c r="D1122" t="str">
        <f>"SO"</f>
        <v>SO</v>
      </c>
      <c r="E1122"/>
      <c r="F1122" s="19">
        <v>39937.440532407411</v>
      </c>
      <c r="G1122"/>
      <c r="H1122">
        <v>1</v>
      </c>
      <c r="I1122">
        <v>0</v>
      </c>
      <c r="J1122"/>
      <c r="K1122"/>
      <c r="L1122"/>
      <c r="M1122" s="1">
        <v>39940</v>
      </c>
      <c r="N1122" t="s">
        <v>101</v>
      </c>
      <c r="O1122"/>
      <c r="P1122"/>
      <c r="Q1122"/>
    </row>
    <row r="1123" spans="1:17" x14ac:dyDescent="0.3">
      <c r="A1123" t="str">
        <f>"11135"</f>
        <v>11135</v>
      </c>
      <c r="B1123">
        <v>126685</v>
      </c>
      <c r="C1123">
        <v>1</v>
      </c>
      <c r="D1123" t="str">
        <f>"SO"</f>
        <v>SO</v>
      </c>
      <c r="E1123"/>
      <c r="F1123" s="19">
        <v>39930.536979166667</v>
      </c>
      <c r="G1123"/>
      <c r="H1123">
        <v>1</v>
      </c>
      <c r="I1123">
        <v>0</v>
      </c>
      <c r="J1123"/>
      <c r="K1123"/>
      <c r="L1123"/>
      <c r="M1123" s="1">
        <v>39931</v>
      </c>
      <c r="N1123" t="s">
        <v>101</v>
      </c>
      <c r="O1123"/>
      <c r="P1123"/>
      <c r="Q1123"/>
    </row>
    <row r="1124" spans="1:17" x14ac:dyDescent="0.3">
      <c r="A1124" t="str">
        <f>"11035"</f>
        <v>11035</v>
      </c>
      <c r="B1124">
        <v>126798</v>
      </c>
      <c r="C1124">
        <v>1</v>
      </c>
      <c r="D1124" t="str">
        <f>"SO"</f>
        <v>SO</v>
      </c>
      <c r="E1124"/>
      <c r="F1124" s="19">
        <v>39890.450115740743</v>
      </c>
      <c r="G1124"/>
      <c r="H1124">
        <v>3</v>
      </c>
      <c r="I1124">
        <v>0</v>
      </c>
      <c r="J1124"/>
      <c r="K1124"/>
      <c r="L1124"/>
      <c r="M1124" s="1">
        <v>39923</v>
      </c>
      <c r="N1124" t="s">
        <v>101</v>
      </c>
      <c r="O1124"/>
      <c r="P1124"/>
      <c r="Q1124"/>
    </row>
    <row r="1125" spans="1:17" x14ac:dyDescent="0.3">
      <c r="A1125" t="str">
        <f>"11026"</f>
        <v>11026</v>
      </c>
      <c r="B1125">
        <v>126911</v>
      </c>
      <c r="C1125">
        <v>1</v>
      </c>
      <c r="D1125" t="str">
        <f>"SO"</f>
        <v>SO</v>
      </c>
      <c r="E1125"/>
      <c r="F1125" s="19">
        <v>39890.33934027778</v>
      </c>
      <c r="G1125"/>
      <c r="H1125">
        <v>6</v>
      </c>
      <c r="I1125">
        <v>0</v>
      </c>
      <c r="J1125"/>
      <c r="K1125"/>
      <c r="L1125"/>
      <c r="M1125" s="1">
        <v>39917</v>
      </c>
      <c r="N1125" t="s">
        <v>101</v>
      </c>
      <c r="O1125"/>
      <c r="P1125"/>
      <c r="Q1125"/>
    </row>
    <row r="1126" spans="1:17" x14ac:dyDescent="0.3">
      <c r="A1126" t="str">
        <f>"11024"</f>
        <v>11024</v>
      </c>
      <c r="B1126">
        <v>127024</v>
      </c>
      <c r="C1126">
        <v>1</v>
      </c>
      <c r="D1126" t="str">
        <f>"SO"</f>
        <v>SO</v>
      </c>
      <c r="E1126"/>
      <c r="F1126" s="19">
        <v>39889.668437499997</v>
      </c>
      <c r="G1126"/>
      <c r="H1126">
        <v>6</v>
      </c>
      <c r="I1126">
        <v>0</v>
      </c>
      <c r="J1126"/>
      <c r="K1126"/>
      <c r="L1126"/>
      <c r="M1126" s="1">
        <v>39919</v>
      </c>
      <c r="N1126" t="s">
        <v>101</v>
      </c>
      <c r="O1126"/>
      <c r="P1126"/>
      <c r="Q1126"/>
    </row>
    <row r="1127" spans="1:17" x14ac:dyDescent="0.3">
      <c r="A1127" t="str">
        <f>"10987"</f>
        <v>10987</v>
      </c>
      <c r="B1127">
        <v>127137</v>
      </c>
      <c r="C1127">
        <v>3</v>
      </c>
      <c r="D1127" t="str">
        <f>"SO"</f>
        <v>SO</v>
      </c>
      <c r="E1127"/>
      <c r="F1127" s="19">
        <v>39895.46303240741</v>
      </c>
      <c r="G1127"/>
      <c r="H1127">
        <v>1</v>
      </c>
      <c r="I1127">
        <v>0</v>
      </c>
      <c r="J1127"/>
      <c r="K1127"/>
      <c r="L1127"/>
      <c r="M1127" s="1">
        <v>39906</v>
      </c>
      <c r="N1127" t="s">
        <v>101</v>
      </c>
      <c r="O1127"/>
      <c r="P1127"/>
      <c r="Q1127"/>
    </row>
    <row r="1128" spans="1:17" x14ac:dyDescent="0.3">
      <c r="A1128" t="str">
        <f>"10904"</f>
        <v>10904</v>
      </c>
      <c r="B1128">
        <v>127250</v>
      </c>
      <c r="C1128">
        <v>1</v>
      </c>
      <c r="D1128" t="str">
        <f>"SO"</f>
        <v>SO</v>
      </c>
      <c r="E1128"/>
      <c r="F1128" s="19">
        <v>39862.609525462962</v>
      </c>
      <c r="G1128"/>
      <c r="H1128">
        <v>1</v>
      </c>
      <c r="I1128">
        <v>0</v>
      </c>
      <c r="J1128"/>
      <c r="K1128"/>
      <c r="L1128"/>
      <c r="M1128" s="1">
        <v>39863</v>
      </c>
      <c r="N1128" t="s">
        <v>101</v>
      </c>
      <c r="O1128"/>
      <c r="P1128"/>
      <c r="Q1128"/>
    </row>
    <row r="1129" spans="1:17" x14ac:dyDescent="0.3">
      <c r="A1129" t="str">
        <f>"10903"</f>
        <v>10903</v>
      </c>
      <c r="B1129">
        <v>127363</v>
      </c>
      <c r="C1129">
        <v>2</v>
      </c>
      <c r="D1129" t="str">
        <f>"SO"</f>
        <v>SO</v>
      </c>
      <c r="E1129"/>
      <c r="F1129" s="19">
        <v>39862.479120370372</v>
      </c>
      <c r="G1129"/>
      <c r="H1129">
        <v>2</v>
      </c>
      <c r="I1129">
        <v>0</v>
      </c>
      <c r="J1129"/>
      <c r="K1129"/>
      <c r="L1129"/>
      <c r="M1129" s="1">
        <v>39892</v>
      </c>
      <c r="N1129" t="s">
        <v>101</v>
      </c>
      <c r="O1129"/>
      <c r="P1129"/>
      <c r="Q1129"/>
    </row>
    <row r="1130" spans="1:17" x14ac:dyDescent="0.3">
      <c r="A1130" t="str">
        <f>"10732"</f>
        <v>10732</v>
      </c>
      <c r="B1130">
        <v>127476</v>
      </c>
      <c r="C1130">
        <v>1</v>
      </c>
      <c r="D1130" t="str">
        <f>"SO"</f>
        <v>SO</v>
      </c>
      <c r="E1130"/>
      <c r="F1130" s="19">
        <v>39819.587025462963</v>
      </c>
      <c r="G1130"/>
      <c r="H1130">
        <v>1</v>
      </c>
      <c r="I1130">
        <v>0</v>
      </c>
      <c r="J1130"/>
      <c r="K1130"/>
      <c r="L1130"/>
      <c r="M1130" s="1">
        <v>40025</v>
      </c>
      <c r="N1130" t="s">
        <v>101</v>
      </c>
      <c r="O1130"/>
      <c r="P1130"/>
      <c r="Q1130"/>
    </row>
    <row r="1131" spans="1:17" x14ac:dyDescent="0.3">
      <c r="A1131" t="str">
        <f>"10666"</f>
        <v>10666</v>
      </c>
      <c r="B1131">
        <v>127589</v>
      </c>
      <c r="C1131">
        <v>1</v>
      </c>
      <c r="D1131" t="str">
        <f>"SO"</f>
        <v>SO</v>
      </c>
      <c r="E1131"/>
      <c r="F1131" s="19">
        <v>39794.46837962963</v>
      </c>
      <c r="G1131"/>
      <c r="H1131">
        <v>2</v>
      </c>
      <c r="I1131">
        <v>0</v>
      </c>
      <c r="J1131"/>
      <c r="K1131"/>
      <c r="L1131"/>
      <c r="M1131" s="1">
        <v>39836</v>
      </c>
      <c r="N1131" t="s">
        <v>101</v>
      </c>
      <c r="O1131"/>
      <c r="P1131"/>
      <c r="Q1131"/>
    </row>
    <row r="1132" spans="1:17" x14ac:dyDescent="0.3">
      <c r="A1132" t="str">
        <f>"10619"</f>
        <v>10619</v>
      </c>
      <c r="B1132">
        <v>127702</v>
      </c>
      <c r="C1132">
        <v>1</v>
      </c>
      <c r="D1132" t="str">
        <f>"SO"</f>
        <v>SO</v>
      </c>
      <c r="E1132"/>
      <c r="F1132" s="19">
        <v>39780.42224537037</v>
      </c>
      <c r="G1132"/>
      <c r="H1132">
        <v>1</v>
      </c>
      <c r="I1132">
        <v>0</v>
      </c>
      <c r="J1132"/>
      <c r="K1132"/>
      <c r="L1132"/>
      <c r="M1132" s="1">
        <v>39787</v>
      </c>
      <c r="N1132" t="s">
        <v>101</v>
      </c>
      <c r="O1132"/>
      <c r="P1132"/>
      <c r="Q1132"/>
    </row>
    <row r="1133" spans="1:17" x14ac:dyDescent="0.3">
      <c r="A1133" t="str">
        <f>"10369"</f>
        <v>10369</v>
      </c>
      <c r="B1133">
        <v>127815</v>
      </c>
      <c r="C1133">
        <v>1</v>
      </c>
      <c r="D1133" t="str">
        <f>"SO"</f>
        <v>SO</v>
      </c>
      <c r="E1133"/>
      <c r="F1133" s="19">
        <v>39700.361886574072</v>
      </c>
      <c r="G1133"/>
      <c r="H1133">
        <v>1</v>
      </c>
      <c r="I1133">
        <v>0</v>
      </c>
      <c r="J1133"/>
      <c r="K1133"/>
      <c r="L1133"/>
      <c r="M1133" s="1">
        <v>39707</v>
      </c>
      <c r="N1133" t="s">
        <v>101</v>
      </c>
      <c r="O1133"/>
      <c r="P1133"/>
      <c r="Q1133"/>
    </row>
    <row r="1134" spans="1:17" x14ac:dyDescent="0.3">
      <c r="A1134" t="str">
        <f>"10353"</f>
        <v>10353</v>
      </c>
      <c r="B1134">
        <v>127928</v>
      </c>
      <c r="C1134">
        <v>1</v>
      </c>
      <c r="D1134" t="str">
        <f>"SO"</f>
        <v>SO</v>
      </c>
      <c r="E1134"/>
      <c r="F1134" s="19">
        <v>39688.495509259257</v>
      </c>
      <c r="G1134"/>
      <c r="H1134">
        <v>1</v>
      </c>
      <c r="I1134">
        <v>0</v>
      </c>
      <c r="J1134"/>
      <c r="K1134"/>
      <c r="L1134"/>
      <c r="M1134" s="1">
        <v>39692</v>
      </c>
      <c r="N1134" t="s">
        <v>101</v>
      </c>
      <c r="O1134"/>
      <c r="P1134"/>
      <c r="Q1134"/>
    </row>
    <row r="1135" spans="1:17" x14ac:dyDescent="0.3">
      <c r="A1135" t="str">
        <f>"10206"</f>
        <v>10206</v>
      </c>
      <c r="B1135">
        <v>128041</v>
      </c>
      <c r="C1135">
        <v>1</v>
      </c>
      <c r="D1135" t="str">
        <f>"SO"</f>
        <v>SO</v>
      </c>
      <c r="E1135"/>
      <c r="F1135" s="19">
        <v>39657.623599537037</v>
      </c>
      <c r="G1135"/>
      <c r="H1135">
        <v>1</v>
      </c>
      <c r="I1135">
        <v>0</v>
      </c>
      <c r="J1135"/>
      <c r="K1135"/>
      <c r="L1135"/>
      <c r="M1135"/>
      <c r="N1135" t="s">
        <v>101</v>
      </c>
      <c r="O1135"/>
      <c r="P1135"/>
      <c r="Q1135"/>
    </row>
    <row r="1136" spans="1:17" x14ac:dyDescent="0.3">
      <c r="A1136" t="str">
        <f>"10199"</f>
        <v>10199</v>
      </c>
      <c r="B1136">
        <v>128154</v>
      </c>
      <c r="C1136">
        <v>1</v>
      </c>
      <c r="D1136" t="str">
        <f>"SO"</f>
        <v>SO</v>
      </c>
      <c r="E1136"/>
      <c r="F1136" s="19">
        <v>39653.419629629629</v>
      </c>
      <c r="G1136"/>
      <c r="H1136">
        <v>1</v>
      </c>
      <c r="I1136">
        <v>0</v>
      </c>
      <c r="J1136"/>
      <c r="K1136"/>
      <c r="L1136"/>
      <c r="M1136"/>
      <c r="N1136" t="s">
        <v>103</v>
      </c>
      <c r="O1136"/>
      <c r="P1136"/>
      <c r="Q1136"/>
    </row>
    <row r="1137" spans="1:17" x14ac:dyDescent="0.3">
      <c r="A1137" t="str">
        <f>"10028"</f>
        <v>10028</v>
      </c>
      <c r="B1137">
        <v>128267</v>
      </c>
      <c r="C1137">
        <v>1</v>
      </c>
      <c r="D1137" t="str">
        <f>"SO"</f>
        <v>SO</v>
      </c>
      <c r="E1137"/>
      <c r="F1137" s="19">
        <v>39603.350983796299</v>
      </c>
      <c r="G1137"/>
      <c r="H1137">
        <v>1</v>
      </c>
      <c r="I1137">
        <v>0</v>
      </c>
      <c r="J1137"/>
      <c r="K1137"/>
      <c r="L1137"/>
      <c r="M1137"/>
      <c r="N1137" t="s">
        <v>103</v>
      </c>
      <c r="O1137"/>
      <c r="P1137"/>
      <c r="Q1137"/>
    </row>
    <row r="1138" spans="1:17" x14ac:dyDescent="0.3">
      <c r="A1138" t="str">
        <f>"1001"</f>
        <v>1001</v>
      </c>
      <c r="B1138">
        <v>128380</v>
      </c>
      <c r="C1138">
        <v>1</v>
      </c>
      <c r="D1138" t="str">
        <f>" "</f>
        <v xml:space="preserve"> </v>
      </c>
      <c r="E1138"/>
      <c r="F1138" s="19">
        <v>42087.565497685187</v>
      </c>
      <c r="G1138"/>
      <c r="H1138">
        <v>28</v>
      </c>
      <c r="I1138">
        <v>0</v>
      </c>
      <c r="J1138"/>
      <c r="K1138"/>
      <c r="L1138"/>
      <c r="M1138" s="1">
        <v>41731</v>
      </c>
      <c r="N1138" t="s">
        <v>103</v>
      </c>
      <c r="O1138"/>
      <c r="P1138"/>
      <c r="Q1138"/>
    </row>
    <row r="1139" spans="1:17" x14ac:dyDescent="0.3">
      <c r="A1139" t="str">
        <f>"1001"</f>
        <v>1001</v>
      </c>
      <c r="B1139">
        <v>128493</v>
      </c>
      <c r="C1139">
        <v>2</v>
      </c>
      <c r="D1139" t="str">
        <f>" "</f>
        <v xml:space="preserve"> </v>
      </c>
      <c r="E1139"/>
      <c r="F1139" s="19">
        <v>42087.565497685187</v>
      </c>
      <c r="G1139"/>
      <c r="H1139">
        <v>28</v>
      </c>
      <c r="I1139">
        <v>0</v>
      </c>
      <c r="J1139"/>
      <c r="K1139"/>
      <c r="L1139"/>
      <c r="M1139" s="1">
        <v>41901</v>
      </c>
      <c r="N1139" t="s">
        <v>103</v>
      </c>
      <c r="O1139"/>
      <c r="P1139"/>
      <c r="Q1139"/>
    </row>
    <row r="1140" spans="1:17" x14ac:dyDescent="0.3">
      <c r="A1140" t="str">
        <f>"1001"</f>
        <v>1001</v>
      </c>
      <c r="B1140">
        <v>128606</v>
      </c>
      <c r="C1140">
        <v>3</v>
      </c>
      <c r="D1140" t="str">
        <f>" "</f>
        <v xml:space="preserve"> </v>
      </c>
      <c r="E1140"/>
      <c r="F1140" s="19">
        <v>42087.565497685187</v>
      </c>
      <c r="G1140"/>
      <c r="H1140">
        <v>28</v>
      </c>
      <c r="I1140">
        <v>0</v>
      </c>
      <c r="J1140"/>
      <c r="K1140"/>
      <c r="L1140"/>
      <c r="M1140" s="1">
        <v>42156</v>
      </c>
      <c r="N1140" t="s">
        <v>103</v>
      </c>
      <c r="O1140"/>
      <c r="P1140"/>
      <c r="Q1140"/>
    </row>
    <row r="1141" spans="1:17" x14ac:dyDescent="0.3">
      <c r="A1141" t="str">
        <f>"1001"</f>
        <v>1001</v>
      </c>
      <c r="B1141">
        <v>128719</v>
      </c>
      <c r="C1141">
        <v>4</v>
      </c>
      <c r="D1141" t="str">
        <f>" "</f>
        <v xml:space="preserve"> </v>
      </c>
      <c r="E1141"/>
      <c r="F1141" s="19">
        <v>42087.565497685187</v>
      </c>
      <c r="G1141"/>
      <c r="H1141">
        <v>56</v>
      </c>
      <c r="I1141">
        <v>0</v>
      </c>
      <c r="J1141"/>
      <c r="K1141"/>
      <c r="L1141"/>
      <c r="M1141" s="1">
        <v>42156</v>
      </c>
      <c r="N1141" t="s">
        <v>103</v>
      </c>
      <c r="O1141"/>
      <c r="P1141"/>
      <c r="Q1141"/>
    </row>
    <row r="1142" spans="1:17" x14ac:dyDescent="0.3">
      <c r="A1142" t="str">
        <f>"1000"</f>
        <v>1000</v>
      </c>
      <c r="B1142">
        <v>128832</v>
      </c>
      <c r="C1142">
        <v>1</v>
      </c>
      <c r="D1142" t="str">
        <f>"SO"</f>
        <v>SO</v>
      </c>
      <c r="E1142"/>
      <c r="F1142" s="19">
        <v>42046.611608796295</v>
      </c>
      <c r="G1142"/>
      <c r="H1142">
        <v>3</v>
      </c>
      <c r="I1142">
        <v>0</v>
      </c>
      <c r="J1142"/>
      <c r="K1142"/>
      <c r="L1142"/>
      <c r="M1142" s="1">
        <v>42095</v>
      </c>
      <c r="N1142" t="s">
        <v>103</v>
      </c>
      <c r="O1142"/>
      <c r="P1142"/>
      <c r="Q1142"/>
    </row>
    <row r="1143" spans="1:17" x14ac:dyDescent="0.3">
      <c r="A1143" t="str">
        <f>"1000"</f>
        <v>1000</v>
      </c>
      <c r="B1143">
        <v>128945</v>
      </c>
      <c r="C1143">
        <v>2</v>
      </c>
      <c r="D1143" t="str">
        <f>"SO"</f>
        <v>SO</v>
      </c>
      <c r="E1143"/>
      <c r="F1143" s="19">
        <v>42046.611608796295</v>
      </c>
      <c r="G1143"/>
      <c r="H1143">
        <v>3</v>
      </c>
      <c r="I1143">
        <v>0</v>
      </c>
      <c r="J1143"/>
      <c r="K1143"/>
      <c r="L1143"/>
      <c r="M1143" s="1">
        <v>42095</v>
      </c>
      <c r="N1143" t="s">
        <v>103</v>
      </c>
      <c r="O1143"/>
      <c r="P1143"/>
      <c r="Q1143"/>
    </row>
    <row r="1144" spans="1:17" x14ac:dyDescent="0.3">
      <c r="A1144" t="str">
        <f>""</f>
        <v/>
      </c>
      <c r="B1144" t="str">
        <f>""</f>
        <v/>
      </c>
      <c r="C1144"/>
      <c r="D1144" t="str">
        <f>""</f>
        <v/>
      </c>
      <c r="E1144"/>
      <c r="F1144"/>
      <c r="G1144"/>
      <c r="H1144">
        <v>95623.01</v>
      </c>
      <c r="I1144">
        <v>93380.085000000006</v>
      </c>
      <c r="J1144"/>
      <c r="K1144"/>
      <c r="L1144"/>
      <c r="M1144"/>
      <c r="N1144" t="str">
        <f>""</f>
        <v/>
      </c>
      <c r="O1144"/>
      <c r="P1144"/>
      <c r="Q1144" t="str">
        <f>""</f>
        <v/>
      </c>
    </row>
  </sheetData>
  <sortState ref="A2:Q11049">
    <sortCondition ref="G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74"/>
  <sheetViews>
    <sheetView workbookViewId="0">
      <selection activeCell="A75" sqref="A75"/>
    </sheetView>
  </sheetViews>
  <sheetFormatPr baseColWidth="10" defaultRowHeight="14.4" x14ac:dyDescent="0.3"/>
  <cols>
    <col min="1" max="1" width="13.6640625" bestFit="1" customWidth="1"/>
    <col min="2" max="2" width="22.109375" bestFit="1" customWidth="1"/>
    <col min="3" max="3" width="11.6640625" bestFit="1" customWidth="1"/>
    <col min="4" max="4" width="10.5546875" style="1" bestFit="1" customWidth="1"/>
    <col min="5" max="5" width="11.6640625" bestFit="1" customWidth="1"/>
    <col min="6" max="6" width="2.6640625" customWidth="1"/>
    <col min="8" max="8" width="2.6640625" customWidth="1"/>
    <col min="12" max="12" width="2.6640625" customWidth="1"/>
    <col min="13" max="13" width="12.6640625" customWidth="1"/>
    <col min="14" max="14" width="27.6640625" bestFit="1" customWidth="1"/>
  </cols>
  <sheetData>
    <row r="1" spans="1:14" ht="16.2" thickBot="1" x14ac:dyDescent="0.35">
      <c r="A1" s="61" t="s">
        <v>17</v>
      </c>
      <c r="B1" s="62"/>
      <c r="C1" s="6">
        <v>42461</v>
      </c>
      <c r="D1" s="16" t="s">
        <v>18</v>
      </c>
      <c r="E1" s="6">
        <v>42490</v>
      </c>
      <c r="F1" s="7"/>
      <c r="G1" s="13"/>
      <c r="H1" s="8"/>
      <c r="I1" s="63" t="s">
        <v>19</v>
      </c>
      <c r="J1" s="65"/>
      <c r="K1" s="64"/>
      <c r="N1" s="17" t="s">
        <v>26</v>
      </c>
    </row>
    <row r="2" spans="1:14" x14ac:dyDescent="0.3">
      <c r="A2" s="8"/>
      <c r="B2" s="8"/>
      <c r="C2" s="7"/>
      <c r="D2" s="7"/>
      <c r="E2" s="8"/>
      <c r="F2" s="7"/>
      <c r="G2" s="13"/>
      <c r="H2" s="8"/>
      <c r="I2" s="4" t="s">
        <v>6</v>
      </c>
      <c r="J2" s="4" t="s">
        <v>6</v>
      </c>
      <c r="K2" s="4" t="s">
        <v>12</v>
      </c>
      <c r="N2" s="17" t="s">
        <v>27</v>
      </c>
    </row>
    <row r="3" spans="1:14" ht="15" thickBot="1" x14ac:dyDescent="0.35">
      <c r="A3" s="8"/>
      <c r="B3" s="8"/>
      <c r="C3" s="8"/>
      <c r="D3" s="7"/>
      <c r="E3" s="8"/>
      <c r="F3" s="9"/>
      <c r="G3" s="14"/>
      <c r="H3" s="8"/>
      <c r="I3" s="5" t="str">
        <f>"&gt;="&amp;C1</f>
        <v>&gt;=42461</v>
      </c>
      <c r="J3" s="5" t="str">
        <f>"&lt;="&amp;E1</f>
        <v>&lt;=42490</v>
      </c>
      <c r="K3" s="5" t="s">
        <v>20</v>
      </c>
      <c r="N3" s="17" t="s">
        <v>28</v>
      </c>
    </row>
    <row r="5" spans="1:14" x14ac:dyDescent="0.3">
      <c r="A5" s="10" t="s">
        <v>0</v>
      </c>
      <c r="B5" s="11" t="s">
        <v>13</v>
      </c>
      <c r="C5" s="12" t="s">
        <v>12</v>
      </c>
      <c r="D5" s="12" t="s">
        <v>6</v>
      </c>
      <c r="E5" s="15" t="s">
        <v>21</v>
      </c>
    </row>
    <row r="6" spans="1:14" x14ac:dyDescent="0.3">
      <c r="A6" t="s">
        <v>100</v>
      </c>
      <c r="B6" t="s">
        <v>102</v>
      </c>
      <c r="C6" s="1">
        <v>42489</v>
      </c>
      <c r="D6" s="1">
        <v>42478</v>
      </c>
      <c r="E6">
        <v>-9</v>
      </c>
    </row>
    <row r="7" spans="1:14" x14ac:dyDescent="0.3">
      <c r="A7" t="s">
        <v>99</v>
      </c>
      <c r="B7" t="s">
        <v>102</v>
      </c>
      <c r="C7" s="1">
        <v>42307</v>
      </c>
      <c r="D7" s="1">
        <v>42464</v>
      </c>
      <c r="E7">
        <v>111</v>
      </c>
    </row>
    <row r="8" spans="1:14" x14ac:dyDescent="0.3">
      <c r="A8" t="s">
        <v>98</v>
      </c>
      <c r="B8" t="s">
        <v>102</v>
      </c>
      <c r="C8" s="1">
        <v>42430</v>
      </c>
      <c r="D8" s="1">
        <v>42489</v>
      </c>
      <c r="E8">
        <v>43</v>
      </c>
    </row>
    <row r="9" spans="1:14" x14ac:dyDescent="0.3">
      <c r="A9" t="s">
        <v>97</v>
      </c>
      <c r="B9" t="s">
        <v>102</v>
      </c>
      <c r="C9" s="1">
        <v>42333</v>
      </c>
      <c r="D9" s="1">
        <v>42466</v>
      </c>
      <c r="E9">
        <v>95</v>
      </c>
    </row>
    <row r="10" spans="1:14" x14ac:dyDescent="0.3">
      <c r="A10" t="s">
        <v>67</v>
      </c>
      <c r="B10" t="s">
        <v>102</v>
      </c>
      <c r="C10" s="1">
        <v>42475</v>
      </c>
      <c r="D10" s="1">
        <v>42472</v>
      </c>
      <c r="E10">
        <v>-3</v>
      </c>
    </row>
    <row r="11" spans="1:14" x14ac:dyDescent="0.3">
      <c r="A11" t="s">
        <v>96</v>
      </c>
      <c r="B11" t="s">
        <v>102</v>
      </c>
      <c r="C11" s="1">
        <v>42408</v>
      </c>
      <c r="D11" s="1">
        <v>42474</v>
      </c>
      <c r="E11">
        <v>48</v>
      </c>
    </row>
    <row r="12" spans="1:14" x14ac:dyDescent="0.3">
      <c r="A12" t="s">
        <v>29</v>
      </c>
      <c r="B12" t="s">
        <v>102</v>
      </c>
      <c r="C12" s="1">
        <v>42471</v>
      </c>
      <c r="D12" s="1">
        <v>42480</v>
      </c>
      <c r="E12">
        <v>7</v>
      </c>
    </row>
    <row r="13" spans="1:14" x14ac:dyDescent="0.3">
      <c r="A13" t="s">
        <v>32</v>
      </c>
      <c r="B13" t="s">
        <v>102</v>
      </c>
      <c r="C13" s="1">
        <v>42419</v>
      </c>
      <c r="D13" s="1">
        <v>42488</v>
      </c>
      <c r="E13">
        <v>49</v>
      </c>
    </row>
    <row r="14" spans="1:14" x14ac:dyDescent="0.3">
      <c r="A14" t="s">
        <v>31</v>
      </c>
      <c r="B14" t="s">
        <v>102</v>
      </c>
      <c r="C14" s="1">
        <v>42436</v>
      </c>
      <c r="D14" s="1">
        <v>42472</v>
      </c>
      <c r="E14">
        <v>26</v>
      </c>
    </row>
    <row r="15" spans="1:14" x14ac:dyDescent="0.3">
      <c r="A15" t="s">
        <v>30</v>
      </c>
      <c r="B15" t="s">
        <v>102</v>
      </c>
      <c r="C15" s="1">
        <v>42507</v>
      </c>
      <c r="D15" s="1">
        <v>42489</v>
      </c>
      <c r="E15">
        <v>-12</v>
      </c>
    </row>
    <row r="16" spans="1:14" x14ac:dyDescent="0.3">
      <c r="A16" t="s">
        <v>39</v>
      </c>
      <c r="B16" t="s">
        <v>102</v>
      </c>
      <c r="C16" s="1">
        <v>42459</v>
      </c>
      <c r="D16" s="1">
        <v>42481</v>
      </c>
      <c r="E16">
        <v>16</v>
      </c>
    </row>
    <row r="17" spans="1:5" x14ac:dyDescent="0.3">
      <c r="A17" t="s">
        <v>38</v>
      </c>
      <c r="B17" t="s">
        <v>102</v>
      </c>
      <c r="C17" s="1">
        <v>42447</v>
      </c>
      <c r="D17" s="1">
        <v>42465</v>
      </c>
      <c r="E17">
        <v>12</v>
      </c>
    </row>
    <row r="18" spans="1:5" x14ac:dyDescent="0.3">
      <c r="A18" t="s">
        <v>37</v>
      </c>
      <c r="B18" t="s">
        <v>102</v>
      </c>
      <c r="C18" s="1">
        <v>42447</v>
      </c>
      <c r="D18" s="1">
        <v>42465</v>
      </c>
      <c r="E18">
        <v>12</v>
      </c>
    </row>
    <row r="19" spans="1:5" x14ac:dyDescent="0.3">
      <c r="A19" t="s">
        <v>36</v>
      </c>
      <c r="B19" t="s">
        <v>102</v>
      </c>
      <c r="C19" s="1">
        <v>42433</v>
      </c>
      <c r="D19" s="1">
        <v>42475</v>
      </c>
      <c r="E19">
        <v>30</v>
      </c>
    </row>
    <row r="20" spans="1:5" x14ac:dyDescent="0.3">
      <c r="A20" t="s">
        <v>35</v>
      </c>
      <c r="B20" t="s">
        <v>102</v>
      </c>
      <c r="C20" s="1">
        <v>42454</v>
      </c>
      <c r="D20" s="1">
        <v>42475</v>
      </c>
      <c r="E20">
        <v>15</v>
      </c>
    </row>
    <row r="21" spans="1:5" x14ac:dyDescent="0.3">
      <c r="A21" t="s">
        <v>34</v>
      </c>
      <c r="B21" t="s">
        <v>102</v>
      </c>
      <c r="C21" s="1">
        <v>42478</v>
      </c>
      <c r="D21" s="1">
        <v>42486</v>
      </c>
      <c r="E21">
        <v>6</v>
      </c>
    </row>
    <row r="22" spans="1:5" x14ac:dyDescent="0.3">
      <c r="A22" t="s">
        <v>33</v>
      </c>
      <c r="B22" t="s">
        <v>102</v>
      </c>
      <c r="C22" s="1">
        <v>42445</v>
      </c>
      <c r="D22" s="1">
        <v>42465</v>
      </c>
      <c r="E22">
        <v>14</v>
      </c>
    </row>
    <row r="23" spans="1:5" x14ac:dyDescent="0.3">
      <c r="A23" t="s">
        <v>66</v>
      </c>
      <c r="B23" t="s">
        <v>102</v>
      </c>
      <c r="C23" s="1">
        <v>42458</v>
      </c>
      <c r="D23" s="1">
        <v>42465</v>
      </c>
      <c r="E23">
        <v>5</v>
      </c>
    </row>
    <row r="24" spans="1:5" x14ac:dyDescent="0.3">
      <c r="A24" t="s">
        <v>65</v>
      </c>
      <c r="B24" t="s">
        <v>102</v>
      </c>
      <c r="C24" s="1">
        <v>42464</v>
      </c>
      <c r="D24" s="1">
        <v>42466</v>
      </c>
      <c r="E24">
        <v>2</v>
      </c>
    </row>
    <row r="25" spans="1:5" x14ac:dyDescent="0.3">
      <c r="A25" t="s">
        <v>64</v>
      </c>
      <c r="B25" t="s">
        <v>102</v>
      </c>
      <c r="C25" s="1">
        <v>42458</v>
      </c>
      <c r="D25" s="1">
        <v>42465</v>
      </c>
      <c r="E25">
        <v>5</v>
      </c>
    </row>
    <row r="26" spans="1:5" x14ac:dyDescent="0.3">
      <c r="A26" t="s">
        <v>63</v>
      </c>
      <c r="B26" t="s">
        <v>102</v>
      </c>
      <c r="C26" s="1">
        <v>42478</v>
      </c>
      <c r="D26" s="1">
        <v>42489</v>
      </c>
      <c r="E26">
        <v>9</v>
      </c>
    </row>
    <row r="27" spans="1:5" x14ac:dyDescent="0.3">
      <c r="A27" t="s">
        <v>62</v>
      </c>
      <c r="B27" t="s">
        <v>102</v>
      </c>
      <c r="C27" s="1">
        <v>42454</v>
      </c>
      <c r="D27" s="1">
        <v>42473</v>
      </c>
      <c r="E27">
        <v>13</v>
      </c>
    </row>
    <row r="28" spans="1:5" x14ac:dyDescent="0.3">
      <c r="A28" t="s">
        <v>61</v>
      </c>
      <c r="B28" t="s">
        <v>102</v>
      </c>
      <c r="C28" s="1">
        <v>42454</v>
      </c>
      <c r="D28" s="1">
        <v>42473</v>
      </c>
      <c r="E28">
        <v>13</v>
      </c>
    </row>
    <row r="29" spans="1:5" x14ac:dyDescent="0.3">
      <c r="A29" t="s">
        <v>60</v>
      </c>
      <c r="B29" t="s">
        <v>102</v>
      </c>
      <c r="C29" s="1">
        <v>42454</v>
      </c>
      <c r="D29" s="1">
        <v>42473</v>
      </c>
      <c r="E29">
        <v>13</v>
      </c>
    </row>
    <row r="30" spans="1:5" x14ac:dyDescent="0.3">
      <c r="A30" t="s">
        <v>59</v>
      </c>
      <c r="B30" t="s">
        <v>102</v>
      </c>
      <c r="C30" s="1">
        <v>42482</v>
      </c>
      <c r="D30" s="1">
        <v>42489</v>
      </c>
      <c r="E30">
        <v>5</v>
      </c>
    </row>
    <row r="31" spans="1:5" x14ac:dyDescent="0.3">
      <c r="A31" t="s">
        <v>58</v>
      </c>
      <c r="B31" t="s">
        <v>102</v>
      </c>
      <c r="C31" s="1">
        <v>42482</v>
      </c>
      <c r="D31" s="1">
        <v>42487</v>
      </c>
      <c r="E31">
        <v>3</v>
      </c>
    </row>
    <row r="32" spans="1:5" x14ac:dyDescent="0.3">
      <c r="A32" t="s">
        <v>57</v>
      </c>
      <c r="B32" t="s">
        <v>102</v>
      </c>
      <c r="C32" s="1">
        <v>42468</v>
      </c>
      <c r="D32" s="1">
        <v>42468</v>
      </c>
      <c r="E32">
        <v>0</v>
      </c>
    </row>
    <row r="33" spans="1:5" x14ac:dyDescent="0.3">
      <c r="A33" t="s">
        <v>56</v>
      </c>
      <c r="B33" t="s">
        <v>102</v>
      </c>
      <c r="C33" s="1">
        <v>42475</v>
      </c>
      <c r="D33" s="1">
        <v>42485</v>
      </c>
      <c r="E33">
        <v>6</v>
      </c>
    </row>
    <row r="34" spans="1:5" x14ac:dyDescent="0.3">
      <c r="A34" t="s">
        <v>55</v>
      </c>
      <c r="B34" t="s">
        <v>102</v>
      </c>
      <c r="C34" s="1">
        <v>42464</v>
      </c>
      <c r="D34" s="1">
        <v>42472</v>
      </c>
      <c r="E34">
        <v>6</v>
      </c>
    </row>
    <row r="35" spans="1:5" x14ac:dyDescent="0.3">
      <c r="A35" t="s">
        <v>54</v>
      </c>
      <c r="B35" t="s">
        <v>102</v>
      </c>
      <c r="C35" s="1">
        <v>42482</v>
      </c>
      <c r="D35" s="1">
        <v>42487</v>
      </c>
      <c r="E35">
        <v>3</v>
      </c>
    </row>
    <row r="36" spans="1:5" x14ac:dyDescent="0.3">
      <c r="A36" t="s">
        <v>53</v>
      </c>
      <c r="B36" t="s">
        <v>102</v>
      </c>
      <c r="C36" s="1">
        <v>42482</v>
      </c>
      <c r="D36" s="1">
        <v>42489</v>
      </c>
      <c r="E36">
        <v>5</v>
      </c>
    </row>
    <row r="37" spans="1:5" x14ac:dyDescent="0.3">
      <c r="A37" t="s">
        <v>52</v>
      </c>
      <c r="B37" t="s">
        <v>102</v>
      </c>
      <c r="C37" s="1">
        <v>42482</v>
      </c>
      <c r="D37" s="1">
        <v>42487</v>
      </c>
      <c r="E37">
        <v>3</v>
      </c>
    </row>
    <row r="38" spans="1:5" x14ac:dyDescent="0.3">
      <c r="A38" t="s">
        <v>51</v>
      </c>
      <c r="B38" t="s">
        <v>102</v>
      </c>
      <c r="C38" s="1">
        <v>42503</v>
      </c>
      <c r="D38" s="1">
        <v>42468</v>
      </c>
      <c r="E38">
        <v>-25</v>
      </c>
    </row>
    <row r="39" spans="1:5" x14ac:dyDescent="0.3">
      <c r="A39" t="s">
        <v>50</v>
      </c>
      <c r="B39" t="s">
        <v>102</v>
      </c>
      <c r="C39" s="1">
        <v>42466</v>
      </c>
      <c r="D39" s="1">
        <v>42468</v>
      </c>
      <c r="E39">
        <v>2</v>
      </c>
    </row>
    <row r="40" spans="1:5" x14ac:dyDescent="0.3">
      <c r="A40" t="s">
        <v>49</v>
      </c>
      <c r="B40" t="s">
        <v>102</v>
      </c>
      <c r="C40" s="1">
        <v>42478</v>
      </c>
      <c r="D40" s="1">
        <v>42488</v>
      </c>
      <c r="E40">
        <v>8</v>
      </c>
    </row>
    <row r="41" spans="1:5" x14ac:dyDescent="0.3">
      <c r="A41" t="s">
        <v>48</v>
      </c>
      <c r="B41" t="s">
        <v>102</v>
      </c>
      <c r="C41" s="1">
        <v>42478</v>
      </c>
      <c r="D41" s="1">
        <v>42487</v>
      </c>
      <c r="E41">
        <v>7</v>
      </c>
    </row>
    <row r="42" spans="1:5" x14ac:dyDescent="0.3">
      <c r="A42" t="s">
        <v>47</v>
      </c>
      <c r="B42" t="s">
        <v>102</v>
      </c>
      <c r="C42" s="1">
        <v>42482</v>
      </c>
      <c r="D42" s="1">
        <v>42487</v>
      </c>
      <c r="E42">
        <v>3</v>
      </c>
    </row>
    <row r="43" spans="1:5" x14ac:dyDescent="0.3">
      <c r="A43" t="s">
        <v>46</v>
      </c>
      <c r="B43" t="s">
        <v>102</v>
      </c>
      <c r="C43" s="1">
        <v>42482</v>
      </c>
      <c r="D43" s="1">
        <v>42487</v>
      </c>
      <c r="E43">
        <v>3</v>
      </c>
    </row>
    <row r="44" spans="1:5" x14ac:dyDescent="0.3">
      <c r="A44" t="s">
        <v>45</v>
      </c>
      <c r="B44" t="s">
        <v>102</v>
      </c>
      <c r="C44" s="1">
        <v>42473</v>
      </c>
      <c r="D44" s="1">
        <v>42472</v>
      </c>
      <c r="E44">
        <v>-1</v>
      </c>
    </row>
    <row r="45" spans="1:5" x14ac:dyDescent="0.3">
      <c r="A45" t="s">
        <v>44</v>
      </c>
      <c r="B45" t="s">
        <v>102</v>
      </c>
      <c r="C45" s="1">
        <v>42489</v>
      </c>
      <c r="D45" s="1">
        <v>42488</v>
      </c>
      <c r="E45">
        <v>-1</v>
      </c>
    </row>
    <row r="46" spans="1:5" x14ac:dyDescent="0.3">
      <c r="A46" t="s">
        <v>95</v>
      </c>
      <c r="B46" t="s">
        <v>102</v>
      </c>
      <c r="C46" s="1">
        <v>42485</v>
      </c>
      <c r="D46" s="1">
        <v>42487</v>
      </c>
      <c r="E46">
        <v>2</v>
      </c>
    </row>
    <row r="47" spans="1:5" x14ac:dyDescent="0.3">
      <c r="A47" t="s">
        <v>94</v>
      </c>
      <c r="B47" t="s">
        <v>102</v>
      </c>
      <c r="C47" s="1">
        <v>42480</v>
      </c>
      <c r="D47" s="1">
        <v>42479</v>
      </c>
      <c r="E47">
        <v>-1</v>
      </c>
    </row>
    <row r="48" spans="1:5" x14ac:dyDescent="0.3">
      <c r="A48" t="s">
        <v>93</v>
      </c>
      <c r="B48" t="s">
        <v>102</v>
      </c>
      <c r="C48" s="1">
        <v>42465</v>
      </c>
      <c r="D48" s="1">
        <v>42464</v>
      </c>
      <c r="E48">
        <v>-1</v>
      </c>
    </row>
    <row r="49" spans="1:5" x14ac:dyDescent="0.3">
      <c r="A49" t="s">
        <v>92</v>
      </c>
      <c r="B49" t="s">
        <v>102</v>
      </c>
      <c r="C49" s="1">
        <v>42461</v>
      </c>
      <c r="D49" s="1">
        <v>42461</v>
      </c>
      <c r="E49">
        <v>0</v>
      </c>
    </row>
    <row r="50" spans="1:5" x14ac:dyDescent="0.3">
      <c r="A50" t="s">
        <v>91</v>
      </c>
      <c r="B50" t="s">
        <v>102</v>
      </c>
      <c r="C50" s="1">
        <v>42475</v>
      </c>
      <c r="D50" s="1">
        <v>42475</v>
      </c>
      <c r="E50">
        <v>0</v>
      </c>
    </row>
    <row r="51" spans="1:5" x14ac:dyDescent="0.3">
      <c r="A51" t="s">
        <v>90</v>
      </c>
      <c r="B51" t="s">
        <v>102</v>
      </c>
      <c r="C51" s="1">
        <v>42478</v>
      </c>
      <c r="D51" s="1">
        <v>42485</v>
      </c>
      <c r="E51">
        <v>5</v>
      </c>
    </row>
    <row r="52" spans="1:5" x14ac:dyDescent="0.3">
      <c r="A52" t="s">
        <v>89</v>
      </c>
      <c r="B52" t="s">
        <v>102</v>
      </c>
      <c r="C52" s="1">
        <v>42480</v>
      </c>
      <c r="D52" s="1">
        <v>42479</v>
      </c>
      <c r="E52">
        <v>-1</v>
      </c>
    </row>
    <row r="53" spans="1:5" x14ac:dyDescent="0.3">
      <c r="A53" t="s">
        <v>88</v>
      </c>
      <c r="B53" t="s">
        <v>102</v>
      </c>
      <c r="C53" s="1">
        <v>42467</v>
      </c>
      <c r="D53" s="1">
        <v>42467</v>
      </c>
      <c r="E53">
        <v>0</v>
      </c>
    </row>
    <row r="54" spans="1:5" x14ac:dyDescent="0.3">
      <c r="A54" t="s">
        <v>87</v>
      </c>
      <c r="B54" t="s">
        <v>102</v>
      </c>
      <c r="C54" s="1">
        <v>42507</v>
      </c>
      <c r="D54" s="1">
        <v>42488</v>
      </c>
      <c r="E54">
        <v>-13</v>
      </c>
    </row>
    <row r="55" spans="1:5" x14ac:dyDescent="0.3">
      <c r="A55" t="s">
        <v>86</v>
      </c>
      <c r="B55" t="s">
        <v>102</v>
      </c>
      <c r="C55" s="1">
        <v>42480</v>
      </c>
      <c r="D55" s="1">
        <v>42489</v>
      </c>
      <c r="E55">
        <v>7</v>
      </c>
    </row>
    <row r="56" spans="1:5" x14ac:dyDescent="0.3">
      <c r="A56" t="s">
        <v>85</v>
      </c>
      <c r="B56" t="s">
        <v>102</v>
      </c>
      <c r="C56" s="1">
        <v>42489</v>
      </c>
      <c r="D56" s="1">
        <v>42489</v>
      </c>
      <c r="E56">
        <v>0</v>
      </c>
    </row>
    <row r="57" spans="1:5" x14ac:dyDescent="0.3">
      <c r="A57" t="s">
        <v>84</v>
      </c>
      <c r="B57" t="s">
        <v>102</v>
      </c>
      <c r="C57" s="1">
        <v>42472</v>
      </c>
      <c r="D57" s="1">
        <v>42473</v>
      </c>
      <c r="E57">
        <v>1</v>
      </c>
    </row>
    <row r="58" spans="1:5" x14ac:dyDescent="0.3">
      <c r="A58" t="s">
        <v>83</v>
      </c>
      <c r="B58" t="s">
        <v>102</v>
      </c>
      <c r="C58" s="1">
        <v>42472</v>
      </c>
      <c r="D58" s="1">
        <v>42473</v>
      </c>
      <c r="E58">
        <v>1</v>
      </c>
    </row>
    <row r="59" spans="1:5" x14ac:dyDescent="0.3">
      <c r="A59" t="s">
        <v>82</v>
      </c>
      <c r="B59" t="s">
        <v>102</v>
      </c>
      <c r="C59" s="1">
        <v>42474</v>
      </c>
      <c r="D59" s="1">
        <v>42472</v>
      </c>
      <c r="E59">
        <v>-2</v>
      </c>
    </row>
    <row r="60" spans="1:5" x14ac:dyDescent="0.3">
      <c r="A60" t="s">
        <v>81</v>
      </c>
      <c r="B60" t="s">
        <v>102</v>
      </c>
      <c r="C60" s="1">
        <v>42499</v>
      </c>
      <c r="D60" s="1">
        <v>42482</v>
      </c>
      <c r="E60">
        <v>-11</v>
      </c>
    </row>
    <row r="61" spans="1:5" x14ac:dyDescent="0.3">
      <c r="A61" t="s">
        <v>80</v>
      </c>
      <c r="B61" t="s">
        <v>102</v>
      </c>
      <c r="C61" s="1">
        <v>42473</v>
      </c>
      <c r="D61" s="1">
        <v>42474</v>
      </c>
      <c r="E61">
        <v>1</v>
      </c>
    </row>
    <row r="62" spans="1:5" x14ac:dyDescent="0.3">
      <c r="A62" t="s">
        <v>79</v>
      </c>
      <c r="B62" t="s">
        <v>102</v>
      </c>
      <c r="C62" s="1">
        <v>42473</v>
      </c>
      <c r="D62" s="1">
        <v>42474</v>
      </c>
      <c r="E62">
        <v>1</v>
      </c>
    </row>
    <row r="63" spans="1:5" x14ac:dyDescent="0.3">
      <c r="A63" t="s">
        <v>78</v>
      </c>
      <c r="B63" t="s">
        <v>102</v>
      </c>
      <c r="C63" s="1">
        <v>42486</v>
      </c>
      <c r="D63" s="1">
        <v>42488</v>
      </c>
      <c r="E63">
        <v>2</v>
      </c>
    </row>
    <row r="64" spans="1:5" x14ac:dyDescent="0.3">
      <c r="A64" t="s">
        <v>77</v>
      </c>
      <c r="B64" t="s">
        <v>102</v>
      </c>
      <c r="C64" s="1">
        <v>42479</v>
      </c>
      <c r="D64" s="1">
        <v>42480</v>
      </c>
      <c r="E64">
        <v>1</v>
      </c>
    </row>
    <row r="65" spans="1:5" x14ac:dyDescent="0.3">
      <c r="A65" t="s">
        <v>76</v>
      </c>
      <c r="B65" t="s">
        <v>102</v>
      </c>
      <c r="C65" s="1">
        <v>42475</v>
      </c>
      <c r="D65" s="1">
        <v>42475</v>
      </c>
      <c r="E65">
        <v>0</v>
      </c>
    </row>
    <row r="66" spans="1:5" x14ac:dyDescent="0.3">
      <c r="A66" t="s">
        <v>75</v>
      </c>
      <c r="B66" t="s">
        <v>102</v>
      </c>
      <c r="C66" s="1">
        <v>42489</v>
      </c>
      <c r="D66" s="1">
        <v>42488</v>
      </c>
      <c r="E66">
        <v>-1</v>
      </c>
    </row>
    <row r="67" spans="1:5" x14ac:dyDescent="0.3">
      <c r="A67" t="s">
        <v>74</v>
      </c>
      <c r="B67" t="s">
        <v>102</v>
      </c>
      <c r="C67" s="1">
        <v>42489</v>
      </c>
      <c r="D67" s="1">
        <v>42488</v>
      </c>
      <c r="E67">
        <v>-1</v>
      </c>
    </row>
    <row r="68" spans="1:5" x14ac:dyDescent="0.3">
      <c r="A68" t="s">
        <v>73</v>
      </c>
      <c r="B68" t="s">
        <v>102</v>
      </c>
      <c r="C68" s="1">
        <v>42475</v>
      </c>
      <c r="D68" s="1">
        <v>42475</v>
      </c>
      <c r="E68">
        <v>0</v>
      </c>
    </row>
    <row r="69" spans="1:5" x14ac:dyDescent="0.3">
      <c r="A69" t="s">
        <v>72</v>
      </c>
      <c r="B69" t="s">
        <v>102</v>
      </c>
      <c r="C69" s="1">
        <v>42478</v>
      </c>
      <c r="D69" s="1">
        <v>42478</v>
      </c>
      <c r="E69">
        <v>0</v>
      </c>
    </row>
    <row r="70" spans="1:5" x14ac:dyDescent="0.3">
      <c r="A70" t="s">
        <v>71</v>
      </c>
      <c r="B70" t="s">
        <v>102</v>
      </c>
      <c r="C70" s="1">
        <v>42486</v>
      </c>
      <c r="D70" s="1">
        <v>42486</v>
      </c>
      <c r="E70">
        <v>0</v>
      </c>
    </row>
    <row r="71" spans="1:5" x14ac:dyDescent="0.3">
      <c r="A71" t="s">
        <v>70</v>
      </c>
      <c r="B71" t="s">
        <v>102</v>
      </c>
      <c r="C71" s="1">
        <v>42479</v>
      </c>
      <c r="D71" s="1">
        <v>42479</v>
      </c>
      <c r="E71">
        <v>0</v>
      </c>
    </row>
    <row r="72" spans="1:5" x14ac:dyDescent="0.3">
      <c r="A72" t="s">
        <v>69</v>
      </c>
      <c r="B72" t="s">
        <v>102</v>
      </c>
      <c r="C72" s="1">
        <v>42488</v>
      </c>
      <c r="D72" s="1">
        <v>42489</v>
      </c>
      <c r="E72">
        <v>1</v>
      </c>
    </row>
    <row r="73" spans="1:5" x14ac:dyDescent="0.3">
      <c r="A73" t="s">
        <v>68</v>
      </c>
      <c r="B73" t="s">
        <v>102</v>
      </c>
      <c r="C73" s="1">
        <v>42488</v>
      </c>
      <c r="D73" s="1">
        <v>42489</v>
      </c>
      <c r="E73">
        <v>1</v>
      </c>
    </row>
    <row r="74" spans="1:5" x14ac:dyDescent="0.3">
      <c r="A74" t="s">
        <v>104</v>
      </c>
      <c r="B74" t="s">
        <v>102</v>
      </c>
      <c r="C74" s="1">
        <v>42650</v>
      </c>
      <c r="D74" s="1">
        <v>42489</v>
      </c>
      <c r="E74">
        <v>-115</v>
      </c>
    </row>
  </sheetData>
  <sortState ref="A6:E111">
    <sortCondition ref="A6"/>
  </sortState>
  <mergeCells count="2">
    <mergeCell ref="A1:B1"/>
    <mergeCell ref="I1:K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FILTRER_livraison">
                <anchor moveWithCells="1">
                  <from>
                    <xdr:col>12</xdr:col>
                    <xdr:colOff>7620</xdr:colOff>
                    <xdr:row>0</xdr:row>
                    <xdr:rowOff>22860</xdr:rowOff>
                  </from>
                  <to>
                    <xdr:col>13</xdr:col>
                    <xdr:colOff>7620</xdr:colOff>
                    <xdr:row>0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CALCUL_ECART">
                <anchor moveWithCells="1">
                  <from>
                    <xdr:col>12</xdr:col>
                    <xdr:colOff>7620</xdr:colOff>
                    <xdr:row>2</xdr:row>
                    <xdr:rowOff>0</xdr:rowOff>
                  </from>
                  <to>
                    <xdr:col>13</xdr:col>
                    <xdr:colOff>7620</xdr:colOff>
                    <xdr:row>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Button 3">
              <controlPr defaultSize="0" print="0" autoFill="0" autoPict="0" macro="[0]!supprimeDoublons">
                <anchor moveWithCells="1">
                  <from>
                    <xdr:col>12</xdr:col>
                    <xdr:colOff>7620</xdr:colOff>
                    <xdr:row>1</xdr:row>
                    <xdr:rowOff>0</xdr:rowOff>
                  </from>
                  <to>
                    <xdr:col>13</xdr:col>
                    <xdr:colOff>0</xdr:colOff>
                    <xdr:row>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6" name="Button 5">
              <controlPr defaultSize="0" print="0" autoFill="0" autoPict="0" macro="[0]!reset">
                <anchor moveWithCells="1" sizeWithCells="1">
                  <from>
                    <xdr:col>6</xdr:col>
                    <xdr:colOff>7620</xdr:colOff>
                    <xdr:row>1</xdr:row>
                    <xdr:rowOff>0</xdr:rowOff>
                  </from>
                  <to>
                    <xdr:col>7</xdr:col>
                    <xdr:colOff>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146"/>
  <sheetViews>
    <sheetView tabSelected="1" topLeftCell="A61" zoomScale="98" zoomScaleNormal="98" workbookViewId="0">
      <selection activeCell="B74" sqref="B74"/>
    </sheetView>
  </sheetViews>
  <sheetFormatPr baseColWidth="10" defaultColWidth="11.44140625" defaultRowHeight="14.4" x14ac:dyDescent="0.3"/>
  <cols>
    <col min="1" max="1" width="13.88671875" style="3" bestFit="1" customWidth="1"/>
    <col min="2" max="2" width="11.33203125" style="3" bestFit="1" customWidth="1"/>
    <col min="3" max="16384" width="11.44140625" style="3"/>
  </cols>
  <sheetData>
    <row r="1" spans="1:14" x14ac:dyDescent="0.3">
      <c r="B1" s="20"/>
      <c r="C1" s="21"/>
      <c r="D1" s="22"/>
      <c r="E1" s="23"/>
      <c r="F1" s="2"/>
    </row>
    <row r="2" spans="1:14" x14ac:dyDescent="0.3">
      <c r="A2" s="24"/>
      <c r="B2" s="25"/>
      <c r="C2" s="21"/>
    </row>
    <row r="3" spans="1:14" x14ac:dyDescent="0.3">
      <c r="A3" s="24"/>
      <c r="B3" s="25"/>
    </row>
    <row r="4" spans="1:14" ht="15" customHeight="1" x14ac:dyDescent="0.3">
      <c r="A4" s="24"/>
      <c r="B4" s="25"/>
      <c r="F4" s="26"/>
    </row>
    <row r="5" spans="1:14" x14ac:dyDescent="0.3">
      <c r="A5" s="24"/>
      <c r="B5" s="25"/>
    </row>
    <row r="6" spans="1:14" x14ac:dyDescent="0.3">
      <c r="A6" s="24"/>
      <c r="B6" s="25"/>
    </row>
    <row r="7" spans="1:14" x14ac:dyDescent="0.3">
      <c r="A7" s="24"/>
      <c r="B7" s="25"/>
    </row>
    <row r="8" spans="1:14" x14ac:dyDescent="0.3">
      <c r="A8" s="24"/>
      <c r="B8" s="25"/>
    </row>
    <row r="9" spans="1:14" x14ac:dyDescent="0.3">
      <c r="A9" s="24"/>
      <c r="B9" s="25"/>
    </row>
    <row r="10" spans="1:14" x14ac:dyDescent="0.3">
      <c r="A10" s="24"/>
      <c r="B10" s="25"/>
    </row>
    <row r="11" spans="1:14" x14ac:dyDescent="0.3">
      <c r="A11" s="24"/>
      <c r="B11" s="25"/>
      <c r="C11" s="21"/>
    </row>
    <row r="14" spans="1:14" x14ac:dyDescent="0.3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</row>
    <row r="15" spans="1:14" x14ac:dyDescent="0.3">
      <c r="A15" s="28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1"/>
    </row>
    <row r="16" spans="1:14" x14ac:dyDescent="0.3">
      <c r="A16" s="28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 x14ac:dyDescent="0.3">
      <c r="A17" s="28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 x14ac:dyDescent="0.3">
      <c r="A18" s="28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 x14ac:dyDescent="0.3">
      <c r="A19" s="28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 x14ac:dyDescent="0.3">
      <c r="A20" s="28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 x14ac:dyDescent="0.3">
      <c r="A21" s="28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 x14ac:dyDescent="0.3">
      <c r="A22" s="28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x14ac:dyDescent="0.3">
      <c r="A23" s="28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 x14ac:dyDescent="0.3">
      <c r="A24" s="29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 x14ac:dyDescent="0.3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</row>
    <row r="27" spans="1:13" x14ac:dyDescent="0.3">
      <c r="A27" s="32"/>
    </row>
    <row r="28" spans="1:13" x14ac:dyDescent="0.3">
      <c r="A28" s="33"/>
      <c r="B28" s="34"/>
    </row>
    <row r="29" spans="1:13" x14ac:dyDescent="0.3">
      <c r="A29" s="33"/>
      <c r="B29" s="34"/>
    </row>
    <row r="30" spans="1:13" x14ac:dyDescent="0.3">
      <c r="A30" s="33"/>
      <c r="B30" s="34"/>
    </row>
    <row r="31" spans="1:13" x14ac:dyDescent="0.3">
      <c r="A31" s="33"/>
      <c r="B31" s="34"/>
    </row>
    <row r="32" spans="1:13" x14ac:dyDescent="0.3">
      <c r="A32" s="33"/>
      <c r="B32" s="34"/>
    </row>
    <row r="33" spans="1:13" x14ac:dyDescent="0.3">
      <c r="A33" s="33"/>
      <c r="B33" s="34"/>
    </row>
    <row r="34" spans="1:13" x14ac:dyDescent="0.3">
      <c r="A34" s="33"/>
      <c r="B34" s="34"/>
    </row>
    <row r="35" spans="1:13" x14ac:dyDescent="0.3">
      <c r="A35" s="33"/>
      <c r="B35" s="34"/>
    </row>
    <row r="36" spans="1:13" x14ac:dyDescent="0.3">
      <c r="A36" s="33"/>
      <c r="B36" s="34"/>
    </row>
    <row r="37" spans="1:13" x14ac:dyDescent="0.3">
      <c r="A37" s="33"/>
      <c r="B37" s="34"/>
    </row>
    <row r="43" spans="1:13" ht="15" thickBot="1" x14ac:dyDescent="0.35"/>
    <row r="44" spans="1:13" ht="15" thickBot="1" x14ac:dyDescent="0.35">
      <c r="A44" s="35"/>
      <c r="B44" s="36"/>
      <c r="C44" s="36"/>
      <c r="D44" s="36"/>
      <c r="E44" s="36"/>
    </row>
    <row r="45" spans="1:13" ht="15" thickBot="1" x14ac:dyDescent="0.35">
      <c r="A45" s="36"/>
      <c r="B45" s="37"/>
      <c r="C45" s="38"/>
      <c r="D45" s="39"/>
      <c r="E45" s="40"/>
    </row>
    <row r="46" spans="1:13" ht="15" thickBot="1" x14ac:dyDescent="0.35">
      <c r="A46" s="41"/>
      <c r="B46" s="42"/>
      <c r="C46" s="43"/>
      <c r="D46" s="44"/>
      <c r="E46" s="45"/>
    </row>
    <row r="48" spans="1:13" x14ac:dyDescent="0.3"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</row>
    <row r="49" spans="1:13" x14ac:dyDescent="0.3">
      <c r="A49" s="47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</row>
    <row r="50" spans="1:13" x14ac:dyDescent="0.3">
      <c r="A50" s="48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</row>
    <row r="51" spans="1:13" x14ac:dyDescent="0.3">
      <c r="A51" s="49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</row>
    <row r="52" spans="1:13" x14ac:dyDescent="0.3">
      <c r="A52" s="50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</row>
    <row r="66" spans="1:7" x14ac:dyDescent="0.3">
      <c r="G66" s="22" t="s">
        <v>40</v>
      </c>
    </row>
    <row r="67" spans="1:7" x14ac:dyDescent="0.3">
      <c r="G67" s="22" t="s">
        <v>41</v>
      </c>
    </row>
    <row r="68" spans="1:7" x14ac:dyDescent="0.3">
      <c r="G68" s="22" t="s">
        <v>42</v>
      </c>
    </row>
    <row r="69" spans="1:7" x14ac:dyDescent="0.3">
      <c r="G69" s="22" t="s">
        <v>43</v>
      </c>
    </row>
    <row r="72" spans="1:7" x14ac:dyDescent="0.3">
      <c r="A72" s="51" t="str">
        <f>IF(MONTH($E$1)=1,"JANVIER",IF(MONTH($E$1)=2,"FEVRIER",IF(MONTH($E$1)=3,"MARS",IF(MONTH($E$1)=4,"AVRIL",IF($C$27=5,"MAI",IF(MONTH($E$1)=6,"JUIN",IF(MONTH($E$1)=7,"JUILLET",IF(MONTH($E$1)=8,"AOÛT",IF(MONTH($E$1)=9,"SEPTEMBRE",IF(MONTH($E$1)=10,"OCTOBRE",IF(MONTH($E$1)=11,"NOVEMBRE",IF(MONTH($E$1)=12,"DÉCEMBRE"))))))))))))</f>
        <v>JANVIER</v>
      </c>
      <c r="B72" s="52" t="s">
        <v>23</v>
      </c>
      <c r="C72" s="53" t="s">
        <v>22</v>
      </c>
      <c r="D72" s="54" t="s">
        <v>24</v>
      </c>
      <c r="E72" s="55" t="s">
        <v>25</v>
      </c>
    </row>
    <row r="73" spans="1:7" x14ac:dyDescent="0.3">
      <c r="A73" s="28" t="s">
        <v>101</v>
      </c>
      <c r="B73" s="60" t="e">
        <f>SUMPRODUCT((TRIM('FILTRES LIVRAISON'!#REF!)=$A73)*('FILTRES LIVRAISON'!#REF!&lt;0)*1)</f>
        <v>#REF!</v>
      </c>
      <c r="C73" s="60" t="e">
        <f>SUMPRODUCT((TRIM('FILTRES LIVRAISON'!#REF!)=$A73)*('FILTRES LIVRAISON'!#REF!=0)*1)</f>
        <v>#REF!</v>
      </c>
      <c r="D73" s="60" t="e">
        <f>SUMPRODUCT((TRIM('FILTRES LIVRAISON'!#REF!)=$A73)*('FILTRES LIVRAISON'!#REF!&lt;=6)*('FILTRES LIVRAISON'!#REF!&gt;0)*1)</f>
        <v>#REF!</v>
      </c>
      <c r="E73" s="60" t="e">
        <f>SUMPRODUCT((TRIM('FILTRES LIVRAISON'!#REF!)=$A73)*('FILTRES LIVRAISON'!#REF!&gt;6)*1)</f>
        <v>#REF!</v>
      </c>
    </row>
    <row r="74" spans="1:7" x14ac:dyDescent="0.3">
      <c r="A74" s="28" t="s">
        <v>102</v>
      </c>
      <c r="B74" s="60" t="e">
        <f>SUMPRODUCT((TRIM('FILTRES LIVRAISON'!#REF!)=$A74)*('FILTRES LIVRAISON'!#REF!&lt;0)*1)</f>
        <v>#REF!</v>
      </c>
      <c r="C74" s="60" t="e">
        <f>SUMPRODUCT((TRIM('FILTRES LIVRAISON'!#REF!)=$A74)*('FILTRES LIVRAISON'!#REF!=0)*1)</f>
        <v>#REF!</v>
      </c>
      <c r="D74" s="60" t="e">
        <f>SUMPRODUCT((TRIM('FILTRES LIVRAISON'!#REF!)=$A74)*('FILTRES LIVRAISON'!#REF!&lt;=6)*('FILTRES LIVRAISON'!#REF!&gt;0)*1)</f>
        <v>#REF!</v>
      </c>
      <c r="E74" s="60" t="e">
        <f>SUMPRODUCT((TRIM('FILTRES LIVRAISON'!#REF!)=$A74)*('FILTRES LIVRAISON'!#REF!&gt;6)*1)</f>
        <v>#REF!</v>
      </c>
    </row>
    <row r="75" spans="1:7" x14ac:dyDescent="0.3">
      <c r="A75" s="28" t="s">
        <v>103</v>
      </c>
      <c r="B75" s="60" t="e">
        <f>SUMPRODUCT((TRIM('FILTRES LIVRAISON'!#REF!)=$A75)*('FILTRES LIVRAISON'!#REF!&lt;0)*1)</f>
        <v>#REF!</v>
      </c>
      <c r="C75" s="60" t="e">
        <f>SUMPRODUCT((TRIM('FILTRES LIVRAISON'!#REF!)=$A75)*('FILTRES LIVRAISON'!#REF!=0)*1)</f>
        <v>#REF!</v>
      </c>
      <c r="D75" s="60" t="e">
        <f>SUMPRODUCT((TRIM('FILTRES LIVRAISON'!#REF!)=$A75)*('FILTRES LIVRAISON'!#REF!&lt;=6)*('FILTRES LIVRAISON'!#REF!&gt;0)*1)</f>
        <v>#REF!</v>
      </c>
      <c r="E75" s="60" t="e">
        <f>SUMPRODUCT((TRIM('FILTRES LIVRAISON'!#REF!)=$A75)*('FILTRES LIVRAISON'!#REF!&gt;6)*1)</f>
        <v>#REF!</v>
      </c>
    </row>
    <row r="76" spans="1:7" x14ac:dyDescent="0.3">
      <c r="A76" s="28"/>
      <c r="B76" s="60"/>
      <c r="C76" s="60"/>
      <c r="D76" s="60"/>
      <c r="E76" s="60"/>
    </row>
    <row r="77" spans="1:7" x14ac:dyDescent="0.3">
      <c r="A77" s="28"/>
      <c r="B77" s="60"/>
      <c r="C77" s="60"/>
      <c r="D77" s="60"/>
      <c r="E77" s="60"/>
    </row>
    <row r="78" spans="1:7" x14ac:dyDescent="0.3">
      <c r="A78" s="28"/>
      <c r="B78" s="60"/>
      <c r="C78" s="60"/>
      <c r="D78" s="60"/>
      <c r="E78" s="60"/>
    </row>
    <row r="79" spans="1:7" x14ac:dyDescent="0.3">
      <c r="A79" s="28"/>
      <c r="B79" s="60"/>
      <c r="C79" s="60"/>
      <c r="D79" s="60"/>
      <c r="E79" s="60"/>
    </row>
    <row r="80" spans="1:7" x14ac:dyDescent="0.3">
      <c r="A80" s="28"/>
      <c r="B80" s="60"/>
      <c r="C80" s="60"/>
      <c r="D80" s="60"/>
      <c r="E80" s="60"/>
    </row>
    <row r="81" spans="1:13" x14ac:dyDescent="0.3">
      <c r="A81" s="28"/>
      <c r="B81" s="60"/>
      <c r="C81" s="60"/>
      <c r="D81" s="60"/>
      <c r="E81" s="60"/>
    </row>
    <row r="82" spans="1:13" x14ac:dyDescent="0.3">
      <c r="A82" s="28"/>
      <c r="B82" s="60"/>
      <c r="C82" s="60"/>
      <c r="D82" s="60"/>
      <c r="E82" s="60"/>
    </row>
    <row r="83" spans="1:13" x14ac:dyDescent="0.3">
      <c r="A83" s="56"/>
      <c r="B83" s="52"/>
      <c r="C83" s="53"/>
      <c r="D83" s="54"/>
      <c r="E83" s="55"/>
      <c r="H83" s="52"/>
      <c r="I83" s="53"/>
      <c r="J83" s="54"/>
      <c r="K83" s="55"/>
    </row>
    <row r="84" spans="1:13" x14ac:dyDescent="0.3">
      <c r="A84" s="28"/>
      <c r="B84" s="57"/>
      <c r="C84" s="57"/>
      <c r="D84" s="57"/>
      <c r="E84" s="57"/>
      <c r="G84" s="28"/>
      <c r="H84" s="57"/>
      <c r="I84" s="57"/>
      <c r="J84" s="57"/>
      <c r="K84" s="57"/>
    </row>
    <row r="85" spans="1:13" x14ac:dyDescent="0.3">
      <c r="A85" s="28"/>
      <c r="B85" s="57"/>
      <c r="C85" s="57"/>
      <c r="D85" s="57"/>
      <c r="E85" s="57"/>
      <c r="G85" s="28"/>
      <c r="H85" s="57"/>
      <c r="I85" s="57"/>
      <c r="J85" s="57"/>
      <c r="K85" s="57"/>
    </row>
    <row r="86" spans="1:13" x14ac:dyDescent="0.3">
      <c r="A86" s="28"/>
      <c r="B86" s="57"/>
      <c r="C86" s="57"/>
      <c r="D86" s="57"/>
      <c r="E86" s="57"/>
      <c r="G86" s="28"/>
      <c r="H86" s="57"/>
      <c r="I86" s="57"/>
      <c r="J86" s="57"/>
      <c r="K86" s="57"/>
    </row>
    <row r="87" spans="1:13" x14ac:dyDescent="0.3">
      <c r="A87" s="28"/>
      <c r="B87" s="57"/>
      <c r="C87" s="57"/>
      <c r="D87" s="57"/>
      <c r="E87" s="57"/>
      <c r="G87" s="28"/>
      <c r="H87" s="57"/>
      <c r="I87" s="57"/>
      <c r="J87" s="57"/>
      <c r="K87" s="57"/>
    </row>
    <row r="88" spans="1:13" x14ac:dyDescent="0.3">
      <c r="A88" s="28"/>
      <c r="B88" s="57"/>
      <c r="C88" s="57"/>
      <c r="D88" s="57"/>
      <c r="E88" s="57"/>
      <c r="G88" s="28"/>
      <c r="H88" s="57"/>
      <c r="I88" s="57"/>
      <c r="J88" s="57"/>
      <c r="K88" s="57"/>
    </row>
    <row r="89" spans="1:13" x14ac:dyDescent="0.3">
      <c r="A89" s="28"/>
      <c r="B89" s="57"/>
      <c r="C89" s="57"/>
      <c r="D89" s="57"/>
      <c r="E89" s="57"/>
      <c r="G89" s="28"/>
      <c r="H89" s="57"/>
      <c r="I89" s="57"/>
      <c r="J89" s="57"/>
      <c r="K89" s="57"/>
    </row>
    <row r="90" spans="1:13" x14ac:dyDescent="0.3">
      <c r="A90" s="28"/>
      <c r="B90" s="57"/>
      <c r="C90" s="57"/>
      <c r="D90" s="57"/>
      <c r="E90" s="57"/>
      <c r="G90" s="28"/>
      <c r="H90" s="57"/>
      <c r="I90" s="57"/>
      <c r="J90" s="57"/>
      <c r="K90" s="57"/>
    </row>
    <row r="91" spans="1:13" x14ac:dyDescent="0.3">
      <c r="A91" s="28"/>
      <c r="B91" s="57"/>
      <c r="C91" s="57"/>
      <c r="D91" s="57"/>
      <c r="E91" s="57"/>
      <c r="G91" s="28"/>
      <c r="H91" s="57"/>
      <c r="I91" s="57"/>
      <c r="J91" s="57"/>
      <c r="K91" s="57"/>
    </row>
    <row r="92" spans="1:13" x14ac:dyDescent="0.3">
      <c r="A92" s="28"/>
      <c r="B92" s="57"/>
      <c r="C92" s="57"/>
      <c r="D92" s="57"/>
      <c r="E92" s="57"/>
      <c r="G92" s="28"/>
      <c r="H92" s="57"/>
      <c r="I92" s="57"/>
      <c r="J92" s="57"/>
      <c r="K92" s="57"/>
    </row>
    <row r="93" spans="1:13" x14ac:dyDescent="0.3">
      <c r="A93" s="28"/>
      <c r="B93" s="57"/>
      <c r="C93" s="57"/>
      <c r="D93" s="57"/>
      <c r="E93" s="57"/>
      <c r="G93" s="28"/>
      <c r="H93" s="57"/>
      <c r="I93" s="57"/>
      <c r="J93" s="57"/>
      <c r="K93" s="57"/>
    </row>
    <row r="95" spans="1:13" x14ac:dyDescent="0.3"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</row>
    <row r="96" spans="1:13" x14ac:dyDescent="0.3">
      <c r="B96" s="52"/>
      <c r="C96" s="53"/>
      <c r="D96" s="54"/>
      <c r="E96" s="55"/>
      <c r="F96" s="52"/>
      <c r="G96" s="53"/>
      <c r="H96" s="54"/>
      <c r="I96" s="55"/>
      <c r="J96" s="52"/>
      <c r="K96" s="53"/>
      <c r="L96" s="54"/>
      <c r="M96" s="55"/>
    </row>
    <row r="97" spans="1:13" x14ac:dyDescent="0.3">
      <c r="A97" s="28"/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</row>
    <row r="98" spans="1:13" x14ac:dyDescent="0.3">
      <c r="A98" s="28"/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58"/>
      <c r="M98" s="58"/>
    </row>
    <row r="99" spans="1:13" x14ac:dyDescent="0.3">
      <c r="A99" s="28"/>
      <c r="B99" s="58"/>
      <c r="C99" s="58"/>
      <c r="D99" s="58"/>
      <c r="E99" s="58"/>
      <c r="F99" s="58"/>
      <c r="G99" s="58"/>
      <c r="H99" s="58"/>
      <c r="I99" s="58"/>
      <c r="J99" s="58"/>
      <c r="K99" s="58"/>
      <c r="L99" s="58"/>
      <c r="M99" s="58"/>
    </row>
    <row r="100" spans="1:13" x14ac:dyDescent="0.3">
      <c r="A100" s="28"/>
      <c r="B100" s="58"/>
      <c r="C100" s="58"/>
      <c r="D100" s="58"/>
      <c r="E100" s="58"/>
      <c r="F100" s="58"/>
      <c r="G100" s="58"/>
      <c r="H100" s="58"/>
      <c r="I100" s="58"/>
      <c r="J100" s="58"/>
      <c r="K100" s="58"/>
      <c r="L100" s="58"/>
      <c r="M100" s="58"/>
    </row>
    <row r="101" spans="1:13" x14ac:dyDescent="0.3">
      <c r="A101" s="28"/>
      <c r="B101" s="58"/>
      <c r="C101" s="58"/>
      <c r="D101" s="58"/>
      <c r="E101" s="58"/>
      <c r="F101" s="58"/>
      <c r="G101" s="58"/>
      <c r="H101" s="58"/>
      <c r="I101" s="58"/>
      <c r="J101" s="58"/>
      <c r="K101" s="58"/>
      <c r="L101" s="58"/>
      <c r="M101" s="58"/>
    </row>
    <row r="102" spans="1:13" x14ac:dyDescent="0.3">
      <c r="A102" s="28"/>
      <c r="B102" s="58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</row>
    <row r="103" spans="1:13" x14ac:dyDescent="0.3">
      <c r="A103" s="28"/>
      <c r="B103" s="58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</row>
    <row r="104" spans="1:13" x14ac:dyDescent="0.3">
      <c r="A104" s="28"/>
      <c r="B104" s="58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</row>
    <row r="105" spans="1:13" x14ac:dyDescent="0.3">
      <c r="A105" s="28"/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</row>
    <row r="106" spans="1:13" x14ac:dyDescent="0.3">
      <c r="A106" s="28"/>
      <c r="B106" s="58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</row>
    <row r="108" spans="1:13" x14ac:dyDescent="0.3"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</row>
    <row r="109" spans="1:13" x14ac:dyDescent="0.3">
      <c r="B109" s="52"/>
      <c r="C109" s="53"/>
      <c r="D109" s="54"/>
      <c r="E109" s="55"/>
      <c r="F109" s="52"/>
      <c r="G109" s="53"/>
      <c r="H109" s="54"/>
      <c r="I109" s="55"/>
      <c r="J109" s="52"/>
      <c r="K109" s="53"/>
      <c r="L109" s="54"/>
      <c r="M109" s="55"/>
    </row>
    <row r="110" spans="1:13" x14ac:dyDescent="0.3">
      <c r="A110" s="28"/>
      <c r="B110" s="58"/>
      <c r="C110" s="58"/>
      <c r="D110" s="58"/>
      <c r="E110" s="58"/>
      <c r="F110" s="25"/>
      <c r="G110" s="25"/>
      <c r="H110" s="25"/>
      <c r="I110" s="25"/>
      <c r="J110" s="58"/>
      <c r="K110" s="58"/>
      <c r="L110" s="58"/>
      <c r="M110" s="58"/>
    </row>
    <row r="111" spans="1:13" x14ac:dyDescent="0.3">
      <c r="A111" s="28"/>
      <c r="B111" s="58"/>
      <c r="C111" s="58"/>
      <c r="D111" s="58"/>
      <c r="E111" s="58"/>
      <c r="F111" s="25"/>
      <c r="G111" s="25"/>
      <c r="H111" s="25"/>
      <c r="I111" s="25"/>
      <c r="J111" s="58"/>
      <c r="K111" s="58"/>
      <c r="L111" s="58"/>
      <c r="M111" s="58"/>
    </row>
    <row r="112" spans="1:13" x14ac:dyDescent="0.3">
      <c r="A112" s="28"/>
      <c r="B112" s="58"/>
      <c r="C112" s="58"/>
      <c r="D112" s="58"/>
      <c r="E112" s="58"/>
      <c r="F112" s="25"/>
      <c r="G112" s="25"/>
      <c r="H112" s="25"/>
      <c r="I112" s="25"/>
      <c r="J112" s="58"/>
      <c r="K112" s="58"/>
      <c r="L112" s="58"/>
      <c r="M112" s="58"/>
    </row>
    <row r="113" spans="1:13" x14ac:dyDescent="0.3">
      <c r="A113" s="28"/>
      <c r="B113" s="58"/>
      <c r="C113" s="58"/>
      <c r="D113" s="58"/>
      <c r="E113" s="58"/>
      <c r="F113" s="25"/>
      <c r="G113" s="25"/>
      <c r="H113" s="25"/>
      <c r="I113" s="25"/>
      <c r="J113" s="58"/>
      <c r="K113" s="58"/>
      <c r="L113" s="58"/>
      <c r="M113" s="58"/>
    </row>
    <row r="114" spans="1:13" x14ac:dyDescent="0.3">
      <c r="A114" s="28"/>
      <c r="B114" s="58"/>
      <c r="C114" s="58"/>
      <c r="D114" s="58"/>
      <c r="E114" s="58"/>
      <c r="F114" s="25"/>
      <c r="G114" s="25"/>
      <c r="H114" s="25"/>
      <c r="I114" s="25"/>
      <c r="J114" s="58"/>
      <c r="K114" s="58"/>
      <c r="L114" s="58"/>
      <c r="M114" s="58"/>
    </row>
    <row r="115" spans="1:13" x14ac:dyDescent="0.3">
      <c r="A115" s="28"/>
      <c r="B115" s="58"/>
      <c r="C115" s="58"/>
      <c r="D115" s="58"/>
      <c r="E115" s="58"/>
      <c r="F115" s="25"/>
      <c r="G115" s="25"/>
      <c r="H115" s="25"/>
      <c r="I115" s="25"/>
      <c r="J115" s="58"/>
      <c r="K115" s="58"/>
      <c r="L115" s="58"/>
      <c r="M115" s="58"/>
    </row>
    <row r="116" spans="1:13" x14ac:dyDescent="0.3">
      <c r="A116" s="28"/>
      <c r="B116" s="58"/>
      <c r="C116" s="58"/>
      <c r="D116" s="58"/>
      <c r="E116" s="58"/>
      <c r="F116" s="25"/>
      <c r="G116" s="25"/>
      <c r="H116" s="25"/>
      <c r="I116" s="25"/>
      <c r="J116" s="58"/>
      <c r="K116" s="58"/>
      <c r="L116" s="58"/>
      <c r="M116" s="58"/>
    </row>
    <row r="117" spans="1:13" x14ac:dyDescent="0.3">
      <c r="A117" s="28"/>
      <c r="B117" s="58"/>
      <c r="C117" s="58"/>
      <c r="D117" s="58"/>
      <c r="E117" s="58"/>
      <c r="F117" s="25"/>
      <c r="G117" s="25"/>
      <c r="H117" s="25"/>
      <c r="I117" s="25"/>
      <c r="J117" s="58"/>
      <c r="K117" s="58"/>
      <c r="L117" s="58"/>
      <c r="M117" s="58"/>
    </row>
    <row r="118" spans="1:13" x14ac:dyDescent="0.3">
      <c r="A118" s="28"/>
      <c r="B118" s="58"/>
      <c r="C118" s="58"/>
      <c r="D118" s="58"/>
      <c r="E118" s="58"/>
      <c r="F118" s="25"/>
      <c r="G118" s="25"/>
      <c r="H118" s="25"/>
      <c r="I118" s="25"/>
      <c r="J118" s="58"/>
      <c r="K118" s="58"/>
      <c r="L118" s="58"/>
      <c r="M118" s="58"/>
    </row>
    <row r="119" spans="1:13" x14ac:dyDescent="0.3">
      <c r="A119" s="28"/>
      <c r="B119" s="58"/>
      <c r="C119" s="58"/>
      <c r="D119" s="58"/>
      <c r="E119" s="58"/>
      <c r="F119" s="25"/>
      <c r="G119" s="25"/>
      <c r="H119" s="25"/>
      <c r="I119" s="25"/>
      <c r="J119" s="58"/>
      <c r="K119" s="58"/>
      <c r="L119" s="58"/>
      <c r="M119" s="58"/>
    </row>
    <row r="122" spans="1:13" x14ac:dyDescent="0.3"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</row>
    <row r="123" spans="1:13" x14ac:dyDescent="0.3">
      <c r="B123" s="52"/>
      <c r="C123" s="53"/>
      <c r="D123" s="54"/>
      <c r="E123" s="55"/>
      <c r="F123" s="52"/>
      <c r="G123" s="53"/>
      <c r="H123" s="54"/>
      <c r="I123" s="55"/>
      <c r="J123" s="52"/>
      <c r="K123" s="53"/>
      <c r="L123" s="54"/>
      <c r="M123" s="55"/>
    </row>
    <row r="124" spans="1:13" x14ac:dyDescent="0.3">
      <c r="A124" s="28"/>
      <c r="B124" s="59"/>
      <c r="C124" s="59"/>
      <c r="D124" s="59"/>
      <c r="E124" s="59"/>
      <c r="F124" s="59"/>
      <c r="G124" s="59"/>
      <c r="H124" s="59"/>
      <c r="I124" s="59"/>
      <c r="J124" s="58"/>
      <c r="K124" s="58"/>
      <c r="L124" s="58"/>
      <c r="M124" s="58"/>
    </row>
    <row r="125" spans="1:13" x14ac:dyDescent="0.3">
      <c r="A125" s="28"/>
      <c r="B125" s="59"/>
      <c r="C125" s="59"/>
      <c r="D125" s="59"/>
      <c r="E125" s="59"/>
      <c r="F125" s="59"/>
      <c r="G125" s="59"/>
      <c r="H125" s="59"/>
      <c r="I125" s="59"/>
      <c r="J125" s="58"/>
      <c r="K125" s="58"/>
      <c r="L125" s="58"/>
      <c r="M125" s="58"/>
    </row>
    <row r="126" spans="1:13" x14ac:dyDescent="0.3">
      <c r="A126" s="28"/>
      <c r="B126" s="59"/>
      <c r="C126" s="59"/>
      <c r="D126" s="59"/>
      <c r="E126" s="59"/>
      <c r="F126" s="59"/>
      <c r="G126" s="59"/>
      <c r="H126" s="59"/>
      <c r="I126" s="59"/>
      <c r="J126" s="58"/>
      <c r="K126" s="58"/>
      <c r="L126" s="58"/>
      <c r="M126" s="58"/>
    </row>
    <row r="127" spans="1:13" x14ac:dyDescent="0.3">
      <c r="A127" s="28"/>
      <c r="B127" s="59"/>
      <c r="C127" s="59"/>
      <c r="D127" s="59"/>
      <c r="E127" s="59"/>
      <c r="F127" s="59"/>
      <c r="G127" s="59"/>
      <c r="H127" s="59"/>
      <c r="I127" s="59"/>
      <c r="J127" s="58"/>
      <c r="K127" s="58"/>
      <c r="L127" s="58"/>
      <c r="M127" s="58"/>
    </row>
    <row r="128" spans="1:13" x14ac:dyDescent="0.3">
      <c r="A128" s="28"/>
      <c r="B128" s="59"/>
      <c r="C128" s="59"/>
      <c r="D128" s="59"/>
      <c r="E128" s="59"/>
      <c r="F128" s="59"/>
      <c r="G128" s="59"/>
      <c r="H128" s="59"/>
      <c r="I128" s="59"/>
      <c r="J128" s="58"/>
      <c r="K128" s="58"/>
      <c r="L128" s="58"/>
      <c r="M128" s="58"/>
    </row>
    <row r="129" spans="1:13" x14ac:dyDescent="0.3">
      <c r="A129" s="28"/>
      <c r="B129" s="59"/>
      <c r="C129" s="59"/>
      <c r="D129" s="59"/>
      <c r="E129" s="59"/>
      <c r="F129" s="59"/>
      <c r="G129" s="59"/>
      <c r="H129" s="59"/>
      <c r="I129" s="59"/>
      <c r="J129" s="58"/>
      <c r="K129" s="58"/>
      <c r="L129" s="58"/>
      <c r="M129" s="58"/>
    </row>
    <row r="130" spans="1:13" x14ac:dyDescent="0.3">
      <c r="A130" s="28"/>
      <c r="B130" s="59"/>
      <c r="C130" s="59"/>
      <c r="D130" s="59"/>
      <c r="E130" s="59"/>
      <c r="F130" s="59"/>
      <c r="G130" s="59"/>
      <c r="H130" s="59"/>
      <c r="I130" s="59"/>
      <c r="J130" s="58"/>
      <c r="K130" s="58"/>
      <c r="L130" s="58"/>
      <c r="M130" s="58"/>
    </row>
    <row r="131" spans="1:13" x14ac:dyDescent="0.3">
      <c r="A131" s="28"/>
      <c r="B131" s="59"/>
      <c r="C131" s="59"/>
      <c r="D131" s="59"/>
      <c r="E131" s="59"/>
      <c r="F131" s="59"/>
      <c r="G131" s="59"/>
      <c r="H131" s="59"/>
      <c r="I131" s="59"/>
      <c r="J131" s="58"/>
      <c r="K131" s="58"/>
      <c r="L131" s="58"/>
      <c r="M131" s="58"/>
    </row>
    <row r="132" spans="1:13" x14ac:dyDescent="0.3">
      <c r="A132" s="28"/>
      <c r="B132" s="59"/>
      <c r="C132" s="59"/>
      <c r="D132" s="59"/>
      <c r="E132" s="59"/>
      <c r="F132" s="59"/>
      <c r="G132" s="59"/>
      <c r="H132" s="59"/>
      <c r="I132" s="59"/>
      <c r="J132" s="58"/>
      <c r="K132" s="58"/>
      <c r="L132" s="58"/>
      <c r="M132" s="58"/>
    </row>
    <row r="133" spans="1:13" x14ac:dyDescent="0.3">
      <c r="A133" s="28"/>
      <c r="B133" s="59"/>
      <c r="C133" s="59"/>
      <c r="D133" s="59"/>
      <c r="E133" s="59"/>
      <c r="F133" s="59"/>
      <c r="G133" s="59"/>
      <c r="H133" s="59"/>
      <c r="I133" s="59"/>
      <c r="J133" s="58"/>
      <c r="K133" s="58"/>
      <c r="L133" s="58"/>
      <c r="M133" s="58"/>
    </row>
    <row r="135" spans="1:13" x14ac:dyDescent="0.3"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</row>
    <row r="136" spans="1:13" x14ac:dyDescent="0.3">
      <c r="B136" s="52"/>
      <c r="C136" s="53"/>
      <c r="D136" s="54"/>
      <c r="E136" s="55"/>
      <c r="F136" s="52"/>
      <c r="G136" s="53"/>
      <c r="H136" s="54"/>
      <c r="I136" s="55"/>
      <c r="J136" s="52"/>
      <c r="K136" s="53"/>
      <c r="L136" s="54"/>
      <c r="M136" s="55"/>
    </row>
    <row r="137" spans="1:13" x14ac:dyDescent="0.3">
      <c r="A137" s="28"/>
      <c r="B137" s="58"/>
      <c r="C137" s="58"/>
      <c r="D137" s="58"/>
      <c r="E137" s="58"/>
      <c r="F137" s="59"/>
      <c r="G137" s="59"/>
      <c r="H137" s="59"/>
      <c r="I137" s="59"/>
      <c r="J137" s="58"/>
      <c r="K137" s="58"/>
      <c r="L137" s="58"/>
      <c r="M137" s="58"/>
    </row>
    <row r="138" spans="1:13" x14ac:dyDescent="0.3">
      <c r="A138" s="28"/>
      <c r="B138" s="58"/>
      <c r="C138" s="58"/>
      <c r="D138" s="58"/>
      <c r="E138" s="58"/>
      <c r="F138" s="59"/>
      <c r="G138" s="59"/>
      <c r="H138" s="59"/>
      <c r="I138" s="59"/>
      <c r="J138" s="58"/>
      <c r="K138" s="58"/>
      <c r="L138" s="58"/>
      <c r="M138" s="58"/>
    </row>
    <row r="139" spans="1:13" x14ac:dyDescent="0.3">
      <c r="A139" s="28"/>
      <c r="B139" s="58"/>
      <c r="C139" s="58"/>
      <c r="D139" s="58"/>
      <c r="E139" s="58"/>
      <c r="F139" s="59"/>
      <c r="G139" s="59"/>
      <c r="H139" s="59"/>
      <c r="I139" s="59"/>
      <c r="J139" s="58"/>
      <c r="K139" s="58"/>
      <c r="L139" s="58"/>
      <c r="M139" s="58"/>
    </row>
    <row r="140" spans="1:13" x14ac:dyDescent="0.3">
      <c r="A140" s="28"/>
      <c r="B140" s="58"/>
      <c r="C140" s="58"/>
      <c r="D140" s="58"/>
      <c r="E140" s="58"/>
      <c r="F140" s="59"/>
      <c r="G140" s="59"/>
      <c r="H140" s="59"/>
      <c r="I140" s="59"/>
      <c r="J140" s="58"/>
      <c r="K140" s="58"/>
      <c r="L140" s="58"/>
      <c r="M140" s="58"/>
    </row>
    <row r="141" spans="1:13" x14ac:dyDescent="0.3">
      <c r="A141" s="28"/>
      <c r="B141" s="58"/>
      <c r="C141" s="58"/>
      <c r="D141" s="58"/>
      <c r="E141" s="58"/>
      <c r="F141" s="59"/>
      <c r="G141" s="59"/>
      <c r="H141" s="59"/>
      <c r="I141" s="59"/>
      <c r="J141" s="58"/>
      <c r="K141" s="58"/>
      <c r="L141" s="58"/>
      <c r="M141" s="58"/>
    </row>
    <row r="142" spans="1:13" x14ac:dyDescent="0.3">
      <c r="A142" s="28"/>
      <c r="B142" s="58"/>
      <c r="C142" s="58"/>
      <c r="D142" s="58"/>
      <c r="E142" s="58"/>
      <c r="F142" s="59"/>
      <c r="G142" s="59"/>
      <c r="H142" s="59"/>
      <c r="I142" s="59"/>
      <c r="J142" s="58"/>
      <c r="K142" s="58"/>
      <c r="L142" s="58"/>
      <c r="M142" s="58"/>
    </row>
    <row r="143" spans="1:13" x14ac:dyDescent="0.3">
      <c r="A143" s="28"/>
      <c r="B143" s="58"/>
      <c r="C143" s="58"/>
      <c r="D143" s="58"/>
      <c r="E143" s="58"/>
      <c r="F143" s="59"/>
      <c r="G143" s="59"/>
      <c r="H143" s="59"/>
      <c r="I143" s="59"/>
      <c r="J143" s="58"/>
      <c r="K143" s="58"/>
      <c r="L143" s="58"/>
      <c r="M143" s="58"/>
    </row>
    <row r="144" spans="1:13" x14ac:dyDescent="0.3">
      <c r="A144" s="28"/>
      <c r="B144" s="58"/>
      <c r="C144" s="58"/>
      <c r="D144" s="58"/>
      <c r="E144" s="58"/>
      <c r="F144" s="59"/>
      <c r="G144" s="59"/>
      <c r="H144" s="59"/>
      <c r="I144" s="59"/>
      <c r="J144" s="58"/>
      <c r="K144" s="58"/>
      <c r="L144" s="58"/>
      <c r="M144" s="58"/>
    </row>
    <row r="145" spans="1:13" x14ac:dyDescent="0.3">
      <c r="A145" s="28"/>
      <c r="B145" s="58"/>
      <c r="C145" s="58"/>
      <c r="D145" s="58"/>
      <c r="E145" s="58"/>
      <c r="F145" s="59"/>
      <c r="G145" s="59"/>
      <c r="H145" s="59"/>
      <c r="I145" s="59"/>
      <c r="J145" s="58"/>
      <c r="K145" s="58"/>
      <c r="L145" s="58"/>
      <c r="M145" s="58"/>
    </row>
    <row r="146" spans="1:13" x14ac:dyDescent="0.3">
      <c r="A146" s="28"/>
      <c r="B146" s="58"/>
      <c r="C146" s="58"/>
      <c r="D146" s="58"/>
      <c r="E146" s="58"/>
      <c r="F146" s="59"/>
      <c r="G146" s="59"/>
      <c r="H146" s="59"/>
      <c r="I146" s="59"/>
      <c r="J146" s="58"/>
      <c r="K146" s="58"/>
      <c r="L146" s="58"/>
      <c r="M146" s="58"/>
    </row>
  </sheetData>
  <mergeCells count="12">
    <mergeCell ref="B95:E95"/>
    <mergeCell ref="F95:I95"/>
    <mergeCell ref="J95:M95"/>
    <mergeCell ref="B108:E108"/>
    <mergeCell ref="J108:M108"/>
    <mergeCell ref="F108:I108"/>
    <mergeCell ref="B122:E122"/>
    <mergeCell ref="F122:I122"/>
    <mergeCell ref="J122:M122"/>
    <mergeCell ref="B135:E135"/>
    <mergeCell ref="F135:I135"/>
    <mergeCell ref="J135:M135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Option Button 1">
              <controlPr defaultSize="0" autoFill="0" autoLine="0" autoPict="0">
                <anchor moveWithCells="1">
                  <from>
                    <xdr:col>6</xdr:col>
                    <xdr:colOff>0</xdr:colOff>
                    <xdr:row>26</xdr:row>
                    <xdr:rowOff>7620</xdr:rowOff>
                  </from>
                  <to>
                    <xdr:col>7</xdr:col>
                    <xdr:colOff>160020</xdr:colOff>
                    <xdr:row>27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Option Button 2">
              <controlPr defaultSize="0" autoFill="0" autoLine="0" autoPict="0">
                <anchor moveWithCells="1">
                  <from>
                    <xdr:col>6</xdr:col>
                    <xdr:colOff>0</xdr:colOff>
                    <xdr:row>27</xdr:row>
                    <xdr:rowOff>30480</xdr:rowOff>
                  </from>
                  <to>
                    <xdr:col>7</xdr:col>
                    <xdr:colOff>160020</xdr:colOff>
                    <xdr:row>28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Option Button 3">
              <controlPr defaultSize="0" autoFill="0" autoLine="0" autoPict="0">
                <anchor moveWithCells="1">
                  <from>
                    <xdr:col>6</xdr:col>
                    <xdr:colOff>0</xdr:colOff>
                    <xdr:row>28</xdr:row>
                    <xdr:rowOff>60960</xdr:rowOff>
                  </from>
                  <to>
                    <xdr:col>7</xdr:col>
                    <xdr:colOff>160020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Option Button 4">
              <controlPr defaultSize="0" autoFill="0" autoLine="0" autoPict="0">
                <anchor moveWithCells="1">
                  <from>
                    <xdr:col>6</xdr:col>
                    <xdr:colOff>0</xdr:colOff>
                    <xdr:row>29</xdr:row>
                    <xdr:rowOff>76200</xdr:rowOff>
                  </from>
                  <to>
                    <xdr:col>7</xdr:col>
                    <xdr:colOff>160020</xdr:colOff>
                    <xdr:row>30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Option Button 5">
              <controlPr defaultSize="0" autoFill="0" autoLine="0" autoPict="0">
                <anchor moveWithCells="1">
                  <from>
                    <xdr:col>6</xdr:col>
                    <xdr:colOff>0</xdr:colOff>
                    <xdr:row>30</xdr:row>
                    <xdr:rowOff>99060</xdr:rowOff>
                  </from>
                  <to>
                    <xdr:col>7</xdr:col>
                    <xdr:colOff>160020</xdr:colOff>
                    <xdr:row>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Option Button 6">
              <controlPr defaultSize="0" autoFill="0" autoLine="0" autoPict="0">
                <anchor moveWithCells="1">
                  <from>
                    <xdr:col>6</xdr:col>
                    <xdr:colOff>0</xdr:colOff>
                    <xdr:row>31</xdr:row>
                    <xdr:rowOff>114300</xdr:rowOff>
                  </from>
                  <to>
                    <xdr:col>7</xdr:col>
                    <xdr:colOff>160020</xdr:colOff>
                    <xdr:row>32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Option Button 7">
              <controlPr defaultSize="0" autoFill="0" autoLine="0" autoPict="0">
                <anchor moveWithCells="1">
                  <from>
                    <xdr:col>6</xdr:col>
                    <xdr:colOff>0</xdr:colOff>
                    <xdr:row>32</xdr:row>
                    <xdr:rowOff>144780</xdr:rowOff>
                  </from>
                  <to>
                    <xdr:col>7</xdr:col>
                    <xdr:colOff>160020</xdr:colOff>
                    <xdr:row>33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Option Button 8">
              <controlPr defaultSize="0" autoFill="0" autoLine="0" autoPict="0">
                <anchor moveWithCells="1">
                  <from>
                    <xdr:col>6</xdr:col>
                    <xdr:colOff>0</xdr:colOff>
                    <xdr:row>33</xdr:row>
                    <xdr:rowOff>160020</xdr:rowOff>
                  </from>
                  <to>
                    <xdr:col>7</xdr:col>
                    <xdr:colOff>160020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Option Button 9">
              <controlPr defaultSize="0" autoFill="0" autoLine="0" autoPict="0">
                <anchor moveWithCells="1">
                  <from>
                    <xdr:col>6</xdr:col>
                    <xdr:colOff>0</xdr:colOff>
                    <xdr:row>35</xdr:row>
                    <xdr:rowOff>0</xdr:rowOff>
                  </from>
                  <to>
                    <xdr:col>7</xdr:col>
                    <xdr:colOff>160020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Option Button 10">
              <controlPr defaultSize="0" autoFill="0" autoLine="0" autoPict="0">
                <anchor moveWithCells="1">
                  <from>
                    <xdr:col>6</xdr:col>
                    <xdr:colOff>0</xdr:colOff>
                    <xdr:row>36</xdr:row>
                    <xdr:rowOff>22860</xdr:rowOff>
                  </from>
                  <to>
                    <xdr:col>7</xdr:col>
                    <xdr:colOff>160020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Option Button 11">
              <controlPr defaultSize="0" autoFill="0" autoLine="0" autoPict="0">
                <anchor moveWithCells="1">
                  <from>
                    <xdr:col>6</xdr:col>
                    <xdr:colOff>0</xdr:colOff>
                    <xdr:row>37</xdr:row>
                    <xdr:rowOff>38100</xdr:rowOff>
                  </from>
                  <to>
                    <xdr:col>7</xdr:col>
                    <xdr:colOff>160020</xdr:colOff>
                    <xdr:row>38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Option Button 12">
              <controlPr defaultSize="0" autoFill="0" autoLine="0" autoPict="0">
                <anchor moveWithCells="1">
                  <from>
                    <xdr:col>6</xdr:col>
                    <xdr:colOff>0</xdr:colOff>
                    <xdr:row>38</xdr:row>
                    <xdr:rowOff>60960</xdr:rowOff>
                  </from>
                  <to>
                    <xdr:col>7</xdr:col>
                    <xdr:colOff>160020</xdr:colOff>
                    <xdr:row>39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16" name="Option Button 18">
              <controlPr defaultSize="0" autoFill="0" autoLine="0" autoPict="0">
                <anchor moveWithCells="1">
                  <from>
                    <xdr:col>13</xdr:col>
                    <xdr:colOff>22860</xdr:colOff>
                    <xdr:row>74</xdr:row>
                    <xdr:rowOff>0</xdr:rowOff>
                  </from>
                  <to>
                    <xdr:col>14</xdr:col>
                    <xdr:colOff>236220</xdr:colOff>
                    <xdr:row>75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17" name="Option Button 19">
              <controlPr defaultSize="0" autoFill="0" autoLine="0" autoPict="0">
                <anchor moveWithCells="1">
                  <from>
                    <xdr:col>13</xdr:col>
                    <xdr:colOff>22860</xdr:colOff>
                    <xdr:row>75</xdr:row>
                    <xdr:rowOff>38100</xdr:rowOff>
                  </from>
                  <to>
                    <xdr:col>14</xdr:col>
                    <xdr:colOff>236220</xdr:colOff>
                    <xdr:row>76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18" name="Option Button 20">
              <controlPr defaultSize="0" autoFill="0" autoLine="0" autoPict="0">
                <anchor moveWithCells="1">
                  <from>
                    <xdr:col>13</xdr:col>
                    <xdr:colOff>22860</xdr:colOff>
                    <xdr:row>76</xdr:row>
                    <xdr:rowOff>76200</xdr:rowOff>
                  </from>
                  <to>
                    <xdr:col>14</xdr:col>
                    <xdr:colOff>236220</xdr:colOff>
                    <xdr:row>77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19" name="Option Button 21">
              <controlPr defaultSize="0" autoFill="0" autoLine="0" autoPict="0">
                <anchor moveWithCells="1">
                  <from>
                    <xdr:col>13</xdr:col>
                    <xdr:colOff>22860</xdr:colOff>
                    <xdr:row>77</xdr:row>
                    <xdr:rowOff>121920</xdr:rowOff>
                  </from>
                  <to>
                    <xdr:col>14</xdr:col>
                    <xdr:colOff>236220</xdr:colOff>
                    <xdr:row>78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0" name="Option Button 22">
              <controlPr defaultSize="0" autoFill="0" autoLine="0" autoPict="0">
                <anchor moveWithCells="1">
                  <from>
                    <xdr:col>13</xdr:col>
                    <xdr:colOff>22860</xdr:colOff>
                    <xdr:row>78</xdr:row>
                    <xdr:rowOff>160020</xdr:rowOff>
                  </from>
                  <to>
                    <xdr:col>14</xdr:col>
                    <xdr:colOff>236220</xdr:colOff>
                    <xdr:row>79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1" name="Option Button 23">
              <controlPr defaultSize="0" autoFill="0" autoLine="0" autoPict="0">
                <anchor moveWithCells="1">
                  <from>
                    <xdr:col>13</xdr:col>
                    <xdr:colOff>22860</xdr:colOff>
                    <xdr:row>80</xdr:row>
                    <xdr:rowOff>22860</xdr:rowOff>
                  </from>
                  <to>
                    <xdr:col>14</xdr:col>
                    <xdr:colOff>236220</xdr:colOff>
                    <xdr:row>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2" name="Option Button 24">
              <controlPr defaultSize="0" autoFill="0" autoLine="0" autoPict="0">
                <anchor moveWithCells="1">
                  <from>
                    <xdr:col>13</xdr:col>
                    <xdr:colOff>22860</xdr:colOff>
                    <xdr:row>81</xdr:row>
                    <xdr:rowOff>60960</xdr:rowOff>
                  </from>
                  <to>
                    <xdr:col>14</xdr:col>
                    <xdr:colOff>236220</xdr:colOff>
                    <xdr:row>82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3" name="Option Button 25">
              <controlPr defaultSize="0" autoFill="0" autoLine="0" autoPict="0">
                <anchor moveWithCells="1">
                  <from>
                    <xdr:col>13</xdr:col>
                    <xdr:colOff>22860</xdr:colOff>
                    <xdr:row>82</xdr:row>
                    <xdr:rowOff>99060</xdr:rowOff>
                  </from>
                  <to>
                    <xdr:col>14</xdr:col>
                    <xdr:colOff>236220</xdr:colOff>
                    <xdr:row>83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4" name="Option Button 26">
              <controlPr defaultSize="0" autoFill="0" autoLine="0" autoPict="0">
                <anchor moveWithCells="1">
                  <from>
                    <xdr:col>13</xdr:col>
                    <xdr:colOff>22860</xdr:colOff>
                    <xdr:row>83</xdr:row>
                    <xdr:rowOff>144780</xdr:rowOff>
                  </from>
                  <to>
                    <xdr:col>14</xdr:col>
                    <xdr:colOff>236220</xdr:colOff>
                    <xdr:row>84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25" name="Option Button 27">
              <controlPr defaultSize="0" autoFill="0" autoLine="0" autoPict="0">
                <anchor moveWithCells="1">
                  <from>
                    <xdr:col>13</xdr:col>
                    <xdr:colOff>22860</xdr:colOff>
                    <xdr:row>84</xdr:row>
                    <xdr:rowOff>182880</xdr:rowOff>
                  </from>
                  <to>
                    <xdr:col>14</xdr:col>
                    <xdr:colOff>236220</xdr:colOff>
                    <xdr:row>86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26" name="Option Button 28">
              <controlPr defaultSize="0" autoFill="0" autoLine="0" autoPict="0">
                <anchor moveWithCells="1">
                  <from>
                    <xdr:col>13</xdr:col>
                    <xdr:colOff>22860</xdr:colOff>
                    <xdr:row>86</xdr:row>
                    <xdr:rowOff>38100</xdr:rowOff>
                  </from>
                  <to>
                    <xdr:col>14</xdr:col>
                    <xdr:colOff>236220</xdr:colOff>
                    <xdr:row>87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27" name="Option Button 29">
              <controlPr defaultSize="0" autoFill="0" autoLine="0" autoPict="0">
                <anchor moveWithCells="1">
                  <from>
                    <xdr:col>13</xdr:col>
                    <xdr:colOff>22860</xdr:colOff>
                    <xdr:row>87</xdr:row>
                    <xdr:rowOff>76200</xdr:rowOff>
                  </from>
                  <to>
                    <xdr:col>14</xdr:col>
                    <xdr:colOff>236220</xdr:colOff>
                    <xdr:row>88</xdr:row>
                    <xdr:rowOff>99060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96C38AA5-FB7B-4313-8260-F92A36B54555}">
            <xm:f>NOT(ISERROR(SEARCH($B$1,B14)))</xm:f>
            <xm:f>$B$1</xm:f>
            <x14:dxf>
              <font>
                <b/>
                <i val="0"/>
              </font>
            </x14:dxf>
          </x14:cfRule>
          <xm:sqref>B14:M14</xm:sqref>
        </x14:conditionalFormatting>
        <x14:conditionalFormatting xmlns:xm="http://schemas.microsoft.com/office/excel/2006/main">
          <x14:cfRule type="containsText" priority="1" operator="containsText" id="{FD67A5D8-328C-4E00-A3D6-22EA440D6895}">
            <xm:f>NOT(ISERROR(SEARCH($A$44,B48)))</xm:f>
            <xm:f>$A$44</xm:f>
            <x14:dxf>
              <font>
                <b/>
                <i val="0"/>
              </font>
            </x14:dxf>
          </x14:cfRule>
          <xm:sqref>B48:M48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DONNEES Idcc DETAIL</vt:lpstr>
      <vt:lpstr>FILTRES LIVRAISON</vt:lpstr>
      <vt:lpstr>EXPLOITATION_livraison</vt:lpstr>
      <vt:lpstr>'FILTRES LIVRAISON'!Criteres</vt:lpstr>
      <vt:lpstr>'FILTRES LIVRAISON'!Extraire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</dc:creator>
  <cp:lastModifiedBy>Filipe</cp:lastModifiedBy>
  <dcterms:created xsi:type="dcterms:W3CDTF">2015-10-01T09:36:45Z</dcterms:created>
  <dcterms:modified xsi:type="dcterms:W3CDTF">2016-05-28T12:39:04Z</dcterms:modified>
</cp:coreProperties>
</file>