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ilipe\Desktop\"/>
    </mc:Choice>
  </mc:AlternateContent>
  <bookViews>
    <workbookView xWindow="0" yWindow="0" windowWidth="19200" windowHeight="7248"/>
  </bookViews>
  <sheets>
    <sheet name="Mai 2015" sheetId="1" r:id="rId1"/>
    <sheet name="en_tete_devis" sheetId="2" r:id="rId2"/>
  </sheets>
  <definedNames>
    <definedName name="_xlnm._FilterDatabase" localSheetId="1" hidden="1">en_tete_devis!$A$1:$G$6866</definedName>
    <definedName name="_xlnm._FilterDatabase" localSheetId="0" hidden="1">'Mai 2015'!$A$9:$H$9</definedName>
    <definedName name="_xlnm.Criteria" localSheetId="0">'Mai 2015'!$I$3:$J$4</definedName>
    <definedName name="_xlnm.Extract" localSheetId="0">'Mai 2015'!$A$9:$D$9</definedName>
    <definedName name="_xlnm.Print_Area" localSheetId="0">'Mai 2015'!$A:$I</definedName>
  </definedNames>
  <calcPr calcId="152511"/>
</workbook>
</file>

<file path=xl/calcChain.xml><?xml version="1.0" encoding="utf-8"?>
<calcChain xmlns="http://schemas.openxmlformats.org/spreadsheetml/2006/main">
  <c r="C7" i="1" l="1"/>
  <c r="A6865" i="2" l="1"/>
  <c r="A6864" i="2"/>
  <c r="A6863" i="2"/>
  <c r="A6862" i="2"/>
  <c r="A6861" i="2"/>
  <c r="A6860" i="2"/>
  <c r="A6859" i="2"/>
  <c r="A6858" i="2"/>
  <c r="A6857" i="2"/>
  <c r="A6856" i="2"/>
  <c r="A6855" i="2"/>
  <c r="A6854" i="2"/>
  <c r="A6853" i="2"/>
  <c r="A6852" i="2"/>
  <c r="A6851" i="2"/>
  <c r="A6850" i="2"/>
  <c r="A6849" i="2"/>
  <c r="A6848" i="2"/>
  <c r="A6847" i="2"/>
  <c r="A6846" i="2"/>
  <c r="A6845" i="2"/>
  <c r="A6844" i="2"/>
  <c r="A6843" i="2"/>
  <c r="A6842" i="2"/>
  <c r="A6841" i="2"/>
  <c r="A6840" i="2"/>
  <c r="A6839" i="2"/>
  <c r="A6838" i="2"/>
  <c r="A6837" i="2"/>
  <c r="A6836" i="2"/>
  <c r="A6835" i="2"/>
  <c r="A6834" i="2"/>
  <c r="A6833" i="2"/>
  <c r="A6832" i="2"/>
  <c r="A6831" i="2"/>
  <c r="A6830" i="2"/>
  <c r="A6829" i="2"/>
  <c r="A6828" i="2"/>
  <c r="A6827" i="2"/>
  <c r="A6826" i="2"/>
  <c r="A6825" i="2"/>
  <c r="A6824" i="2"/>
  <c r="A6823" i="2"/>
  <c r="A6822" i="2"/>
  <c r="A6821" i="2"/>
  <c r="A6820" i="2"/>
  <c r="A6819" i="2"/>
  <c r="A6818" i="2"/>
  <c r="A6817" i="2"/>
  <c r="A6816" i="2"/>
  <c r="A6815" i="2"/>
  <c r="A6814" i="2"/>
  <c r="A6813" i="2"/>
  <c r="A6812" i="2"/>
  <c r="A6811" i="2"/>
  <c r="A6810" i="2"/>
  <c r="A6809" i="2"/>
  <c r="A6808" i="2"/>
  <c r="A6807" i="2"/>
  <c r="A6806" i="2"/>
  <c r="A6805" i="2"/>
  <c r="A6804" i="2"/>
  <c r="A6803" i="2"/>
  <c r="A6802" i="2"/>
  <c r="A6801" i="2"/>
  <c r="A6800" i="2"/>
  <c r="A6799" i="2"/>
  <c r="A6798" i="2"/>
  <c r="A6797" i="2"/>
  <c r="A6796" i="2"/>
  <c r="A6795" i="2"/>
  <c r="A6794" i="2"/>
  <c r="A6793" i="2"/>
  <c r="A6792" i="2"/>
  <c r="A6791" i="2"/>
  <c r="A6790" i="2"/>
  <c r="A6789" i="2"/>
  <c r="A6788" i="2"/>
  <c r="A6787" i="2"/>
  <c r="A6786" i="2"/>
  <c r="A6785" i="2"/>
  <c r="A6784" i="2"/>
  <c r="A6783" i="2"/>
  <c r="A6782" i="2"/>
  <c r="A6781" i="2"/>
  <c r="A6780" i="2"/>
  <c r="A6779" i="2"/>
  <c r="A6778" i="2"/>
  <c r="A6777" i="2"/>
  <c r="A6776" i="2"/>
  <c r="A6775" i="2"/>
  <c r="A6774" i="2"/>
  <c r="A6773" i="2"/>
  <c r="A6772" i="2"/>
  <c r="A6771" i="2"/>
  <c r="A6770" i="2"/>
  <c r="A6769" i="2"/>
  <c r="A6768" i="2"/>
  <c r="A6767" i="2"/>
  <c r="A6766" i="2"/>
  <c r="A6765" i="2"/>
  <c r="A6764" i="2"/>
  <c r="A6763" i="2"/>
  <c r="A6762" i="2"/>
  <c r="A6761" i="2"/>
  <c r="A6760" i="2"/>
  <c r="A6759" i="2"/>
  <c r="A6758" i="2"/>
  <c r="A6757" i="2"/>
  <c r="A6756" i="2"/>
  <c r="A6755" i="2"/>
  <c r="A6754" i="2"/>
  <c r="A6753" i="2"/>
  <c r="A6752" i="2"/>
  <c r="A6751" i="2"/>
  <c r="A6750" i="2"/>
  <c r="A6749" i="2"/>
  <c r="A6748" i="2"/>
  <c r="A6747" i="2"/>
  <c r="A6746" i="2"/>
  <c r="A6745" i="2"/>
  <c r="A6744" i="2"/>
  <c r="A6743" i="2"/>
  <c r="A6742" i="2"/>
  <c r="A6741" i="2"/>
  <c r="A6740" i="2"/>
  <c r="A6739" i="2"/>
  <c r="A6738" i="2"/>
  <c r="A6737" i="2"/>
  <c r="A6736" i="2"/>
  <c r="A6735" i="2"/>
  <c r="A6734" i="2"/>
  <c r="A6733" i="2"/>
  <c r="A6732" i="2"/>
  <c r="A6731" i="2"/>
  <c r="A6730" i="2"/>
  <c r="A6729" i="2"/>
  <c r="A6728" i="2"/>
  <c r="A6727" i="2"/>
  <c r="A6726" i="2"/>
  <c r="A6725" i="2"/>
  <c r="A6724" i="2"/>
  <c r="A6723" i="2"/>
  <c r="A6722" i="2"/>
  <c r="A6721" i="2"/>
  <c r="A6720" i="2"/>
  <c r="A6719" i="2"/>
  <c r="A6718" i="2"/>
  <c r="A6717" i="2"/>
  <c r="A6716" i="2"/>
  <c r="A6715" i="2"/>
  <c r="A6714" i="2"/>
  <c r="A6713" i="2"/>
  <c r="A6712" i="2"/>
  <c r="A6711" i="2"/>
  <c r="A6710" i="2"/>
  <c r="A6709" i="2"/>
  <c r="A6708" i="2"/>
  <c r="A6707" i="2"/>
  <c r="A6706" i="2"/>
  <c r="A6705" i="2"/>
  <c r="A6704" i="2"/>
  <c r="A6703" i="2"/>
  <c r="A6702" i="2"/>
  <c r="A6701" i="2"/>
  <c r="A6700" i="2"/>
  <c r="A6699" i="2"/>
  <c r="A6698" i="2"/>
  <c r="A6697" i="2"/>
  <c r="A6696" i="2"/>
  <c r="A6695" i="2"/>
  <c r="A6694" i="2"/>
  <c r="A6693" i="2"/>
  <c r="A6692" i="2"/>
  <c r="A6691" i="2"/>
  <c r="A6690" i="2"/>
  <c r="A6689" i="2"/>
  <c r="A6688" i="2"/>
  <c r="A6687" i="2"/>
  <c r="A6686" i="2"/>
  <c r="A6685" i="2"/>
  <c r="A6684" i="2"/>
  <c r="A6683" i="2"/>
  <c r="A6682" i="2"/>
  <c r="A6681" i="2"/>
  <c r="A6680" i="2"/>
  <c r="A6679" i="2"/>
  <c r="A6678" i="2"/>
  <c r="A6677" i="2"/>
  <c r="A6676" i="2"/>
  <c r="A6675" i="2"/>
  <c r="A6674" i="2"/>
  <c r="A6673" i="2"/>
  <c r="A6672" i="2"/>
  <c r="A6671" i="2"/>
  <c r="A6670" i="2"/>
  <c r="A6669" i="2"/>
  <c r="A6668" i="2"/>
  <c r="A6667" i="2"/>
  <c r="A6666" i="2"/>
  <c r="A6665" i="2"/>
  <c r="A6664" i="2"/>
  <c r="A6663" i="2"/>
  <c r="A6662" i="2"/>
  <c r="A6661" i="2"/>
  <c r="A6660" i="2"/>
  <c r="A6659" i="2"/>
  <c r="A6658" i="2"/>
  <c r="A6657" i="2"/>
  <c r="A6656" i="2"/>
  <c r="A6655" i="2"/>
  <c r="A6654" i="2"/>
  <c r="A6653" i="2"/>
  <c r="A6652" i="2"/>
  <c r="A6651" i="2"/>
  <c r="A6650" i="2"/>
  <c r="A6649" i="2"/>
  <c r="A6648" i="2"/>
  <c r="A6647" i="2"/>
  <c r="A6646" i="2"/>
  <c r="A6645" i="2"/>
  <c r="A6644" i="2"/>
  <c r="A6643" i="2"/>
  <c r="A6642" i="2"/>
  <c r="A6641" i="2"/>
  <c r="A6640" i="2"/>
  <c r="A6639" i="2"/>
  <c r="A6638" i="2"/>
  <c r="A6637" i="2"/>
  <c r="A6636" i="2"/>
  <c r="A6635" i="2"/>
  <c r="A6634" i="2"/>
  <c r="A6633" i="2"/>
  <c r="A6632" i="2"/>
  <c r="A6631" i="2"/>
  <c r="A6630" i="2"/>
  <c r="A6629" i="2"/>
  <c r="A6628" i="2"/>
  <c r="A6627" i="2"/>
  <c r="A6626" i="2"/>
  <c r="A6625" i="2"/>
  <c r="A6624" i="2"/>
  <c r="A6623" i="2"/>
  <c r="A6622" i="2"/>
  <c r="A6621" i="2"/>
  <c r="A6620" i="2"/>
  <c r="A6619" i="2"/>
  <c r="A6618" i="2"/>
  <c r="A6617" i="2"/>
  <c r="A6616" i="2"/>
  <c r="A6615" i="2"/>
  <c r="A6614" i="2"/>
  <c r="A6613" i="2"/>
  <c r="A6612" i="2"/>
  <c r="A6611" i="2"/>
  <c r="A6610" i="2"/>
  <c r="A6609" i="2"/>
  <c r="A6608" i="2"/>
  <c r="A6607" i="2"/>
  <c r="A6606" i="2"/>
  <c r="A6605" i="2"/>
  <c r="A6604" i="2"/>
  <c r="A6603" i="2"/>
  <c r="A6602" i="2"/>
  <c r="A6601" i="2"/>
  <c r="A6600" i="2"/>
  <c r="A6599" i="2"/>
  <c r="A6598" i="2"/>
  <c r="A6597" i="2"/>
  <c r="A6596" i="2"/>
  <c r="A6595" i="2"/>
  <c r="A6594" i="2"/>
  <c r="A6593" i="2"/>
  <c r="A6592" i="2"/>
  <c r="A6591" i="2"/>
  <c r="A6590" i="2"/>
  <c r="A6589" i="2"/>
  <c r="A6588" i="2"/>
  <c r="A6587" i="2"/>
  <c r="A6586" i="2"/>
  <c r="A6585" i="2"/>
  <c r="A6584" i="2"/>
  <c r="A6583" i="2"/>
  <c r="A6582" i="2"/>
  <c r="A6581" i="2"/>
  <c r="A6580" i="2"/>
  <c r="A6579" i="2"/>
  <c r="A6578" i="2"/>
  <c r="A6577" i="2"/>
  <c r="A6576" i="2"/>
  <c r="A6575" i="2"/>
  <c r="A6574" i="2"/>
  <c r="A6573" i="2"/>
  <c r="A6572" i="2"/>
  <c r="A6571" i="2"/>
  <c r="A6570" i="2"/>
  <c r="A6569" i="2"/>
  <c r="A6568" i="2"/>
  <c r="A6567" i="2"/>
  <c r="A6566" i="2"/>
  <c r="A6565" i="2"/>
  <c r="A6564" i="2"/>
  <c r="A6563" i="2"/>
  <c r="A6562" i="2"/>
  <c r="A6561" i="2"/>
  <c r="A6560" i="2"/>
  <c r="A6559" i="2"/>
  <c r="A6558" i="2"/>
  <c r="A6557" i="2"/>
  <c r="A6556" i="2"/>
  <c r="A6555" i="2"/>
  <c r="A6554" i="2"/>
  <c r="A6553" i="2"/>
  <c r="A6552" i="2"/>
  <c r="A6551" i="2"/>
  <c r="A6550" i="2"/>
  <c r="A6549" i="2"/>
  <c r="A6548" i="2"/>
  <c r="A6547" i="2"/>
  <c r="A6546" i="2"/>
  <c r="A6545" i="2"/>
  <c r="A6544" i="2"/>
  <c r="A6543" i="2"/>
  <c r="A6542" i="2"/>
  <c r="A6541" i="2"/>
  <c r="A6540" i="2"/>
  <c r="A6539" i="2"/>
  <c r="A6538" i="2"/>
  <c r="A6537" i="2"/>
  <c r="A6536" i="2"/>
  <c r="A6535" i="2"/>
  <c r="A6534" i="2"/>
  <c r="A6533" i="2"/>
  <c r="A6532" i="2"/>
  <c r="A6531" i="2"/>
  <c r="A6530" i="2"/>
  <c r="A6529" i="2"/>
  <c r="A6528" i="2"/>
  <c r="A6527" i="2"/>
  <c r="A6526" i="2"/>
  <c r="A6525" i="2"/>
  <c r="A6524" i="2"/>
  <c r="A6523" i="2"/>
  <c r="A6522" i="2"/>
  <c r="A6521" i="2"/>
  <c r="A6520" i="2"/>
  <c r="A6519" i="2"/>
  <c r="A6518" i="2"/>
  <c r="A6517" i="2"/>
  <c r="A6516" i="2"/>
  <c r="A6515" i="2"/>
  <c r="A6514" i="2"/>
  <c r="A6513" i="2"/>
  <c r="A6512" i="2"/>
  <c r="A6511" i="2"/>
  <c r="A6510" i="2"/>
  <c r="A6509" i="2"/>
  <c r="A6508" i="2"/>
  <c r="A6507" i="2"/>
  <c r="A6506" i="2"/>
  <c r="A6505" i="2"/>
  <c r="A6504" i="2"/>
  <c r="A6503" i="2"/>
  <c r="A6502" i="2"/>
  <c r="A6501" i="2"/>
  <c r="A6500" i="2"/>
  <c r="A6499" i="2"/>
  <c r="A6498" i="2"/>
  <c r="A6497" i="2"/>
  <c r="A6496" i="2"/>
  <c r="A6495" i="2"/>
  <c r="A6494" i="2"/>
  <c r="A6493" i="2"/>
  <c r="A6492" i="2"/>
  <c r="A6491" i="2"/>
  <c r="A6490" i="2"/>
  <c r="A6489" i="2"/>
  <c r="A6488" i="2"/>
  <c r="A6487" i="2"/>
  <c r="A6486" i="2"/>
  <c r="A6485" i="2"/>
  <c r="A6484" i="2"/>
  <c r="A6483" i="2"/>
  <c r="A6482" i="2"/>
  <c r="A6481" i="2"/>
  <c r="A6480" i="2"/>
  <c r="A6479" i="2"/>
  <c r="A6478" i="2"/>
  <c r="A6477" i="2"/>
  <c r="A6476" i="2"/>
  <c r="A6475" i="2"/>
  <c r="A6474" i="2"/>
  <c r="A6473" i="2"/>
  <c r="A6472" i="2"/>
  <c r="A6471" i="2"/>
  <c r="A6470" i="2"/>
  <c r="A6469" i="2"/>
  <c r="A6468" i="2"/>
  <c r="A6467" i="2"/>
  <c r="A6466" i="2"/>
  <c r="A6465" i="2"/>
  <c r="A6464" i="2"/>
  <c r="A6463" i="2"/>
  <c r="A6462" i="2"/>
  <c r="A6461" i="2"/>
  <c r="A6460" i="2"/>
  <c r="A6459" i="2"/>
  <c r="A6458" i="2"/>
  <c r="A6457" i="2"/>
  <c r="A6456" i="2"/>
  <c r="A6455" i="2"/>
  <c r="A6454" i="2"/>
  <c r="A6453" i="2"/>
  <c r="A6452" i="2"/>
  <c r="A6451" i="2"/>
  <c r="A6450" i="2"/>
  <c r="A6449" i="2"/>
  <c r="A6448" i="2"/>
  <c r="A6447" i="2"/>
  <c r="A6446" i="2"/>
  <c r="A6445" i="2"/>
  <c r="A6444" i="2"/>
  <c r="A6443" i="2"/>
  <c r="A6442" i="2"/>
  <c r="A6441" i="2"/>
  <c r="A6440" i="2"/>
  <c r="A6439" i="2"/>
  <c r="A6438" i="2"/>
  <c r="A6437" i="2"/>
  <c r="A6436" i="2"/>
  <c r="A6435" i="2"/>
  <c r="A6434" i="2"/>
  <c r="A6433" i="2"/>
  <c r="A6432" i="2"/>
  <c r="A6431" i="2"/>
  <c r="A6430" i="2"/>
  <c r="A6429" i="2"/>
  <c r="A6428" i="2"/>
  <c r="A6427" i="2"/>
  <c r="A6426" i="2"/>
  <c r="A6425" i="2"/>
  <c r="A6424" i="2"/>
  <c r="A6423" i="2"/>
  <c r="A6422" i="2"/>
  <c r="A6421" i="2"/>
  <c r="A6420" i="2"/>
  <c r="A6419" i="2"/>
  <c r="A6418" i="2"/>
  <c r="A6417" i="2"/>
  <c r="A6416" i="2"/>
  <c r="A6415" i="2"/>
  <c r="A6414" i="2"/>
  <c r="A6413" i="2"/>
  <c r="A6412" i="2"/>
  <c r="A6411" i="2"/>
  <c r="A6410" i="2"/>
  <c r="A6409" i="2"/>
  <c r="A6408" i="2"/>
  <c r="A6407" i="2"/>
  <c r="A6406" i="2"/>
  <c r="A6405" i="2"/>
  <c r="A6404" i="2"/>
  <c r="A6403" i="2"/>
  <c r="A6402" i="2"/>
  <c r="A6401" i="2"/>
  <c r="A6400" i="2"/>
  <c r="A6399" i="2"/>
  <c r="A6398" i="2"/>
  <c r="A6397" i="2"/>
  <c r="A6396" i="2"/>
  <c r="A6395" i="2"/>
  <c r="A6394" i="2"/>
  <c r="A6393" i="2"/>
  <c r="A6392" i="2"/>
  <c r="A6391" i="2"/>
  <c r="A6390" i="2"/>
  <c r="A6389" i="2"/>
  <c r="A6388" i="2"/>
  <c r="A6387" i="2"/>
  <c r="A6386" i="2"/>
  <c r="A6385" i="2"/>
  <c r="A6384" i="2"/>
  <c r="A6383" i="2"/>
  <c r="A6382" i="2"/>
  <c r="A6381" i="2"/>
  <c r="A6380" i="2"/>
  <c r="A6379" i="2"/>
  <c r="A6378" i="2"/>
  <c r="A6377" i="2"/>
  <c r="A6376" i="2"/>
  <c r="A6375" i="2"/>
  <c r="A6374" i="2"/>
  <c r="A6373" i="2"/>
  <c r="A6372" i="2"/>
  <c r="A6371" i="2"/>
  <c r="A6370" i="2"/>
  <c r="A6369" i="2"/>
  <c r="A6368" i="2"/>
  <c r="A6367" i="2"/>
  <c r="A6366" i="2"/>
  <c r="A6365" i="2"/>
  <c r="A6364" i="2"/>
  <c r="A6363" i="2"/>
  <c r="A6362" i="2"/>
  <c r="A6361" i="2"/>
  <c r="A6360" i="2"/>
  <c r="A6359" i="2"/>
  <c r="A6358" i="2"/>
  <c r="A6357" i="2"/>
  <c r="A6356" i="2"/>
  <c r="A6355" i="2"/>
  <c r="A6354" i="2"/>
  <c r="A6353" i="2"/>
  <c r="A6352" i="2"/>
  <c r="A6351" i="2"/>
  <c r="A6350" i="2"/>
  <c r="A6349" i="2"/>
  <c r="A6348" i="2"/>
  <c r="A6347" i="2"/>
  <c r="A6346" i="2"/>
  <c r="A6345" i="2"/>
  <c r="A6344" i="2"/>
  <c r="A6343" i="2"/>
  <c r="A6342" i="2"/>
  <c r="A6341" i="2"/>
  <c r="A6340" i="2"/>
  <c r="A6339" i="2"/>
  <c r="A6338" i="2"/>
  <c r="A6337" i="2"/>
  <c r="A6336" i="2"/>
  <c r="A6335" i="2"/>
  <c r="A6334" i="2"/>
  <c r="A6333" i="2"/>
  <c r="A6332" i="2"/>
  <c r="A6331" i="2"/>
  <c r="A6330" i="2"/>
  <c r="A6329" i="2"/>
  <c r="A6328" i="2"/>
  <c r="A6327" i="2"/>
  <c r="A6326" i="2"/>
  <c r="A6325" i="2"/>
  <c r="A6324" i="2"/>
  <c r="A6323" i="2"/>
  <c r="A6322" i="2"/>
  <c r="A6321" i="2"/>
  <c r="A6320" i="2"/>
  <c r="A6319" i="2"/>
  <c r="A6318" i="2"/>
  <c r="A6317" i="2"/>
  <c r="A6316" i="2"/>
  <c r="A6315" i="2"/>
  <c r="A6314" i="2"/>
  <c r="A6313" i="2"/>
  <c r="A6312" i="2"/>
  <c r="A6311" i="2"/>
  <c r="A6310" i="2"/>
  <c r="A6309" i="2"/>
  <c r="A6308" i="2"/>
  <c r="A6307" i="2"/>
  <c r="A6306" i="2"/>
  <c r="A6305" i="2"/>
  <c r="A6304" i="2"/>
  <c r="A6303" i="2"/>
  <c r="A6302" i="2"/>
  <c r="A6301" i="2"/>
  <c r="A6300" i="2"/>
  <c r="A6299" i="2"/>
  <c r="A6298" i="2"/>
  <c r="A6297" i="2"/>
  <c r="A6296" i="2"/>
  <c r="A6295" i="2"/>
  <c r="A6294" i="2"/>
  <c r="A6293" i="2"/>
  <c r="A6292" i="2"/>
  <c r="A6291" i="2"/>
  <c r="A6290" i="2"/>
  <c r="A6289" i="2"/>
  <c r="A6288" i="2"/>
  <c r="A6287" i="2"/>
  <c r="A6286" i="2"/>
  <c r="A6285" i="2"/>
  <c r="A6284" i="2"/>
  <c r="A6283" i="2"/>
  <c r="A6282" i="2"/>
  <c r="A6281" i="2"/>
  <c r="A6280" i="2"/>
  <c r="A6279" i="2"/>
  <c r="A6278" i="2"/>
  <c r="A6277" i="2"/>
  <c r="A6276" i="2"/>
  <c r="A6275" i="2"/>
  <c r="A6274" i="2"/>
  <c r="A6273" i="2"/>
  <c r="A6272" i="2"/>
  <c r="A6271" i="2"/>
  <c r="A6270" i="2"/>
  <c r="A6269" i="2"/>
  <c r="A6268" i="2"/>
  <c r="A6267" i="2"/>
  <c r="A6266" i="2"/>
  <c r="A6265" i="2"/>
  <c r="A6264" i="2"/>
  <c r="A6263" i="2"/>
  <c r="A6262" i="2"/>
  <c r="A6261" i="2"/>
  <c r="A6260" i="2"/>
  <c r="A6259" i="2"/>
  <c r="A6258" i="2"/>
  <c r="A6257" i="2"/>
  <c r="A6256" i="2"/>
  <c r="A6255" i="2"/>
  <c r="A6254" i="2"/>
  <c r="A6253" i="2"/>
  <c r="A6252" i="2"/>
  <c r="A6251" i="2"/>
  <c r="A6250" i="2"/>
  <c r="A6249" i="2"/>
  <c r="A6248" i="2"/>
  <c r="A6247" i="2"/>
  <c r="A6246" i="2"/>
  <c r="A6245" i="2"/>
  <c r="A6244" i="2"/>
  <c r="A6243" i="2"/>
  <c r="A6242" i="2"/>
  <c r="A6241" i="2"/>
  <c r="A6240" i="2"/>
  <c r="A6239" i="2"/>
  <c r="A6238" i="2"/>
  <c r="A6237" i="2"/>
  <c r="A6236" i="2"/>
  <c r="A6235" i="2"/>
  <c r="A6234" i="2"/>
  <c r="A6233" i="2"/>
  <c r="A6232" i="2"/>
  <c r="A6231" i="2"/>
  <c r="A6230" i="2"/>
  <c r="A6229" i="2"/>
  <c r="A6228" i="2"/>
  <c r="A6227" i="2"/>
  <c r="A6226" i="2"/>
  <c r="A6225" i="2"/>
  <c r="A6224" i="2"/>
  <c r="A6223" i="2"/>
  <c r="A6222" i="2"/>
  <c r="A6221" i="2"/>
  <c r="A6220" i="2"/>
  <c r="A6219" i="2"/>
  <c r="A6218" i="2"/>
  <c r="A6217" i="2"/>
  <c r="A6216" i="2"/>
  <c r="A6215" i="2"/>
  <c r="A6214" i="2"/>
  <c r="A6213" i="2"/>
  <c r="A6212" i="2"/>
  <c r="A6211" i="2"/>
  <c r="A6210" i="2"/>
  <c r="A6209" i="2"/>
  <c r="A6208" i="2"/>
  <c r="A6207" i="2"/>
  <c r="A6206" i="2"/>
  <c r="A6205" i="2"/>
  <c r="A6204" i="2"/>
  <c r="A6203" i="2"/>
  <c r="A6202" i="2"/>
  <c r="A6201" i="2"/>
  <c r="A6200" i="2"/>
  <c r="A6199" i="2"/>
  <c r="A6198" i="2"/>
  <c r="A6197" i="2"/>
  <c r="A6196" i="2"/>
  <c r="A6195" i="2"/>
  <c r="A6194" i="2"/>
  <c r="A6193" i="2"/>
  <c r="A6192" i="2"/>
  <c r="A6191" i="2"/>
  <c r="A6190" i="2"/>
  <c r="A6189" i="2"/>
  <c r="A6188" i="2"/>
  <c r="A6187" i="2"/>
  <c r="A6186" i="2"/>
  <c r="A6185" i="2"/>
  <c r="A6184" i="2"/>
  <c r="A6183" i="2"/>
  <c r="A6182" i="2"/>
  <c r="A6181" i="2"/>
  <c r="A6180" i="2"/>
  <c r="A6179" i="2"/>
  <c r="A6178" i="2"/>
  <c r="A6177" i="2"/>
  <c r="A6176" i="2"/>
  <c r="A6175" i="2"/>
  <c r="A6174" i="2"/>
  <c r="A6173" i="2"/>
  <c r="A6172" i="2"/>
  <c r="A6171" i="2"/>
  <c r="A6170" i="2"/>
  <c r="A6169" i="2"/>
  <c r="A6168" i="2"/>
  <c r="A6167" i="2"/>
  <c r="A6166" i="2"/>
  <c r="A6165" i="2"/>
  <c r="A6164" i="2"/>
  <c r="A6163" i="2"/>
  <c r="A6162" i="2"/>
  <c r="A6161" i="2"/>
  <c r="A6160" i="2"/>
  <c r="A6159" i="2"/>
  <c r="A6158" i="2"/>
  <c r="A6157" i="2"/>
  <c r="A6156" i="2"/>
  <c r="A6155" i="2"/>
  <c r="A6154" i="2"/>
  <c r="A6153" i="2"/>
  <c r="A6152" i="2"/>
  <c r="A6151" i="2"/>
  <c r="A6150" i="2"/>
  <c r="A6149" i="2"/>
  <c r="A6148" i="2"/>
  <c r="A6147" i="2"/>
  <c r="A6146" i="2"/>
  <c r="A6145" i="2"/>
  <c r="A6144" i="2"/>
  <c r="A6143" i="2"/>
  <c r="A6142" i="2"/>
  <c r="A6141" i="2"/>
  <c r="A6140" i="2"/>
  <c r="A6139" i="2"/>
  <c r="A6138" i="2"/>
  <c r="A6137" i="2"/>
  <c r="A6136" i="2"/>
  <c r="A6135" i="2"/>
  <c r="A6134" i="2"/>
  <c r="A6133" i="2"/>
  <c r="A6132" i="2"/>
  <c r="A6131" i="2"/>
  <c r="A6130" i="2"/>
  <c r="A6129" i="2"/>
  <c r="A6128" i="2"/>
  <c r="A6127" i="2"/>
  <c r="A6126" i="2"/>
  <c r="A6125" i="2"/>
  <c r="A6124" i="2"/>
  <c r="A6123" i="2"/>
  <c r="A6122" i="2"/>
  <c r="A6121" i="2"/>
  <c r="A6120" i="2"/>
  <c r="A6119" i="2"/>
  <c r="A6118" i="2"/>
  <c r="A6117" i="2"/>
  <c r="A6116" i="2"/>
  <c r="A6115" i="2"/>
  <c r="A6114" i="2"/>
  <c r="A6113" i="2"/>
  <c r="A6112" i="2"/>
  <c r="A6111" i="2"/>
  <c r="A6110" i="2"/>
  <c r="A6109" i="2"/>
  <c r="A6108" i="2"/>
  <c r="A6107" i="2"/>
  <c r="A6106" i="2"/>
  <c r="A6105" i="2"/>
  <c r="A6104" i="2"/>
  <c r="A6103" i="2"/>
  <c r="A6102" i="2"/>
  <c r="A6101" i="2"/>
  <c r="A6100" i="2"/>
  <c r="A6099" i="2"/>
  <c r="A6098" i="2"/>
  <c r="A6097" i="2"/>
  <c r="A6096" i="2"/>
  <c r="A6095" i="2"/>
  <c r="A6094" i="2"/>
  <c r="A6093" i="2"/>
  <c r="A6092" i="2"/>
  <c r="A6091" i="2"/>
  <c r="A6090" i="2"/>
  <c r="A6089" i="2"/>
  <c r="A6088" i="2"/>
  <c r="A6087" i="2"/>
  <c r="A6086" i="2"/>
  <c r="A6085" i="2"/>
  <c r="A6084" i="2"/>
  <c r="A6083" i="2"/>
  <c r="A6082" i="2"/>
  <c r="A6081" i="2"/>
  <c r="A6080" i="2"/>
  <c r="A6079" i="2"/>
  <c r="A6078" i="2"/>
  <c r="A6077" i="2"/>
  <c r="A6076" i="2"/>
  <c r="A6075" i="2"/>
  <c r="A6074" i="2"/>
  <c r="A6073" i="2"/>
  <c r="A6072" i="2"/>
  <c r="A6071" i="2"/>
  <c r="A6070" i="2"/>
  <c r="A6069" i="2"/>
  <c r="A6068" i="2"/>
  <c r="A6067" i="2"/>
  <c r="A6066" i="2"/>
  <c r="A6065" i="2"/>
  <c r="A6064" i="2"/>
  <c r="A6063" i="2"/>
  <c r="A6062" i="2"/>
  <c r="A6061" i="2"/>
  <c r="A6060" i="2"/>
  <c r="A6059" i="2"/>
  <c r="A6058" i="2"/>
  <c r="A6057" i="2"/>
  <c r="A6056" i="2"/>
  <c r="A6055" i="2"/>
  <c r="A6054" i="2"/>
  <c r="A6053" i="2"/>
  <c r="A6052" i="2"/>
  <c r="A6051" i="2"/>
  <c r="A6050" i="2"/>
  <c r="A6049" i="2"/>
  <c r="A6048" i="2"/>
  <c r="A6047" i="2"/>
  <c r="A6046" i="2"/>
  <c r="A6045" i="2"/>
  <c r="A6044" i="2"/>
  <c r="A6043" i="2"/>
  <c r="A6042" i="2"/>
  <c r="A6041" i="2"/>
  <c r="A6040" i="2"/>
  <c r="A6039" i="2"/>
  <c r="A6038" i="2"/>
  <c r="A6037" i="2"/>
  <c r="A6036" i="2"/>
  <c r="A6035" i="2"/>
  <c r="A6034" i="2"/>
  <c r="A6033" i="2"/>
  <c r="A6032" i="2"/>
  <c r="A6031" i="2"/>
  <c r="A6030" i="2"/>
  <c r="A6029" i="2"/>
  <c r="A6028" i="2"/>
  <c r="A6027" i="2"/>
  <c r="A6026" i="2"/>
  <c r="A6025" i="2"/>
  <c r="A6024" i="2"/>
  <c r="A6023" i="2"/>
  <c r="A6022" i="2"/>
  <c r="A6021" i="2"/>
  <c r="A6020" i="2"/>
  <c r="A6019" i="2"/>
  <c r="A6018" i="2"/>
  <c r="A6017" i="2"/>
  <c r="A6016" i="2"/>
  <c r="A6015" i="2"/>
  <c r="A6014" i="2"/>
  <c r="A6013" i="2"/>
  <c r="A6012" i="2"/>
  <c r="A6011" i="2"/>
  <c r="A6010" i="2"/>
  <c r="A6009" i="2"/>
  <c r="A6008" i="2"/>
  <c r="A6007" i="2"/>
  <c r="A6006" i="2"/>
  <c r="A6005" i="2"/>
  <c r="A6004" i="2"/>
  <c r="A6003" i="2"/>
  <c r="A6002" i="2"/>
  <c r="A6001" i="2"/>
  <c r="A6000" i="2"/>
  <c r="A5999" i="2"/>
  <c r="A5998" i="2"/>
  <c r="A5997" i="2"/>
  <c r="A5996" i="2"/>
  <c r="A5995" i="2"/>
  <c r="A5994" i="2"/>
  <c r="A5993" i="2"/>
  <c r="A5992" i="2"/>
  <c r="A5991" i="2"/>
  <c r="A5990" i="2"/>
  <c r="A5989" i="2"/>
  <c r="A5988" i="2"/>
  <c r="A5987" i="2"/>
  <c r="A5986" i="2"/>
  <c r="A5985" i="2"/>
  <c r="A5984" i="2"/>
  <c r="A5983" i="2"/>
  <c r="A5982" i="2"/>
  <c r="A5981" i="2"/>
  <c r="A5980" i="2"/>
  <c r="A5979" i="2"/>
  <c r="A5978" i="2"/>
  <c r="A5977" i="2"/>
  <c r="A5976" i="2"/>
  <c r="A5975" i="2"/>
  <c r="A5974" i="2"/>
  <c r="A5973" i="2"/>
  <c r="A5972" i="2"/>
  <c r="A5971" i="2"/>
  <c r="A5970" i="2"/>
  <c r="A5969" i="2"/>
  <c r="A5968" i="2"/>
  <c r="A5967" i="2"/>
  <c r="A5966" i="2"/>
  <c r="A5965" i="2"/>
  <c r="A5964" i="2"/>
  <c r="A5963" i="2"/>
  <c r="A5962" i="2"/>
  <c r="A5961" i="2"/>
  <c r="A5960" i="2"/>
  <c r="A5959" i="2"/>
  <c r="A5958" i="2"/>
  <c r="A5957" i="2"/>
  <c r="A5956" i="2"/>
  <c r="A5955" i="2"/>
  <c r="A5954" i="2"/>
  <c r="A5953" i="2"/>
  <c r="A5952" i="2"/>
  <c r="A5951" i="2"/>
  <c r="A5950" i="2"/>
  <c r="A5949" i="2"/>
  <c r="A5948" i="2"/>
  <c r="A5947" i="2"/>
  <c r="A5946" i="2"/>
  <c r="A5945" i="2"/>
  <c r="A5944" i="2"/>
  <c r="A5943" i="2"/>
  <c r="A5942" i="2"/>
  <c r="A5941" i="2"/>
  <c r="A5940" i="2"/>
  <c r="A5939" i="2"/>
  <c r="A5938" i="2"/>
  <c r="A5937" i="2"/>
  <c r="A5936" i="2"/>
  <c r="A5935" i="2"/>
  <c r="A5934" i="2"/>
  <c r="A5933" i="2"/>
  <c r="A5932" i="2"/>
  <c r="A5931" i="2"/>
  <c r="A5930" i="2"/>
  <c r="A5929" i="2"/>
  <c r="A5928" i="2"/>
  <c r="A5927" i="2"/>
  <c r="A5926" i="2"/>
  <c r="A5925" i="2"/>
  <c r="A5924" i="2"/>
  <c r="A5923" i="2"/>
  <c r="A5922" i="2"/>
  <c r="A5921" i="2"/>
  <c r="A5920" i="2"/>
  <c r="A5919" i="2"/>
  <c r="A5918" i="2"/>
  <c r="A5917" i="2"/>
  <c r="A5916" i="2"/>
  <c r="A5915" i="2"/>
  <c r="A5914" i="2"/>
  <c r="A5913" i="2"/>
  <c r="A5912" i="2"/>
  <c r="A5911" i="2"/>
  <c r="A5910" i="2"/>
  <c r="A5909" i="2"/>
  <c r="A5908" i="2"/>
  <c r="A5907" i="2"/>
  <c r="A5906" i="2"/>
  <c r="A5905" i="2"/>
  <c r="A5904" i="2"/>
  <c r="A5903" i="2"/>
  <c r="A5902" i="2"/>
  <c r="A5901" i="2"/>
  <c r="A5900" i="2"/>
  <c r="A5899" i="2"/>
  <c r="A5898" i="2"/>
  <c r="A5897" i="2"/>
  <c r="A5896" i="2"/>
  <c r="A5895" i="2"/>
  <c r="A5894" i="2"/>
  <c r="A5893" i="2"/>
  <c r="A5892" i="2"/>
  <c r="A5891" i="2"/>
  <c r="A5890" i="2"/>
  <c r="A5889" i="2"/>
  <c r="A5888" i="2"/>
  <c r="A5887" i="2"/>
  <c r="A5886" i="2"/>
  <c r="A5885" i="2"/>
  <c r="A5884" i="2"/>
  <c r="A5883" i="2"/>
  <c r="A5882" i="2"/>
  <c r="A5881" i="2"/>
  <c r="A5880" i="2"/>
  <c r="A5879" i="2"/>
  <c r="A5878" i="2"/>
  <c r="A5877" i="2"/>
  <c r="A5876" i="2"/>
  <c r="A5875" i="2"/>
  <c r="A5874" i="2"/>
  <c r="A5873" i="2"/>
  <c r="A5872" i="2"/>
  <c r="A5871" i="2"/>
  <c r="A5870" i="2"/>
  <c r="A5869" i="2"/>
  <c r="A5868" i="2"/>
  <c r="A5867" i="2"/>
  <c r="A5866" i="2"/>
  <c r="A5865" i="2"/>
  <c r="A5864" i="2"/>
  <c r="A5863" i="2"/>
  <c r="A5862" i="2"/>
  <c r="A5861" i="2"/>
  <c r="A5860" i="2"/>
  <c r="A5859" i="2"/>
  <c r="A5858" i="2"/>
  <c r="A5857" i="2"/>
  <c r="A5856" i="2"/>
  <c r="A5855" i="2"/>
  <c r="A5854" i="2"/>
  <c r="A5853" i="2"/>
  <c r="A5852" i="2"/>
  <c r="A5851" i="2"/>
  <c r="A5850" i="2"/>
  <c r="A5849" i="2"/>
  <c r="A5848" i="2"/>
  <c r="A5847" i="2"/>
  <c r="A5846" i="2"/>
  <c r="A5845" i="2"/>
  <c r="A5844" i="2"/>
  <c r="A5843" i="2"/>
  <c r="A5842" i="2"/>
  <c r="A5841" i="2"/>
  <c r="A5840" i="2"/>
  <c r="A5839" i="2"/>
  <c r="A5838" i="2"/>
  <c r="A5837" i="2"/>
  <c r="A5836" i="2"/>
  <c r="A5835" i="2"/>
  <c r="A5834" i="2"/>
  <c r="A5833" i="2"/>
  <c r="A5832" i="2"/>
  <c r="A5831" i="2"/>
  <c r="A5830" i="2"/>
  <c r="A5829" i="2"/>
  <c r="A5828" i="2"/>
  <c r="A5827" i="2"/>
  <c r="A5826" i="2"/>
  <c r="A5825" i="2"/>
  <c r="A5824" i="2"/>
  <c r="A5823" i="2"/>
  <c r="A5822" i="2"/>
  <c r="A5821" i="2"/>
  <c r="A5820" i="2"/>
  <c r="A5819" i="2"/>
  <c r="A5818" i="2"/>
  <c r="A5817" i="2"/>
  <c r="A5816" i="2"/>
  <c r="A5815" i="2"/>
  <c r="A5814" i="2"/>
  <c r="A5813" i="2"/>
  <c r="A5812" i="2"/>
  <c r="A5811" i="2"/>
  <c r="A5810" i="2"/>
  <c r="A5809" i="2"/>
  <c r="A5808" i="2"/>
  <c r="A5807" i="2"/>
  <c r="A5806" i="2"/>
  <c r="A5805" i="2"/>
  <c r="A5804" i="2"/>
  <c r="A5803" i="2"/>
  <c r="A5802" i="2"/>
  <c r="A5801" i="2"/>
  <c r="A5800" i="2"/>
  <c r="A5799" i="2"/>
  <c r="A5798" i="2"/>
  <c r="A5797" i="2"/>
  <c r="A5796" i="2"/>
  <c r="A5795" i="2"/>
  <c r="A5794" i="2"/>
  <c r="A5793" i="2"/>
  <c r="A5792" i="2"/>
  <c r="A5791" i="2"/>
  <c r="A5790" i="2"/>
  <c r="A5789" i="2"/>
  <c r="A5788" i="2"/>
  <c r="A5787" i="2"/>
  <c r="A5786" i="2"/>
  <c r="A5785" i="2"/>
  <c r="A5784" i="2"/>
  <c r="A5783" i="2"/>
  <c r="A5782" i="2"/>
  <c r="A5781" i="2"/>
  <c r="A5780" i="2"/>
  <c r="A5779" i="2"/>
  <c r="A5778" i="2"/>
  <c r="A5777" i="2"/>
  <c r="A5776" i="2"/>
  <c r="A5775" i="2"/>
  <c r="A5774" i="2"/>
  <c r="A5773" i="2"/>
  <c r="A5772" i="2"/>
  <c r="A5771" i="2"/>
  <c r="A5770" i="2"/>
  <c r="A5769" i="2"/>
  <c r="A5768" i="2"/>
  <c r="A5767" i="2"/>
  <c r="A5766" i="2"/>
  <c r="A5765" i="2"/>
  <c r="A5764" i="2"/>
  <c r="A5763" i="2"/>
  <c r="A5762" i="2"/>
  <c r="A5761" i="2"/>
  <c r="A5760" i="2"/>
  <c r="A5759" i="2"/>
  <c r="A5758" i="2"/>
  <c r="A5757" i="2"/>
  <c r="A5756" i="2"/>
  <c r="A5755" i="2"/>
  <c r="A5754" i="2"/>
  <c r="A5753" i="2"/>
  <c r="A5752" i="2"/>
  <c r="A5751" i="2"/>
  <c r="A5750" i="2"/>
  <c r="A5749" i="2"/>
  <c r="A5748" i="2"/>
  <c r="A5747" i="2"/>
  <c r="A5746" i="2"/>
  <c r="A5745" i="2"/>
  <c r="A5744" i="2"/>
  <c r="A5743" i="2"/>
  <c r="A5742" i="2"/>
  <c r="A5741" i="2"/>
  <c r="A5740" i="2"/>
  <c r="A5739" i="2"/>
  <c r="A5738" i="2"/>
  <c r="A5737" i="2"/>
  <c r="A5736" i="2"/>
  <c r="A5735" i="2"/>
  <c r="A5734" i="2"/>
  <c r="A5733" i="2"/>
  <c r="A5732" i="2"/>
  <c r="A5731" i="2"/>
  <c r="A5730" i="2"/>
  <c r="A5729" i="2"/>
  <c r="A5728" i="2"/>
  <c r="A5727" i="2"/>
  <c r="A5726" i="2"/>
  <c r="A5725" i="2"/>
  <c r="A5724" i="2"/>
  <c r="A5723" i="2"/>
  <c r="A5722" i="2"/>
  <c r="A5721" i="2"/>
  <c r="A5720" i="2"/>
  <c r="A5719" i="2"/>
  <c r="A5718" i="2"/>
  <c r="A5717" i="2"/>
  <c r="A5716" i="2"/>
  <c r="A5715" i="2"/>
  <c r="A5714" i="2"/>
  <c r="A5713" i="2"/>
  <c r="A5712" i="2"/>
  <c r="A5711" i="2"/>
  <c r="A5710" i="2"/>
  <c r="A5709" i="2"/>
  <c r="A5708" i="2"/>
  <c r="A5707" i="2"/>
  <c r="A5706" i="2"/>
  <c r="A5705" i="2"/>
  <c r="A5704" i="2"/>
  <c r="A5703" i="2"/>
  <c r="A5702" i="2"/>
  <c r="A5701" i="2"/>
  <c r="A5700" i="2"/>
  <c r="A5699" i="2"/>
  <c r="A5698" i="2"/>
  <c r="A5697" i="2"/>
  <c r="A5696" i="2"/>
  <c r="A5695" i="2"/>
  <c r="A5694" i="2"/>
  <c r="A5693" i="2"/>
  <c r="A5692" i="2"/>
  <c r="A5691" i="2"/>
  <c r="A5690" i="2"/>
  <c r="A5689" i="2"/>
  <c r="A5688" i="2"/>
  <c r="A5687" i="2"/>
  <c r="A5686" i="2"/>
  <c r="A5685" i="2"/>
  <c r="A5684" i="2"/>
  <c r="A5683" i="2"/>
  <c r="A5682" i="2"/>
  <c r="A5681" i="2"/>
  <c r="A5680" i="2"/>
  <c r="A5679" i="2"/>
  <c r="A5678" i="2"/>
  <c r="A5677" i="2"/>
  <c r="A5676" i="2"/>
  <c r="A5675" i="2"/>
  <c r="A5674" i="2"/>
  <c r="A5673" i="2"/>
  <c r="A5672" i="2"/>
  <c r="A5671" i="2"/>
  <c r="A5670" i="2"/>
  <c r="A5669" i="2"/>
  <c r="A5668" i="2"/>
  <c r="A5667" i="2"/>
  <c r="A5666" i="2"/>
  <c r="A5665" i="2"/>
  <c r="A5664" i="2"/>
  <c r="A5663" i="2"/>
  <c r="A5662" i="2"/>
  <c r="A5661" i="2"/>
  <c r="A5660" i="2"/>
  <c r="A5659" i="2"/>
  <c r="A5658" i="2"/>
  <c r="A5657" i="2"/>
  <c r="A5656" i="2"/>
  <c r="A5655" i="2"/>
  <c r="A5654" i="2"/>
  <c r="A5653" i="2"/>
  <c r="A5652" i="2"/>
  <c r="A5651" i="2"/>
  <c r="A5650" i="2"/>
  <c r="A5649" i="2"/>
  <c r="A5648" i="2"/>
  <c r="A5647" i="2"/>
  <c r="A5646" i="2"/>
  <c r="A5645" i="2"/>
  <c r="A5644" i="2"/>
  <c r="A5643" i="2"/>
  <c r="A5642" i="2"/>
  <c r="A5641" i="2"/>
  <c r="A5640" i="2"/>
  <c r="A5639" i="2"/>
  <c r="A5638" i="2"/>
  <c r="A5637" i="2"/>
  <c r="A5636" i="2"/>
  <c r="A5635" i="2"/>
  <c r="A5634" i="2"/>
  <c r="A5633" i="2"/>
  <c r="A5632" i="2"/>
  <c r="A5631" i="2"/>
  <c r="A5630" i="2"/>
  <c r="A5629" i="2"/>
  <c r="A5628" i="2"/>
  <c r="A5627" i="2"/>
  <c r="A5626" i="2"/>
  <c r="A5625" i="2"/>
  <c r="A5624" i="2"/>
  <c r="A5623" i="2"/>
  <c r="A5622" i="2"/>
  <c r="A5621" i="2"/>
  <c r="A5620" i="2"/>
  <c r="A5619" i="2"/>
  <c r="A5618" i="2"/>
  <c r="A5617" i="2"/>
  <c r="A5616" i="2"/>
  <c r="A5615" i="2"/>
  <c r="A5614" i="2"/>
  <c r="A5613" i="2"/>
  <c r="A5612" i="2"/>
  <c r="A5611" i="2"/>
  <c r="A5610" i="2"/>
  <c r="A5609" i="2"/>
  <c r="A5608" i="2"/>
  <c r="A5607" i="2"/>
  <c r="A5606" i="2"/>
  <c r="A5605" i="2"/>
  <c r="A5604" i="2"/>
  <c r="A5603" i="2"/>
  <c r="A5602" i="2"/>
  <c r="A5601" i="2"/>
  <c r="A5600" i="2"/>
  <c r="A5599" i="2"/>
  <c r="A5598" i="2"/>
  <c r="A5597" i="2"/>
  <c r="A5596" i="2"/>
  <c r="A5595" i="2"/>
  <c r="A5594" i="2"/>
  <c r="A5593" i="2"/>
  <c r="A5592" i="2"/>
  <c r="A5591" i="2"/>
  <c r="A5590" i="2"/>
  <c r="A5589" i="2"/>
  <c r="A5588" i="2"/>
  <c r="A5587" i="2"/>
  <c r="A5586" i="2"/>
  <c r="A5585" i="2"/>
  <c r="A5584" i="2"/>
  <c r="A5583" i="2"/>
  <c r="A5582" i="2"/>
  <c r="A5581" i="2"/>
  <c r="A5580" i="2"/>
  <c r="A5579" i="2"/>
  <c r="A5578" i="2"/>
  <c r="A5577" i="2"/>
  <c r="A5576" i="2"/>
  <c r="A5575" i="2"/>
  <c r="A5574" i="2"/>
  <c r="A5573" i="2"/>
  <c r="A5572" i="2"/>
  <c r="A5571" i="2"/>
  <c r="A5570" i="2"/>
  <c r="A5569" i="2"/>
  <c r="A5568" i="2"/>
  <c r="A5567" i="2"/>
  <c r="A5566" i="2"/>
  <c r="A5565" i="2"/>
  <c r="A5564" i="2"/>
  <c r="A5563" i="2"/>
  <c r="A5562" i="2"/>
  <c r="A5561" i="2"/>
  <c r="A5560" i="2"/>
  <c r="A5559" i="2"/>
  <c r="A5558" i="2"/>
  <c r="A5557" i="2"/>
  <c r="A5556" i="2"/>
  <c r="A5555" i="2"/>
  <c r="A5554" i="2"/>
  <c r="A5553" i="2"/>
  <c r="A5552" i="2"/>
  <c r="A5551" i="2"/>
  <c r="A5550" i="2"/>
  <c r="A5549" i="2"/>
  <c r="A5548" i="2"/>
  <c r="A5547" i="2"/>
  <c r="A5546" i="2"/>
  <c r="A5545" i="2"/>
  <c r="A5544" i="2"/>
  <c r="A5543" i="2"/>
  <c r="A5542" i="2"/>
  <c r="A5541" i="2"/>
  <c r="A5540" i="2"/>
  <c r="A5539" i="2"/>
  <c r="A5538" i="2"/>
  <c r="A5537" i="2"/>
  <c r="A5536" i="2"/>
  <c r="A5535" i="2"/>
  <c r="A5534" i="2"/>
  <c r="A5533" i="2"/>
  <c r="A5532" i="2"/>
  <c r="A5531" i="2"/>
  <c r="A5530" i="2"/>
  <c r="A5529" i="2"/>
  <c r="A5528" i="2"/>
  <c r="A5527" i="2"/>
  <c r="A5526" i="2"/>
  <c r="A5525" i="2"/>
  <c r="A5524" i="2"/>
  <c r="A5523" i="2"/>
  <c r="A5522" i="2"/>
  <c r="A5521" i="2"/>
  <c r="A5520" i="2"/>
  <c r="A5519" i="2"/>
  <c r="A5518" i="2"/>
  <c r="A5517" i="2"/>
  <c r="A5516" i="2"/>
  <c r="A5515" i="2"/>
  <c r="A5514" i="2"/>
  <c r="A5513" i="2"/>
  <c r="A5512" i="2"/>
  <c r="A5511" i="2"/>
  <c r="A5510" i="2"/>
  <c r="A5509" i="2"/>
  <c r="A5508" i="2"/>
  <c r="A5507" i="2"/>
  <c r="A5506" i="2"/>
  <c r="A5505" i="2"/>
  <c r="A5504" i="2"/>
  <c r="A5503" i="2"/>
  <c r="A5502" i="2"/>
  <c r="A5501" i="2"/>
  <c r="A5500" i="2"/>
  <c r="A5499" i="2"/>
  <c r="A5498" i="2"/>
  <c r="A5497" i="2"/>
  <c r="A5496" i="2"/>
  <c r="A5495" i="2"/>
  <c r="A5494" i="2"/>
  <c r="A5493" i="2"/>
  <c r="A5492" i="2"/>
  <c r="A5491" i="2"/>
  <c r="A5490" i="2"/>
  <c r="A5489" i="2"/>
  <c r="A5488" i="2"/>
  <c r="A5487" i="2"/>
  <c r="A5486" i="2"/>
  <c r="A5485" i="2"/>
  <c r="A5484" i="2"/>
  <c r="A5483" i="2"/>
  <c r="A5482" i="2"/>
  <c r="A5481" i="2"/>
  <c r="A5480" i="2"/>
  <c r="A5479" i="2"/>
  <c r="A5478" i="2"/>
  <c r="A5477" i="2"/>
  <c r="A5476" i="2"/>
  <c r="A5475" i="2"/>
  <c r="A5474" i="2"/>
  <c r="A5473" i="2"/>
  <c r="A5472" i="2"/>
  <c r="A5471" i="2"/>
  <c r="A5470" i="2"/>
  <c r="A5469" i="2"/>
  <c r="A5468" i="2"/>
  <c r="A5467" i="2"/>
  <c r="A5466" i="2"/>
  <c r="A5465" i="2"/>
  <c r="A5464" i="2"/>
  <c r="A5463" i="2"/>
  <c r="A5462" i="2"/>
  <c r="A5461" i="2"/>
  <c r="A5460" i="2"/>
  <c r="A5459" i="2"/>
  <c r="A5458" i="2"/>
  <c r="A5457" i="2"/>
  <c r="A5456" i="2"/>
  <c r="A5455" i="2"/>
  <c r="A5454" i="2"/>
  <c r="A5453" i="2"/>
  <c r="A5452" i="2"/>
  <c r="A5451" i="2"/>
  <c r="A5450" i="2"/>
  <c r="A5449" i="2"/>
  <c r="A5448" i="2"/>
  <c r="A5447" i="2"/>
  <c r="A5446" i="2"/>
  <c r="A5445" i="2"/>
  <c r="A5444" i="2"/>
  <c r="A5443" i="2"/>
  <c r="A5442" i="2"/>
  <c r="A5441" i="2"/>
  <c r="A5440" i="2"/>
  <c r="A5439" i="2"/>
  <c r="A5438" i="2"/>
  <c r="A5437" i="2"/>
  <c r="A5436" i="2"/>
  <c r="A5435" i="2"/>
  <c r="A5434" i="2"/>
  <c r="A5433" i="2"/>
  <c r="A5432" i="2"/>
  <c r="A5431" i="2"/>
  <c r="A5430" i="2"/>
  <c r="A5429" i="2"/>
  <c r="A5428" i="2"/>
  <c r="A5427" i="2"/>
  <c r="A5426" i="2"/>
  <c r="A5425" i="2"/>
  <c r="A5424" i="2"/>
  <c r="A5423" i="2"/>
  <c r="A5422" i="2"/>
  <c r="A5421" i="2"/>
  <c r="A5420" i="2"/>
  <c r="A5419" i="2"/>
  <c r="A5418" i="2"/>
  <c r="A5417" i="2"/>
  <c r="A5416" i="2"/>
  <c r="A5415" i="2"/>
  <c r="A5414" i="2"/>
  <c r="A5413" i="2"/>
  <c r="A5412" i="2"/>
  <c r="A5411" i="2"/>
  <c r="A5410" i="2"/>
  <c r="A5409" i="2"/>
  <c r="A5408" i="2"/>
  <c r="A5407" i="2"/>
  <c r="A5406" i="2"/>
  <c r="A5405" i="2"/>
  <c r="A5404" i="2"/>
  <c r="A5403" i="2"/>
  <c r="A5402" i="2"/>
  <c r="A5401" i="2"/>
  <c r="A5400" i="2"/>
  <c r="A5399" i="2"/>
  <c r="A5398" i="2"/>
  <c r="A5397" i="2"/>
  <c r="A5396" i="2"/>
  <c r="A5395" i="2"/>
  <c r="A5394" i="2"/>
  <c r="A5393" i="2"/>
  <c r="A5392" i="2"/>
  <c r="A5391" i="2"/>
  <c r="A5390" i="2"/>
  <c r="A5389" i="2"/>
  <c r="A5388" i="2"/>
  <c r="A5387" i="2"/>
  <c r="A5386" i="2"/>
  <c r="A5385" i="2"/>
  <c r="A5384" i="2"/>
  <c r="A5383" i="2"/>
  <c r="A5382" i="2"/>
  <c r="A5381" i="2"/>
  <c r="A5380" i="2"/>
  <c r="A5379" i="2"/>
  <c r="A5378" i="2"/>
  <c r="A5377" i="2"/>
  <c r="A5376" i="2"/>
  <c r="A5375" i="2"/>
  <c r="A5374" i="2"/>
  <c r="A5373" i="2"/>
  <c r="A5372" i="2"/>
  <c r="A5371" i="2"/>
  <c r="A5370" i="2"/>
  <c r="A5369" i="2"/>
  <c r="A5368" i="2"/>
  <c r="A5367" i="2"/>
  <c r="A5366" i="2"/>
  <c r="A5365" i="2"/>
  <c r="A5364" i="2"/>
  <c r="A5363" i="2"/>
  <c r="A5362" i="2"/>
  <c r="A5361" i="2"/>
  <c r="A5360" i="2"/>
  <c r="A5359" i="2"/>
  <c r="A5358" i="2"/>
  <c r="A5357" i="2"/>
  <c r="A5356" i="2"/>
  <c r="A5355" i="2"/>
  <c r="A5354" i="2"/>
  <c r="A5353" i="2"/>
  <c r="A5352" i="2"/>
  <c r="A5351" i="2"/>
  <c r="A5350" i="2"/>
  <c r="A5349" i="2"/>
  <c r="A5348" i="2"/>
  <c r="A5347" i="2"/>
  <c r="A5346" i="2"/>
  <c r="A5345" i="2"/>
  <c r="A5344" i="2"/>
  <c r="A5343" i="2"/>
  <c r="A5342" i="2"/>
  <c r="A5341" i="2"/>
  <c r="A5340" i="2"/>
  <c r="A5339" i="2"/>
  <c r="A5338" i="2"/>
  <c r="A5337" i="2"/>
  <c r="A5336" i="2"/>
  <c r="A5335" i="2"/>
  <c r="A5334" i="2"/>
  <c r="A5333" i="2"/>
  <c r="A5332" i="2"/>
  <c r="A5331" i="2"/>
  <c r="A5330" i="2"/>
  <c r="A5329" i="2"/>
  <c r="A5328" i="2"/>
  <c r="A5327" i="2"/>
  <c r="A5326" i="2"/>
  <c r="A5325" i="2"/>
  <c r="A5324" i="2"/>
  <c r="A5323" i="2"/>
  <c r="A5322" i="2"/>
  <c r="A5321" i="2"/>
  <c r="A5320" i="2"/>
  <c r="A5319" i="2"/>
  <c r="A5318" i="2"/>
  <c r="A5317" i="2"/>
  <c r="A5316" i="2"/>
  <c r="A5315" i="2"/>
  <c r="A5314" i="2"/>
  <c r="A5313" i="2"/>
  <c r="A5312" i="2"/>
  <c r="A5311" i="2"/>
  <c r="A5310" i="2"/>
  <c r="A5309" i="2"/>
  <c r="A5308" i="2"/>
  <c r="A5307" i="2"/>
  <c r="A5306" i="2"/>
  <c r="A5305" i="2"/>
  <c r="A5304" i="2"/>
  <c r="A5303" i="2"/>
  <c r="A5302" i="2"/>
  <c r="A5301" i="2"/>
  <c r="A5300" i="2"/>
  <c r="A5299" i="2"/>
  <c r="A5298" i="2"/>
  <c r="A5297" i="2"/>
  <c r="A5296" i="2"/>
  <c r="A5295" i="2"/>
  <c r="A5294" i="2"/>
  <c r="A5293" i="2"/>
  <c r="A5292" i="2"/>
  <c r="A5291" i="2"/>
  <c r="A5290" i="2"/>
  <c r="A5289" i="2"/>
  <c r="A5288" i="2"/>
  <c r="A5287" i="2"/>
  <c r="A5286" i="2"/>
  <c r="A5285" i="2"/>
  <c r="A5284" i="2"/>
  <c r="A5283" i="2"/>
  <c r="A5282" i="2"/>
  <c r="A5281" i="2"/>
  <c r="A5280" i="2"/>
  <c r="A5279" i="2"/>
  <c r="A5278" i="2"/>
  <c r="A5277" i="2"/>
  <c r="A5276" i="2"/>
  <c r="A5275" i="2"/>
  <c r="A5274" i="2"/>
  <c r="A5273" i="2"/>
  <c r="A5272" i="2"/>
  <c r="A5271" i="2"/>
  <c r="A5270" i="2"/>
  <c r="A5269" i="2"/>
  <c r="A5268" i="2"/>
  <c r="A5267" i="2"/>
  <c r="A5266" i="2"/>
  <c r="A5265" i="2"/>
  <c r="A5264" i="2"/>
  <c r="A5263" i="2"/>
  <c r="A5262" i="2"/>
  <c r="A5261" i="2"/>
  <c r="A5260" i="2"/>
  <c r="A5259" i="2"/>
  <c r="A5258" i="2"/>
  <c r="A5257" i="2"/>
  <c r="A5256" i="2"/>
  <c r="A5255" i="2"/>
  <c r="A5254" i="2"/>
  <c r="A5253" i="2"/>
  <c r="A5252" i="2"/>
  <c r="A5251" i="2"/>
  <c r="A5250" i="2"/>
  <c r="A5249" i="2"/>
  <c r="A5248" i="2"/>
  <c r="A5247" i="2"/>
  <c r="A5246" i="2"/>
  <c r="A5245" i="2"/>
  <c r="A5244" i="2"/>
  <c r="A5243" i="2"/>
  <c r="A5242" i="2"/>
  <c r="A5241" i="2"/>
  <c r="A5240" i="2"/>
  <c r="A5239" i="2"/>
  <c r="A5238" i="2"/>
  <c r="A5237" i="2"/>
  <c r="A5236" i="2"/>
  <c r="A5235" i="2"/>
  <c r="A5234" i="2"/>
  <c r="A5233" i="2"/>
  <c r="A5232" i="2"/>
  <c r="A5231" i="2"/>
  <c r="A5230" i="2"/>
  <c r="A5229" i="2"/>
  <c r="A5228" i="2"/>
  <c r="A5227" i="2"/>
  <c r="A5226" i="2"/>
  <c r="A5225" i="2"/>
  <c r="A5224" i="2"/>
  <c r="A5223" i="2"/>
  <c r="A5222" i="2"/>
  <c r="A5221" i="2"/>
  <c r="A5220" i="2"/>
  <c r="A5219" i="2"/>
  <c r="A5218" i="2"/>
  <c r="A5217" i="2"/>
  <c r="A5216" i="2"/>
  <c r="A5215" i="2"/>
  <c r="A5214" i="2"/>
  <c r="A5213" i="2"/>
  <c r="A5212" i="2"/>
  <c r="A5211" i="2"/>
  <c r="A5210" i="2"/>
  <c r="A5209" i="2"/>
  <c r="A5208" i="2"/>
  <c r="A5207" i="2"/>
  <c r="A5206" i="2"/>
  <c r="A5205" i="2"/>
  <c r="A5204" i="2"/>
  <c r="A5203" i="2"/>
  <c r="A5202" i="2"/>
  <c r="A5201" i="2"/>
  <c r="A5200" i="2"/>
  <c r="A5199" i="2"/>
  <c r="A5198" i="2"/>
  <c r="A5197" i="2"/>
  <c r="A5196" i="2"/>
  <c r="A5195" i="2"/>
  <c r="A5194" i="2"/>
  <c r="A5193" i="2"/>
  <c r="A5192" i="2"/>
  <c r="A5191" i="2"/>
  <c r="A5190" i="2"/>
  <c r="A5189" i="2"/>
  <c r="A5188" i="2"/>
  <c r="A5187" i="2"/>
  <c r="A5186" i="2"/>
  <c r="A5185" i="2"/>
  <c r="A5184" i="2"/>
  <c r="A5183" i="2"/>
  <c r="A5182" i="2"/>
  <c r="A5181" i="2"/>
  <c r="A5180" i="2"/>
  <c r="A5179" i="2"/>
  <c r="A5178" i="2"/>
  <c r="A5177" i="2"/>
  <c r="A5176" i="2"/>
  <c r="A5175" i="2"/>
  <c r="A5174" i="2"/>
  <c r="A5173" i="2"/>
  <c r="A5172" i="2"/>
  <c r="A5171" i="2"/>
  <c r="A5170" i="2"/>
  <c r="A5169" i="2"/>
  <c r="A5168" i="2"/>
  <c r="A5167" i="2"/>
  <c r="A5166" i="2"/>
  <c r="A5165" i="2"/>
  <c r="A5164" i="2"/>
  <c r="A5163" i="2"/>
  <c r="A5162" i="2"/>
  <c r="A5161" i="2"/>
  <c r="A5160" i="2"/>
  <c r="A5159" i="2"/>
  <c r="A5158" i="2"/>
  <c r="A5157" i="2"/>
  <c r="A5156" i="2"/>
  <c r="A5155" i="2"/>
  <c r="A5154" i="2"/>
  <c r="A5153" i="2"/>
  <c r="A5152" i="2"/>
  <c r="A5151" i="2"/>
  <c r="A5150" i="2"/>
  <c r="A5149" i="2"/>
  <c r="A5148" i="2"/>
  <c r="A5147" i="2"/>
  <c r="A5146" i="2"/>
  <c r="A5145" i="2"/>
  <c r="A5144" i="2"/>
  <c r="A5143" i="2"/>
  <c r="A5142" i="2"/>
  <c r="A5141" i="2"/>
  <c r="A5140" i="2"/>
  <c r="A5139" i="2"/>
  <c r="A5138" i="2"/>
  <c r="A5137" i="2"/>
  <c r="A5136" i="2"/>
  <c r="A5135" i="2"/>
  <c r="A5134" i="2"/>
  <c r="A5133" i="2"/>
  <c r="A5132" i="2"/>
  <c r="A5131" i="2"/>
  <c r="A5130" i="2"/>
  <c r="A5129" i="2"/>
  <c r="A5128" i="2"/>
  <c r="A5127" i="2"/>
  <c r="A5126" i="2"/>
  <c r="A5125" i="2"/>
  <c r="A5124" i="2"/>
  <c r="A5123" i="2"/>
  <c r="A5122" i="2"/>
  <c r="A5121" i="2"/>
  <c r="A5120" i="2"/>
  <c r="A5119" i="2"/>
  <c r="A5118" i="2"/>
  <c r="A5117" i="2"/>
  <c r="A5116" i="2"/>
  <c r="A5115" i="2"/>
  <c r="A5114" i="2"/>
  <c r="A5113" i="2"/>
  <c r="A5112" i="2"/>
  <c r="A5111" i="2"/>
  <c r="A5110" i="2"/>
  <c r="A5109" i="2"/>
  <c r="A5108" i="2"/>
  <c r="A5107" i="2"/>
  <c r="A5106" i="2"/>
  <c r="A5105" i="2"/>
  <c r="A5104" i="2"/>
  <c r="A5103" i="2"/>
  <c r="A5102" i="2"/>
  <c r="A5101" i="2"/>
  <c r="A5100" i="2"/>
  <c r="A5099" i="2"/>
  <c r="A5098" i="2"/>
  <c r="A5097" i="2"/>
  <c r="A5096" i="2"/>
  <c r="A5095" i="2"/>
  <c r="A5094" i="2"/>
  <c r="A5093" i="2"/>
  <c r="A5092" i="2"/>
  <c r="A5091" i="2"/>
  <c r="A5090" i="2"/>
  <c r="A5089" i="2"/>
  <c r="A5088" i="2"/>
  <c r="A5087" i="2"/>
  <c r="A5086" i="2"/>
  <c r="A5085" i="2"/>
  <c r="A5084" i="2"/>
  <c r="A5083" i="2"/>
  <c r="A5082" i="2"/>
  <c r="A5081" i="2"/>
  <c r="A5080" i="2"/>
  <c r="A5079" i="2"/>
  <c r="A5078" i="2"/>
  <c r="A5077" i="2"/>
  <c r="A5076" i="2"/>
  <c r="A5075" i="2"/>
  <c r="A5074" i="2"/>
  <c r="A5073" i="2"/>
  <c r="A5072" i="2"/>
  <c r="A5071" i="2"/>
  <c r="A5070" i="2"/>
  <c r="A5069" i="2"/>
  <c r="A5068" i="2"/>
  <c r="A5067" i="2"/>
  <c r="A5066" i="2"/>
  <c r="A5065" i="2"/>
  <c r="A5064" i="2"/>
  <c r="A5063" i="2"/>
  <c r="A5062" i="2"/>
  <c r="A5061" i="2"/>
  <c r="A5060" i="2"/>
  <c r="A5059" i="2"/>
  <c r="A5058" i="2"/>
  <c r="A5057" i="2"/>
  <c r="A5056" i="2"/>
  <c r="A5055" i="2"/>
  <c r="A5054" i="2"/>
  <c r="A5053" i="2"/>
  <c r="A5052" i="2"/>
  <c r="A5051" i="2"/>
  <c r="A5050" i="2"/>
  <c r="A5049" i="2"/>
  <c r="A5048" i="2"/>
  <c r="A5047" i="2"/>
  <c r="A5046" i="2"/>
  <c r="A5045" i="2"/>
  <c r="A5044" i="2"/>
  <c r="A5043" i="2"/>
  <c r="A5042" i="2"/>
  <c r="A5041" i="2"/>
  <c r="A5040" i="2"/>
  <c r="A5039" i="2"/>
  <c r="A5038" i="2"/>
  <c r="A5037" i="2"/>
  <c r="A5036" i="2"/>
  <c r="A5035" i="2"/>
  <c r="A5034" i="2"/>
  <c r="A5033" i="2"/>
  <c r="A5032" i="2"/>
  <c r="A5031" i="2"/>
  <c r="A5030" i="2"/>
  <c r="A5029" i="2"/>
  <c r="A5028" i="2"/>
  <c r="A5027" i="2"/>
  <c r="A5026" i="2"/>
  <c r="A5025" i="2"/>
  <c r="A5024" i="2"/>
  <c r="A5023" i="2"/>
  <c r="A5022" i="2"/>
  <c r="A5021" i="2"/>
  <c r="A5020" i="2"/>
  <c r="A5019" i="2"/>
  <c r="A5018" i="2"/>
  <c r="A5017" i="2"/>
  <c r="A5016" i="2"/>
  <c r="A5015" i="2"/>
  <c r="A5014" i="2"/>
  <c r="A5013" i="2"/>
  <c r="A5012" i="2"/>
  <c r="A5011" i="2"/>
  <c r="A5010" i="2"/>
  <c r="A5009" i="2"/>
  <c r="A5008" i="2"/>
  <c r="A5007" i="2"/>
  <c r="A5006" i="2"/>
  <c r="A5005" i="2"/>
  <c r="A5004" i="2"/>
  <c r="A5003" i="2"/>
  <c r="A5002" i="2"/>
  <c r="A5001" i="2"/>
  <c r="A5000" i="2"/>
  <c r="A4999" i="2"/>
  <c r="A4998" i="2"/>
  <c r="A4997" i="2"/>
  <c r="A4996" i="2"/>
  <c r="A4995" i="2"/>
  <c r="A4994" i="2"/>
  <c r="A4993" i="2"/>
  <c r="A4992" i="2"/>
  <c r="A4991" i="2"/>
  <c r="A4990" i="2"/>
  <c r="A4989" i="2"/>
  <c r="A4988" i="2"/>
  <c r="A4987" i="2"/>
  <c r="A4986" i="2"/>
  <c r="A4985" i="2"/>
  <c r="A4984" i="2"/>
  <c r="A4983" i="2"/>
  <c r="A4982" i="2"/>
  <c r="A4981" i="2"/>
  <c r="A4980" i="2"/>
  <c r="A4979" i="2"/>
  <c r="A4978" i="2"/>
  <c r="A4977" i="2"/>
  <c r="A4976" i="2"/>
  <c r="A4975" i="2"/>
  <c r="A4974" i="2"/>
  <c r="A4973" i="2"/>
  <c r="A4972" i="2"/>
  <c r="A4971" i="2"/>
  <c r="A4970" i="2"/>
  <c r="A4969" i="2"/>
  <c r="A4968" i="2"/>
  <c r="A4967" i="2"/>
  <c r="A4966" i="2"/>
  <c r="A4965" i="2"/>
  <c r="A4964" i="2"/>
  <c r="A4963" i="2"/>
  <c r="A4962" i="2"/>
  <c r="A4961" i="2"/>
  <c r="A4960" i="2"/>
  <c r="A4959" i="2"/>
  <c r="A4958" i="2"/>
  <c r="A4957" i="2"/>
  <c r="A4956" i="2"/>
  <c r="A4955" i="2"/>
  <c r="A4954" i="2"/>
  <c r="A4953" i="2"/>
  <c r="A4952" i="2"/>
  <c r="A4951" i="2"/>
  <c r="A4950" i="2"/>
  <c r="A4949" i="2"/>
  <c r="A4948" i="2"/>
  <c r="A4947" i="2"/>
  <c r="A4946" i="2"/>
  <c r="A4945" i="2"/>
  <c r="A4944" i="2"/>
  <c r="A4943" i="2"/>
  <c r="A4942" i="2"/>
  <c r="A4941" i="2"/>
  <c r="A4940" i="2"/>
  <c r="A4939" i="2"/>
  <c r="A4938" i="2"/>
  <c r="A4937" i="2"/>
  <c r="A4936" i="2"/>
  <c r="A4935" i="2"/>
  <c r="A4934" i="2"/>
  <c r="A4933" i="2"/>
  <c r="A4932" i="2"/>
  <c r="A4931" i="2"/>
  <c r="A4930" i="2"/>
  <c r="A4929" i="2"/>
  <c r="A4928" i="2"/>
  <c r="A4927" i="2"/>
  <c r="A4926" i="2"/>
  <c r="A4925" i="2"/>
  <c r="A4924" i="2"/>
  <c r="A4923" i="2"/>
  <c r="A4922" i="2"/>
  <c r="A4921" i="2"/>
  <c r="A4920" i="2"/>
  <c r="A4919" i="2"/>
  <c r="A4918" i="2"/>
  <c r="A4917" i="2"/>
  <c r="A4916" i="2"/>
  <c r="A4915" i="2"/>
  <c r="A4914" i="2"/>
  <c r="A4913" i="2"/>
  <c r="A4912" i="2"/>
  <c r="A4911" i="2"/>
  <c r="A4910" i="2"/>
  <c r="A4909" i="2"/>
  <c r="A4908" i="2"/>
  <c r="A4907" i="2"/>
  <c r="A4906" i="2"/>
  <c r="A4905" i="2"/>
  <c r="A4904" i="2"/>
  <c r="A4903" i="2"/>
  <c r="A4902" i="2"/>
  <c r="A4901" i="2"/>
  <c r="A4900" i="2"/>
  <c r="A4899" i="2"/>
  <c r="A4898" i="2"/>
  <c r="A4897" i="2"/>
  <c r="A4896" i="2"/>
  <c r="A4895" i="2"/>
  <c r="A4894" i="2"/>
  <c r="A4893" i="2"/>
  <c r="A4892" i="2"/>
  <c r="A4891" i="2"/>
  <c r="A4890" i="2"/>
  <c r="A4889" i="2"/>
  <c r="A4888" i="2"/>
  <c r="A4887" i="2"/>
  <c r="A4886" i="2"/>
  <c r="A4885" i="2"/>
  <c r="A4884" i="2"/>
  <c r="A4883" i="2"/>
  <c r="A4882" i="2"/>
  <c r="A4881" i="2"/>
  <c r="A4880" i="2"/>
  <c r="A4879" i="2"/>
  <c r="A4878" i="2"/>
  <c r="A4877" i="2"/>
  <c r="A4876" i="2"/>
  <c r="A4875" i="2"/>
  <c r="A4874" i="2"/>
  <c r="A4873" i="2"/>
  <c r="A4872" i="2"/>
  <c r="A4871" i="2"/>
  <c r="A4870" i="2"/>
  <c r="A4869" i="2"/>
  <c r="A4868" i="2"/>
  <c r="A4867" i="2"/>
  <c r="A4866" i="2"/>
  <c r="A4865" i="2"/>
  <c r="A4864" i="2"/>
  <c r="A4863" i="2"/>
  <c r="A4862" i="2"/>
  <c r="A4861" i="2"/>
  <c r="A4860" i="2"/>
  <c r="A4859" i="2"/>
  <c r="A4858" i="2"/>
  <c r="A4857" i="2"/>
  <c r="A4856" i="2"/>
  <c r="A4855" i="2"/>
  <c r="A4854" i="2"/>
  <c r="A4853" i="2"/>
  <c r="A4852" i="2"/>
  <c r="A4851" i="2"/>
  <c r="A4850" i="2"/>
  <c r="A4849" i="2"/>
  <c r="A4848" i="2"/>
  <c r="A4847" i="2"/>
  <c r="A4846" i="2"/>
  <c r="A4845" i="2"/>
  <c r="A4844" i="2"/>
  <c r="A4843" i="2"/>
  <c r="A4842" i="2"/>
  <c r="A4841" i="2"/>
  <c r="A4840" i="2"/>
  <c r="A4839" i="2"/>
  <c r="A4838" i="2"/>
  <c r="A4837" i="2"/>
  <c r="A4836" i="2"/>
  <c r="A4835" i="2"/>
  <c r="A4834" i="2"/>
  <c r="A4833" i="2"/>
  <c r="A4832" i="2"/>
  <c r="A4831" i="2"/>
  <c r="A4830" i="2"/>
  <c r="A4829" i="2"/>
  <c r="A4828" i="2"/>
  <c r="A4827" i="2"/>
  <c r="A4826" i="2"/>
  <c r="A4825" i="2"/>
  <c r="A4824" i="2"/>
  <c r="A4823" i="2"/>
  <c r="A4822" i="2"/>
  <c r="A4821" i="2"/>
  <c r="A4820" i="2"/>
  <c r="A4819" i="2"/>
  <c r="A4818" i="2"/>
  <c r="A4817" i="2"/>
  <c r="A4816" i="2"/>
  <c r="A4815" i="2"/>
  <c r="A4814" i="2"/>
  <c r="A4813" i="2"/>
  <c r="A4812" i="2"/>
  <c r="A4811" i="2"/>
  <c r="A4810" i="2"/>
  <c r="A4809" i="2"/>
  <c r="A4808" i="2"/>
  <c r="A4807" i="2"/>
  <c r="A4806" i="2"/>
  <c r="A4805" i="2"/>
  <c r="A4804" i="2"/>
  <c r="A4803" i="2"/>
  <c r="A4802" i="2"/>
  <c r="A4801" i="2"/>
  <c r="A4800" i="2"/>
  <c r="A4799" i="2"/>
  <c r="A4798" i="2"/>
  <c r="A4797" i="2"/>
  <c r="A4796" i="2"/>
  <c r="A4795" i="2"/>
  <c r="A4794" i="2"/>
  <c r="A4793" i="2"/>
  <c r="A4792" i="2"/>
  <c r="A4791" i="2"/>
  <c r="A4790" i="2"/>
  <c r="A4789" i="2"/>
  <c r="A4788" i="2"/>
  <c r="A4787" i="2"/>
  <c r="A4786" i="2"/>
  <c r="A4785" i="2"/>
  <c r="A4784" i="2"/>
  <c r="A4783" i="2"/>
  <c r="A4782" i="2"/>
  <c r="A4781" i="2"/>
  <c r="A4780" i="2"/>
  <c r="A4779" i="2"/>
  <c r="A4778" i="2"/>
  <c r="A4777" i="2"/>
  <c r="A4776" i="2"/>
  <c r="A4775" i="2"/>
  <c r="A4774" i="2"/>
  <c r="A4773" i="2"/>
  <c r="A4772" i="2"/>
  <c r="A4771" i="2"/>
  <c r="A4770" i="2"/>
  <c r="A4769" i="2"/>
  <c r="A4768" i="2"/>
  <c r="A4767" i="2"/>
  <c r="A4766" i="2"/>
  <c r="A4765" i="2"/>
  <c r="A4764" i="2"/>
  <c r="A4763" i="2"/>
  <c r="A4762" i="2"/>
  <c r="A4761" i="2"/>
  <c r="A4760" i="2"/>
  <c r="A4759" i="2"/>
  <c r="A4758" i="2"/>
  <c r="A4757" i="2"/>
  <c r="A4756" i="2"/>
  <c r="A4755" i="2"/>
  <c r="A4754" i="2"/>
  <c r="A4753" i="2"/>
  <c r="A4752" i="2"/>
  <c r="A4751" i="2"/>
  <c r="A4750" i="2"/>
  <c r="A4749" i="2"/>
  <c r="A4748" i="2"/>
  <c r="A4747" i="2"/>
  <c r="A4746" i="2"/>
  <c r="A4745" i="2"/>
  <c r="A4744" i="2"/>
  <c r="A4743" i="2"/>
  <c r="A4742" i="2"/>
  <c r="A4741" i="2"/>
  <c r="A4740" i="2"/>
  <c r="A4739" i="2"/>
  <c r="A4738" i="2"/>
  <c r="A4737" i="2"/>
  <c r="A4736" i="2"/>
  <c r="A4735" i="2"/>
  <c r="A4734" i="2"/>
  <c r="A4733" i="2"/>
  <c r="A4732" i="2"/>
  <c r="A4731" i="2"/>
  <c r="A4730" i="2"/>
  <c r="A4729" i="2"/>
  <c r="A4728" i="2"/>
  <c r="A4727" i="2"/>
  <c r="A4726" i="2"/>
  <c r="A4725" i="2"/>
  <c r="A4724" i="2"/>
  <c r="A4723" i="2"/>
  <c r="A4722" i="2"/>
  <c r="A4721" i="2"/>
  <c r="A4720" i="2"/>
  <c r="A4719" i="2"/>
  <c r="A4718" i="2"/>
  <c r="A4717" i="2"/>
  <c r="A4716" i="2"/>
  <c r="A4715" i="2"/>
  <c r="A4714" i="2"/>
  <c r="A4713" i="2"/>
  <c r="A4712" i="2"/>
  <c r="A4711" i="2"/>
  <c r="A4710" i="2"/>
  <c r="A4709" i="2"/>
  <c r="A4708" i="2"/>
  <c r="A4707" i="2"/>
  <c r="A4706" i="2"/>
  <c r="A4705" i="2"/>
  <c r="A4704" i="2"/>
  <c r="A4703" i="2"/>
  <c r="A4702" i="2"/>
  <c r="A4701" i="2"/>
  <c r="A4700" i="2"/>
  <c r="A4699" i="2"/>
  <c r="A4698" i="2"/>
  <c r="A4697" i="2"/>
  <c r="A4696" i="2"/>
  <c r="A4695" i="2"/>
  <c r="A4694" i="2"/>
  <c r="A4693" i="2"/>
  <c r="A4692" i="2"/>
  <c r="A4691" i="2"/>
  <c r="A4690" i="2"/>
  <c r="A4689" i="2"/>
  <c r="A4688" i="2"/>
  <c r="A4687" i="2"/>
  <c r="A4686" i="2"/>
  <c r="A4685" i="2"/>
  <c r="A4684" i="2"/>
  <c r="A4683" i="2"/>
  <c r="A4682" i="2"/>
  <c r="A4681" i="2"/>
  <c r="A4680" i="2"/>
  <c r="A4679" i="2"/>
  <c r="A4678" i="2"/>
  <c r="A4677" i="2"/>
  <c r="A4676" i="2"/>
  <c r="A4675" i="2"/>
  <c r="A4674" i="2"/>
  <c r="A4673" i="2"/>
  <c r="A4672" i="2"/>
  <c r="A4671" i="2"/>
  <c r="A4670" i="2"/>
  <c r="A4669" i="2"/>
  <c r="A4668" i="2"/>
  <c r="A4667" i="2"/>
  <c r="A4666" i="2"/>
  <c r="A4665" i="2"/>
  <c r="A4664" i="2"/>
  <c r="A4663" i="2"/>
  <c r="A4662" i="2"/>
  <c r="A4661" i="2"/>
  <c r="A4660" i="2"/>
  <c r="A4659" i="2"/>
  <c r="A4658" i="2"/>
  <c r="A4657" i="2"/>
  <c r="A4656" i="2"/>
  <c r="A4655" i="2"/>
  <c r="A4654" i="2"/>
  <c r="A4653" i="2"/>
  <c r="A4652" i="2"/>
  <c r="A4651" i="2"/>
  <c r="A4650" i="2"/>
  <c r="A4649" i="2"/>
  <c r="A4648" i="2"/>
  <c r="A4647" i="2"/>
  <c r="A4646" i="2"/>
  <c r="A4645" i="2"/>
  <c r="A4644" i="2"/>
  <c r="A4643" i="2"/>
  <c r="A4642" i="2"/>
  <c r="A4641" i="2"/>
  <c r="A4640" i="2"/>
  <c r="A4639" i="2"/>
  <c r="A4638" i="2"/>
  <c r="A4637" i="2"/>
  <c r="A4636" i="2"/>
  <c r="A4635" i="2"/>
  <c r="A4634" i="2"/>
  <c r="A4633" i="2"/>
  <c r="A4632" i="2"/>
  <c r="A4631" i="2"/>
  <c r="A4630" i="2"/>
  <c r="A4629" i="2"/>
  <c r="A4628" i="2"/>
  <c r="A4627" i="2"/>
  <c r="A4626" i="2"/>
  <c r="A4625" i="2"/>
  <c r="A4624" i="2"/>
  <c r="A4623" i="2"/>
  <c r="A4622" i="2"/>
  <c r="A4621" i="2"/>
  <c r="A4620" i="2"/>
  <c r="A4619" i="2"/>
  <c r="A4618" i="2"/>
  <c r="A4617" i="2"/>
  <c r="A4616" i="2"/>
  <c r="A4615" i="2"/>
  <c r="A4614" i="2"/>
  <c r="A4613" i="2"/>
  <c r="A4612" i="2"/>
  <c r="A4611" i="2"/>
  <c r="A4610" i="2"/>
  <c r="A4609" i="2"/>
  <c r="A4608" i="2"/>
  <c r="A4607" i="2"/>
  <c r="A4606" i="2"/>
  <c r="A4605" i="2"/>
  <c r="A4604" i="2"/>
  <c r="A4603" i="2"/>
  <c r="A4602" i="2"/>
  <c r="A4601" i="2"/>
  <c r="A4600" i="2"/>
  <c r="A4599" i="2"/>
  <c r="A4598" i="2"/>
  <c r="A4597" i="2"/>
  <c r="A4596" i="2"/>
  <c r="A4595" i="2"/>
  <c r="A4594" i="2"/>
  <c r="A4593" i="2"/>
  <c r="A4592" i="2"/>
  <c r="A4591" i="2"/>
  <c r="A4590" i="2"/>
  <c r="A4589" i="2"/>
  <c r="A4588" i="2"/>
  <c r="A4587" i="2"/>
  <c r="A4586" i="2"/>
  <c r="A4585" i="2"/>
  <c r="A4584" i="2"/>
  <c r="A4583" i="2"/>
  <c r="A4582" i="2"/>
  <c r="A4581" i="2"/>
  <c r="A4580" i="2"/>
  <c r="A4579" i="2"/>
  <c r="A4578" i="2"/>
  <c r="A4577" i="2"/>
  <c r="A4576" i="2"/>
  <c r="A4575" i="2"/>
  <c r="A4574" i="2"/>
  <c r="A4573" i="2"/>
  <c r="A4572" i="2"/>
  <c r="A4571" i="2"/>
  <c r="A4570" i="2"/>
  <c r="A4569" i="2"/>
  <c r="A4568" i="2"/>
  <c r="A4567" i="2"/>
  <c r="A4566" i="2"/>
  <c r="A4565" i="2"/>
  <c r="A4564" i="2"/>
  <c r="A4563" i="2"/>
  <c r="A4562" i="2"/>
  <c r="A4561" i="2"/>
  <c r="A4560" i="2"/>
  <c r="A4559" i="2"/>
  <c r="A4558" i="2"/>
  <c r="A4557" i="2"/>
  <c r="A4556" i="2"/>
  <c r="A4555" i="2"/>
  <c r="A4554" i="2"/>
  <c r="A4553" i="2"/>
  <c r="A4552" i="2"/>
  <c r="A4551" i="2"/>
  <c r="A4550" i="2"/>
  <c r="A4549" i="2"/>
  <c r="A4548" i="2"/>
  <c r="A4547" i="2"/>
  <c r="A4546" i="2"/>
  <c r="A4545" i="2"/>
  <c r="A4544" i="2"/>
  <c r="A4543" i="2"/>
  <c r="A4542" i="2"/>
  <c r="A4541" i="2"/>
  <c r="A4540" i="2"/>
  <c r="A4539" i="2"/>
  <c r="A4538" i="2"/>
  <c r="A4537" i="2"/>
  <c r="A4536" i="2"/>
  <c r="A4535" i="2"/>
  <c r="A4534" i="2"/>
  <c r="A4533" i="2"/>
  <c r="A4532" i="2"/>
  <c r="A4531" i="2"/>
  <c r="A4530" i="2"/>
  <c r="A4529" i="2"/>
  <c r="A4528" i="2"/>
  <c r="A4527" i="2"/>
  <c r="A4526" i="2"/>
  <c r="A4525" i="2"/>
  <c r="A4524" i="2"/>
  <c r="A4523" i="2"/>
  <c r="A4522" i="2"/>
  <c r="A4521" i="2"/>
  <c r="A4520" i="2"/>
  <c r="A4519" i="2"/>
  <c r="A4518" i="2"/>
  <c r="A4517" i="2"/>
  <c r="A4516" i="2"/>
  <c r="A4515" i="2"/>
  <c r="A4514" i="2"/>
  <c r="A4513" i="2"/>
  <c r="A4512" i="2"/>
  <c r="A4511" i="2"/>
  <c r="A4510" i="2"/>
  <c r="A4509" i="2"/>
  <c r="A4508" i="2"/>
  <c r="A4507" i="2"/>
  <c r="A4506" i="2"/>
  <c r="A4505" i="2"/>
  <c r="A4504" i="2"/>
  <c r="A4503" i="2"/>
  <c r="A4502" i="2"/>
  <c r="A4501" i="2"/>
  <c r="A4500" i="2"/>
  <c r="A4499" i="2"/>
  <c r="A4498" i="2"/>
  <c r="A4497" i="2"/>
  <c r="A4496" i="2"/>
  <c r="A4495" i="2"/>
  <c r="A4494" i="2"/>
  <c r="A4493" i="2"/>
  <c r="A4492" i="2"/>
  <c r="A4491" i="2"/>
  <c r="A4490" i="2"/>
  <c r="A4489" i="2"/>
  <c r="A4488" i="2"/>
  <c r="A4487" i="2"/>
  <c r="A4486" i="2"/>
  <c r="A4485" i="2"/>
  <c r="A4484" i="2"/>
  <c r="A4483" i="2"/>
  <c r="A4482" i="2"/>
  <c r="A4481" i="2"/>
  <c r="A4480" i="2"/>
  <c r="A4479" i="2"/>
  <c r="A4478" i="2"/>
  <c r="A4477" i="2"/>
  <c r="A4476" i="2"/>
  <c r="A4475" i="2"/>
  <c r="A4474" i="2"/>
  <c r="A4473" i="2"/>
  <c r="A4472" i="2"/>
  <c r="A4471" i="2"/>
  <c r="A4470" i="2"/>
  <c r="A4469" i="2"/>
  <c r="A4468" i="2"/>
  <c r="A4467" i="2"/>
  <c r="A4466" i="2"/>
  <c r="A4465" i="2"/>
  <c r="A4464" i="2"/>
  <c r="A4463" i="2"/>
  <c r="A4462" i="2"/>
  <c r="A4461" i="2"/>
  <c r="A4460" i="2"/>
  <c r="A4459" i="2"/>
  <c r="A4458" i="2"/>
  <c r="A4457" i="2"/>
  <c r="A4456" i="2"/>
  <c r="A4455" i="2"/>
  <c r="A4454" i="2"/>
  <c r="A4453" i="2"/>
  <c r="A4452" i="2"/>
  <c r="A4451" i="2"/>
  <c r="A4450" i="2"/>
  <c r="A4449" i="2"/>
  <c r="A4448" i="2"/>
  <c r="A4447" i="2"/>
  <c r="A4446" i="2"/>
  <c r="A4445" i="2"/>
  <c r="A4444" i="2"/>
  <c r="A4443" i="2"/>
  <c r="A4442" i="2"/>
  <c r="A4441" i="2"/>
  <c r="A4440" i="2"/>
  <c r="A4439" i="2"/>
  <c r="A4438" i="2"/>
  <c r="A4437" i="2"/>
  <c r="A4436" i="2"/>
  <c r="A4435" i="2"/>
  <c r="A4434" i="2"/>
  <c r="A4433" i="2"/>
  <c r="A4432" i="2"/>
  <c r="A4431" i="2"/>
  <c r="A4430" i="2"/>
  <c r="A4429" i="2"/>
  <c r="A4428" i="2"/>
  <c r="A4427" i="2"/>
  <c r="A4426" i="2"/>
  <c r="A4425" i="2"/>
  <c r="A4424" i="2"/>
  <c r="A4423" i="2"/>
  <c r="A4422" i="2"/>
  <c r="A4421" i="2"/>
  <c r="A4420" i="2"/>
  <c r="A4419" i="2"/>
  <c r="A4418" i="2"/>
  <c r="A4417" i="2"/>
  <c r="A4416" i="2"/>
  <c r="A4415" i="2"/>
  <c r="A4414" i="2"/>
  <c r="A4413" i="2"/>
  <c r="A4412" i="2"/>
  <c r="A4411" i="2"/>
  <c r="A4410" i="2"/>
  <c r="A4409" i="2"/>
  <c r="A4408" i="2"/>
  <c r="A4407" i="2"/>
  <c r="A4406" i="2"/>
  <c r="A4405" i="2"/>
  <c r="A4404" i="2"/>
  <c r="A4403" i="2"/>
  <c r="A4402" i="2"/>
  <c r="A4401" i="2"/>
  <c r="A4400" i="2"/>
  <c r="A4399" i="2"/>
  <c r="A4398" i="2"/>
  <c r="A4397" i="2"/>
  <c r="A4396" i="2"/>
  <c r="A4395" i="2"/>
  <c r="A4394" i="2"/>
  <c r="A4393" i="2"/>
  <c r="A4392" i="2"/>
  <c r="A4391" i="2"/>
  <c r="A4390" i="2"/>
  <c r="A4389" i="2"/>
  <c r="A4388" i="2"/>
  <c r="A4387" i="2"/>
  <c r="A4386" i="2"/>
  <c r="A4385" i="2"/>
  <c r="A4384" i="2"/>
  <c r="A4383" i="2"/>
  <c r="A4382" i="2"/>
  <c r="A4381" i="2"/>
  <c r="A4380" i="2"/>
  <c r="A4379" i="2"/>
  <c r="A4378" i="2"/>
  <c r="A4377" i="2"/>
  <c r="A4376" i="2"/>
  <c r="A4375" i="2"/>
  <c r="A4374" i="2"/>
  <c r="A4373" i="2"/>
  <c r="A4372" i="2"/>
  <c r="A4371" i="2"/>
  <c r="A4370" i="2"/>
  <c r="A4369" i="2"/>
  <c r="A4368" i="2"/>
  <c r="A4367" i="2"/>
  <c r="A4366" i="2"/>
  <c r="A4365" i="2"/>
  <c r="A4364" i="2"/>
  <c r="A4363" i="2"/>
  <c r="A4362" i="2"/>
  <c r="A4361" i="2"/>
  <c r="A4360" i="2"/>
  <c r="A4359" i="2"/>
  <c r="A4358" i="2"/>
  <c r="A4357" i="2"/>
  <c r="A4356" i="2"/>
  <c r="A4355" i="2"/>
  <c r="A4354" i="2"/>
  <c r="A4353" i="2"/>
  <c r="A4352" i="2"/>
  <c r="A4351" i="2"/>
  <c r="A4350" i="2"/>
  <c r="A4349" i="2"/>
  <c r="A4348" i="2"/>
  <c r="A4347" i="2"/>
  <c r="A4346" i="2"/>
  <c r="A4345" i="2"/>
  <c r="A4344" i="2"/>
  <c r="A4343" i="2"/>
  <c r="A4342" i="2"/>
  <c r="A4341" i="2"/>
  <c r="A4340" i="2"/>
  <c r="A4339" i="2"/>
  <c r="A4338" i="2"/>
  <c r="A4337" i="2"/>
  <c r="A4336" i="2"/>
  <c r="A4335" i="2"/>
  <c r="A4334" i="2"/>
  <c r="A4333" i="2"/>
  <c r="A4332" i="2"/>
  <c r="A4331" i="2"/>
  <c r="A4330" i="2"/>
  <c r="A4329" i="2"/>
  <c r="A4328" i="2"/>
  <c r="A4327" i="2"/>
  <c r="A4326" i="2"/>
  <c r="A4325" i="2"/>
  <c r="A4324" i="2"/>
  <c r="A4323" i="2"/>
  <c r="A4322" i="2"/>
  <c r="A4321" i="2"/>
  <c r="A4320" i="2"/>
  <c r="A4319" i="2"/>
  <c r="A4318" i="2"/>
  <c r="A4317" i="2"/>
  <c r="A4316" i="2"/>
  <c r="A4315" i="2"/>
  <c r="A4314" i="2"/>
  <c r="A4313" i="2"/>
  <c r="A4312" i="2"/>
  <c r="A4311" i="2"/>
  <c r="A4310" i="2"/>
  <c r="A4309" i="2"/>
  <c r="A4308" i="2"/>
  <c r="A4307" i="2"/>
  <c r="A4306" i="2"/>
  <c r="A4305" i="2"/>
  <c r="A4304" i="2"/>
  <c r="A4303" i="2"/>
  <c r="A4302" i="2"/>
  <c r="A4301" i="2"/>
  <c r="A4300" i="2"/>
  <c r="A4299" i="2"/>
  <c r="A4298" i="2"/>
  <c r="A4297" i="2"/>
  <c r="A4296" i="2"/>
  <c r="A4295" i="2"/>
  <c r="A4294" i="2"/>
  <c r="A4293" i="2"/>
  <c r="A4292" i="2"/>
  <c r="A4291" i="2"/>
  <c r="A4290" i="2"/>
  <c r="A4289" i="2"/>
  <c r="A4288" i="2"/>
  <c r="A4287" i="2"/>
  <c r="A4286" i="2"/>
  <c r="A4285" i="2"/>
  <c r="A4284" i="2"/>
  <c r="A4283" i="2"/>
  <c r="A4282" i="2"/>
  <c r="A4281" i="2"/>
  <c r="A4280" i="2"/>
  <c r="A4279" i="2"/>
  <c r="A4278" i="2"/>
  <c r="A4277" i="2"/>
  <c r="A4276" i="2"/>
  <c r="A4275" i="2"/>
  <c r="A4274" i="2"/>
  <c r="A4273" i="2"/>
  <c r="A4272" i="2"/>
  <c r="A4271" i="2"/>
  <c r="A4270" i="2"/>
  <c r="A4269" i="2"/>
  <c r="A4268" i="2"/>
  <c r="A4267" i="2"/>
  <c r="A4266" i="2"/>
  <c r="A4265" i="2"/>
  <c r="A4264" i="2"/>
  <c r="A4263" i="2"/>
  <c r="A4262" i="2"/>
  <c r="A4261" i="2"/>
  <c r="A4260" i="2"/>
  <c r="A4259" i="2"/>
  <c r="A4258" i="2"/>
  <c r="A4257" i="2"/>
  <c r="A4256" i="2"/>
  <c r="A4255" i="2"/>
  <c r="A4254" i="2"/>
  <c r="A4253" i="2"/>
  <c r="A4252" i="2"/>
  <c r="A4251" i="2"/>
  <c r="A4250" i="2"/>
  <c r="A4249" i="2"/>
  <c r="A4248" i="2"/>
  <c r="A4247" i="2"/>
  <c r="A4246" i="2"/>
  <c r="A4245" i="2"/>
  <c r="A4244" i="2"/>
  <c r="A4243" i="2"/>
  <c r="A4242" i="2"/>
  <c r="A4241" i="2"/>
  <c r="A4240" i="2"/>
  <c r="A4239" i="2"/>
  <c r="A4238" i="2"/>
  <c r="A4237" i="2"/>
  <c r="A4236" i="2"/>
  <c r="A4235" i="2"/>
  <c r="A4234" i="2"/>
  <c r="A4233" i="2"/>
  <c r="A4232" i="2"/>
  <c r="A4231" i="2"/>
  <c r="A4230" i="2"/>
  <c r="A4229" i="2"/>
  <c r="A4228" i="2"/>
  <c r="A4227" i="2"/>
  <c r="A4226" i="2"/>
  <c r="A4225" i="2"/>
  <c r="A4224" i="2"/>
  <c r="A4223" i="2"/>
  <c r="A4222" i="2"/>
  <c r="A4221" i="2"/>
  <c r="A4220" i="2"/>
  <c r="A4219" i="2"/>
  <c r="A4218" i="2"/>
  <c r="A4217" i="2"/>
  <c r="A4216" i="2"/>
  <c r="A4215" i="2"/>
  <c r="A4214" i="2"/>
  <c r="A4213" i="2"/>
  <c r="A4212" i="2"/>
  <c r="A4211" i="2"/>
  <c r="A4210" i="2"/>
  <c r="A4209" i="2"/>
  <c r="A4208" i="2"/>
  <c r="A4207" i="2"/>
  <c r="A4206" i="2"/>
  <c r="A4205" i="2"/>
  <c r="A4204" i="2"/>
  <c r="A4203" i="2"/>
  <c r="A4202" i="2"/>
  <c r="A4201" i="2"/>
  <c r="A4200" i="2"/>
  <c r="A4199" i="2"/>
  <c r="A4198" i="2"/>
  <c r="A4197" i="2"/>
  <c r="A4196" i="2"/>
  <c r="A4195" i="2"/>
  <c r="A4194" i="2"/>
  <c r="A4193" i="2"/>
  <c r="A4192" i="2"/>
  <c r="A4191" i="2"/>
  <c r="A4190" i="2"/>
  <c r="A4189" i="2"/>
  <c r="A4188" i="2"/>
  <c r="A4187" i="2"/>
  <c r="A4186" i="2"/>
  <c r="A4185" i="2"/>
  <c r="A4184" i="2"/>
  <c r="A4183" i="2"/>
  <c r="A4182" i="2"/>
  <c r="A4181" i="2"/>
  <c r="A4180" i="2"/>
  <c r="A4179" i="2"/>
  <c r="A4178" i="2"/>
  <c r="A4177" i="2"/>
  <c r="A4176" i="2"/>
  <c r="A4175" i="2"/>
  <c r="A4174" i="2"/>
  <c r="A4173" i="2"/>
  <c r="A4172" i="2"/>
  <c r="A4171" i="2"/>
  <c r="A4170" i="2"/>
  <c r="A4169" i="2"/>
  <c r="A4168" i="2"/>
  <c r="A4167" i="2"/>
  <c r="A4166" i="2"/>
  <c r="A4165" i="2"/>
  <c r="A4164" i="2"/>
  <c r="A4163" i="2"/>
  <c r="A4162" i="2"/>
  <c r="A4161" i="2"/>
  <c r="A4160" i="2"/>
  <c r="A4159" i="2"/>
  <c r="A4158" i="2"/>
  <c r="A4157" i="2"/>
  <c r="A4156" i="2"/>
  <c r="A4155" i="2"/>
  <c r="A4154" i="2"/>
  <c r="A4153" i="2"/>
  <c r="A4152" i="2"/>
  <c r="A4151" i="2"/>
  <c r="A4150" i="2"/>
  <c r="A4149" i="2"/>
  <c r="A4148" i="2"/>
  <c r="A4147" i="2"/>
  <c r="A4146" i="2"/>
  <c r="A4145" i="2"/>
  <c r="A4144" i="2"/>
  <c r="A4143" i="2"/>
  <c r="A4142" i="2"/>
  <c r="A4141" i="2"/>
  <c r="A4140" i="2"/>
  <c r="A4139" i="2"/>
  <c r="A4138" i="2"/>
  <c r="A4137" i="2"/>
  <c r="A4136" i="2"/>
  <c r="A4135" i="2"/>
  <c r="A4134" i="2"/>
  <c r="A4133" i="2"/>
  <c r="A4132" i="2"/>
  <c r="A4131" i="2"/>
  <c r="A4130" i="2"/>
  <c r="A4129" i="2"/>
  <c r="A4128" i="2"/>
  <c r="A4127" i="2"/>
  <c r="A4126" i="2"/>
  <c r="A4125" i="2"/>
  <c r="A4124" i="2"/>
  <c r="A4123" i="2"/>
  <c r="A4122" i="2"/>
  <c r="A4121" i="2"/>
  <c r="A4120" i="2"/>
  <c r="A4119" i="2"/>
  <c r="A4118" i="2"/>
  <c r="A4117" i="2"/>
  <c r="A4116" i="2"/>
  <c r="A4115" i="2"/>
  <c r="A4114" i="2"/>
  <c r="A4113" i="2"/>
  <c r="A4112" i="2"/>
  <c r="A4111" i="2"/>
  <c r="A4110" i="2"/>
  <c r="A4109" i="2"/>
  <c r="A4108" i="2"/>
  <c r="A4107" i="2"/>
  <c r="A4106" i="2"/>
  <c r="A4105" i="2"/>
  <c r="A4104" i="2"/>
  <c r="A4103" i="2"/>
  <c r="A4102" i="2"/>
  <c r="A4101" i="2"/>
  <c r="A4100" i="2"/>
  <c r="A4099" i="2"/>
  <c r="A4098" i="2"/>
  <c r="A4097" i="2"/>
  <c r="A4096" i="2"/>
  <c r="A4095" i="2"/>
  <c r="A4094" i="2"/>
  <c r="A4093" i="2"/>
  <c r="A4092" i="2"/>
  <c r="A4091" i="2"/>
  <c r="A4090" i="2"/>
  <c r="A4089" i="2"/>
  <c r="A4088" i="2"/>
  <c r="A4087" i="2"/>
  <c r="A4086" i="2"/>
  <c r="A4085" i="2"/>
  <c r="A4084" i="2"/>
  <c r="A4083" i="2"/>
  <c r="A4082" i="2"/>
  <c r="A4081" i="2"/>
  <c r="A4080" i="2"/>
  <c r="A4079" i="2"/>
  <c r="A4078" i="2"/>
  <c r="A4077" i="2"/>
  <c r="A4076" i="2"/>
  <c r="A4075" i="2"/>
  <c r="A4074" i="2"/>
  <c r="A4073" i="2"/>
  <c r="A4072" i="2"/>
  <c r="A4071" i="2"/>
  <c r="A4070" i="2"/>
  <c r="A4069" i="2"/>
  <c r="A4068" i="2"/>
  <c r="A4067" i="2"/>
  <c r="A4066" i="2"/>
  <c r="A4065" i="2"/>
  <c r="A4064" i="2"/>
  <c r="A4063" i="2"/>
  <c r="A4062" i="2"/>
  <c r="A4061" i="2"/>
  <c r="A4060" i="2"/>
  <c r="A4059" i="2"/>
  <c r="A4058" i="2"/>
  <c r="A4057" i="2"/>
  <c r="A4056" i="2"/>
  <c r="A4055" i="2"/>
  <c r="A4054" i="2"/>
  <c r="A4053" i="2"/>
  <c r="A4052" i="2"/>
  <c r="A4051" i="2"/>
  <c r="A4050" i="2"/>
  <c r="A4049" i="2"/>
  <c r="A4048" i="2"/>
  <c r="A4047" i="2"/>
  <c r="A4046" i="2"/>
  <c r="A4045" i="2"/>
  <c r="A4044" i="2"/>
  <c r="A4043" i="2"/>
  <c r="A4042" i="2"/>
  <c r="A4041" i="2"/>
  <c r="A4040" i="2"/>
  <c r="A4039" i="2"/>
  <c r="A4038" i="2"/>
  <c r="A4037" i="2"/>
  <c r="A4036" i="2"/>
  <c r="A4035" i="2"/>
  <c r="A4034" i="2"/>
  <c r="A4033" i="2"/>
  <c r="A4032" i="2"/>
  <c r="A4031" i="2"/>
  <c r="A4030" i="2"/>
  <c r="A4029" i="2"/>
  <c r="A4028" i="2"/>
  <c r="A4027" i="2"/>
  <c r="A4026" i="2"/>
  <c r="A4025" i="2"/>
  <c r="A4024" i="2"/>
  <c r="A4023" i="2"/>
  <c r="A4022" i="2"/>
  <c r="A4021" i="2"/>
  <c r="A4020" i="2"/>
  <c r="A4019" i="2"/>
  <c r="A4018" i="2"/>
  <c r="A4017" i="2"/>
  <c r="A4016" i="2"/>
  <c r="A4015" i="2"/>
  <c r="A4014" i="2"/>
  <c r="A4013" i="2"/>
  <c r="A4012" i="2"/>
  <c r="A4011" i="2"/>
  <c r="A4010" i="2"/>
  <c r="A4009" i="2"/>
  <c r="A4008" i="2"/>
  <c r="A4007" i="2"/>
  <c r="A4006" i="2"/>
  <c r="A4005" i="2"/>
  <c r="A4004" i="2"/>
  <c r="A4003" i="2"/>
  <c r="A4002" i="2"/>
  <c r="A4001" i="2"/>
  <c r="A4000" i="2"/>
  <c r="A3999" i="2"/>
  <c r="A3998" i="2"/>
  <c r="A3997" i="2"/>
  <c r="A3996" i="2"/>
  <c r="A3995" i="2"/>
  <c r="A3994" i="2"/>
  <c r="A3993" i="2"/>
  <c r="A3992" i="2"/>
  <c r="A3991" i="2"/>
  <c r="A3990" i="2"/>
  <c r="A3989" i="2"/>
  <c r="A3988" i="2"/>
  <c r="A3987" i="2"/>
  <c r="A3986" i="2"/>
  <c r="A3985" i="2"/>
  <c r="A3984" i="2"/>
  <c r="A3983" i="2"/>
  <c r="A3982" i="2"/>
  <c r="A3981" i="2"/>
  <c r="A3980" i="2"/>
  <c r="A3979" i="2"/>
  <c r="A3978" i="2"/>
  <c r="A3977" i="2"/>
  <c r="A3976" i="2"/>
  <c r="A3975" i="2"/>
  <c r="A3974" i="2"/>
  <c r="A3973" i="2"/>
  <c r="A3972" i="2"/>
  <c r="A3971" i="2"/>
  <c r="A3970" i="2"/>
  <c r="A3969" i="2"/>
  <c r="A3968" i="2"/>
  <c r="A3967" i="2"/>
  <c r="A3966" i="2"/>
  <c r="A3965" i="2"/>
  <c r="A3964" i="2"/>
  <c r="A3963" i="2"/>
  <c r="A3962" i="2"/>
  <c r="A3961" i="2"/>
  <c r="A3960" i="2"/>
  <c r="A3959" i="2"/>
  <c r="A3958" i="2"/>
  <c r="A3957" i="2"/>
  <c r="A3956" i="2"/>
  <c r="A3955" i="2"/>
  <c r="A3954" i="2"/>
  <c r="A3953" i="2"/>
  <c r="A3952" i="2"/>
  <c r="A3951" i="2"/>
  <c r="A3950" i="2"/>
  <c r="A3949" i="2"/>
  <c r="A3948" i="2"/>
  <c r="A3947" i="2"/>
  <c r="A3946" i="2"/>
  <c r="A3945" i="2"/>
  <c r="A3944" i="2"/>
  <c r="A3943" i="2"/>
  <c r="A3942" i="2"/>
  <c r="A3941" i="2"/>
  <c r="A3940" i="2"/>
  <c r="A3939" i="2"/>
  <c r="A3938" i="2"/>
  <c r="A3937" i="2"/>
  <c r="A3936" i="2"/>
  <c r="A3935" i="2"/>
  <c r="A3934" i="2"/>
  <c r="A3933" i="2"/>
  <c r="A3932" i="2"/>
  <c r="A3931" i="2"/>
  <c r="A3930" i="2"/>
  <c r="A3929" i="2"/>
  <c r="A3928" i="2"/>
  <c r="A3927" i="2"/>
  <c r="A3926" i="2"/>
  <c r="A3925" i="2"/>
  <c r="A3924" i="2"/>
  <c r="A3923" i="2"/>
  <c r="A3922" i="2"/>
  <c r="A3921" i="2"/>
  <c r="A3920" i="2"/>
  <c r="A3919" i="2"/>
  <c r="A3918" i="2"/>
  <c r="A3917" i="2"/>
  <c r="A3916" i="2"/>
  <c r="A3915" i="2"/>
  <c r="A3914" i="2"/>
  <c r="A3913" i="2"/>
  <c r="A3912" i="2"/>
  <c r="A3911" i="2"/>
  <c r="A3910" i="2"/>
  <c r="A3909" i="2"/>
  <c r="A3908" i="2"/>
  <c r="A3907" i="2"/>
  <c r="A3906" i="2"/>
  <c r="A3905" i="2"/>
  <c r="A3904" i="2"/>
  <c r="A3903" i="2"/>
  <c r="A3902" i="2"/>
  <c r="A3901" i="2"/>
  <c r="A3900" i="2"/>
  <c r="A3899" i="2"/>
  <c r="A3898" i="2"/>
  <c r="A3897" i="2"/>
  <c r="A3896" i="2"/>
  <c r="A3895" i="2"/>
  <c r="A3894" i="2"/>
  <c r="A3893" i="2"/>
  <c r="A3892" i="2"/>
  <c r="A3891" i="2"/>
  <c r="A3890" i="2"/>
  <c r="A3889" i="2"/>
  <c r="A3888" i="2"/>
  <c r="A3887" i="2"/>
  <c r="A3886" i="2"/>
  <c r="A3885" i="2"/>
  <c r="A3884" i="2"/>
  <c r="A3883" i="2"/>
  <c r="A3882" i="2"/>
  <c r="A3881" i="2"/>
  <c r="A3880" i="2"/>
  <c r="A3879" i="2"/>
  <c r="A3878" i="2"/>
  <c r="A3877" i="2"/>
  <c r="A3876" i="2"/>
  <c r="A3875" i="2"/>
  <c r="A3874" i="2"/>
  <c r="A3873" i="2"/>
  <c r="A3872" i="2"/>
  <c r="A3871" i="2"/>
  <c r="A3870" i="2"/>
  <c r="A3869" i="2"/>
  <c r="A3868" i="2"/>
  <c r="A3867" i="2"/>
  <c r="A3866" i="2"/>
  <c r="A3865" i="2"/>
  <c r="A3864" i="2"/>
  <c r="A3863" i="2"/>
  <c r="A3862" i="2"/>
  <c r="A3861" i="2"/>
  <c r="A3860" i="2"/>
  <c r="A3859" i="2"/>
  <c r="A3858" i="2"/>
  <c r="A3857" i="2"/>
  <c r="A3856" i="2"/>
  <c r="A3855" i="2"/>
  <c r="A3854" i="2"/>
  <c r="A3853" i="2"/>
  <c r="A3852" i="2"/>
  <c r="A3851" i="2"/>
  <c r="A3850" i="2"/>
  <c r="A3849" i="2"/>
  <c r="A3848" i="2"/>
  <c r="A3847" i="2"/>
  <c r="A3846" i="2"/>
  <c r="A3845" i="2"/>
  <c r="A3844" i="2"/>
  <c r="A3843" i="2"/>
  <c r="A3842" i="2"/>
  <c r="A3841" i="2"/>
  <c r="A3840" i="2"/>
  <c r="A3839" i="2"/>
  <c r="A3838" i="2"/>
  <c r="A3837" i="2"/>
  <c r="A3836" i="2"/>
  <c r="A3835" i="2"/>
  <c r="A3834" i="2"/>
  <c r="A3833" i="2"/>
  <c r="A3832" i="2"/>
  <c r="A3831" i="2"/>
  <c r="A3830" i="2"/>
  <c r="A3829" i="2"/>
  <c r="A3828" i="2"/>
  <c r="A3827" i="2"/>
  <c r="A3826" i="2"/>
  <c r="A3825" i="2"/>
  <c r="A3824" i="2"/>
  <c r="A3823" i="2"/>
  <c r="A3822" i="2"/>
  <c r="A3821" i="2"/>
  <c r="A3820" i="2"/>
  <c r="A3819" i="2"/>
  <c r="A3818" i="2"/>
  <c r="A3817" i="2"/>
  <c r="A3816" i="2"/>
  <c r="A3815" i="2"/>
  <c r="A3814" i="2"/>
  <c r="A3813" i="2"/>
  <c r="A3812" i="2"/>
  <c r="A3811" i="2"/>
  <c r="A3810" i="2"/>
  <c r="A3809" i="2"/>
  <c r="A3808" i="2"/>
  <c r="A3807" i="2"/>
  <c r="A3806" i="2"/>
  <c r="A3805" i="2"/>
  <c r="A3804" i="2"/>
  <c r="A3803" i="2"/>
  <c r="A3802" i="2"/>
  <c r="A3801" i="2"/>
  <c r="A3800" i="2"/>
  <c r="A3799" i="2"/>
  <c r="A3798" i="2"/>
  <c r="A3797" i="2"/>
  <c r="A3796" i="2"/>
  <c r="A3795" i="2"/>
  <c r="A3794" i="2"/>
  <c r="A3793" i="2"/>
  <c r="A3792" i="2"/>
  <c r="A3791" i="2"/>
  <c r="A3790" i="2"/>
  <c r="A3789" i="2"/>
  <c r="A3788" i="2"/>
  <c r="A3787" i="2"/>
  <c r="A3786" i="2"/>
  <c r="A3785" i="2"/>
  <c r="A3784" i="2"/>
  <c r="A3783" i="2"/>
  <c r="A3782" i="2"/>
  <c r="A3781" i="2"/>
  <c r="A3780" i="2"/>
  <c r="A3779" i="2"/>
  <c r="A3778" i="2"/>
  <c r="A3777" i="2"/>
  <c r="A3776" i="2"/>
  <c r="A3775" i="2"/>
  <c r="A3774" i="2"/>
  <c r="A3773" i="2"/>
  <c r="A3772" i="2"/>
  <c r="A3771" i="2"/>
  <c r="A3770" i="2"/>
  <c r="A3769" i="2"/>
  <c r="A3768" i="2"/>
  <c r="A3767" i="2"/>
  <c r="A3766" i="2"/>
  <c r="A3765" i="2"/>
  <c r="A3764" i="2"/>
  <c r="A3763" i="2"/>
  <c r="A3762" i="2"/>
  <c r="A3761" i="2"/>
  <c r="A3760" i="2"/>
  <c r="A3759" i="2"/>
  <c r="A3758" i="2"/>
  <c r="A3757" i="2"/>
  <c r="A3756" i="2"/>
  <c r="A3755" i="2"/>
  <c r="A3754" i="2"/>
  <c r="A3753" i="2"/>
  <c r="A3752" i="2"/>
  <c r="A3751" i="2"/>
  <c r="A3750" i="2"/>
  <c r="A3749" i="2"/>
  <c r="A3748" i="2"/>
  <c r="A3747" i="2"/>
  <c r="A3746" i="2"/>
  <c r="A3745" i="2"/>
  <c r="A3744" i="2"/>
  <c r="A3743" i="2"/>
  <c r="A3742" i="2"/>
  <c r="A3741" i="2"/>
  <c r="A3740" i="2"/>
  <c r="A3739" i="2"/>
  <c r="A3738" i="2"/>
  <c r="A3737" i="2"/>
  <c r="A3736" i="2"/>
  <c r="A3735" i="2"/>
  <c r="A3734" i="2"/>
  <c r="A3733" i="2"/>
  <c r="A3732" i="2"/>
  <c r="A3731" i="2"/>
  <c r="A3730" i="2"/>
  <c r="A3729" i="2"/>
  <c r="A3728" i="2"/>
  <c r="A3727" i="2"/>
  <c r="A3726" i="2"/>
  <c r="A3725" i="2"/>
  <c r="A3724" i="2"/>
  <c r="A3723" i="2"/>
  <c r="A3722" i="2"/>
  <c r="A3721" i="2"/>
  <c r="A3720" i="2"/>
  <c r="A3719" i="2"/>
  <c r="A3718" i="2"/>
  <c r="A3717" i="2"/>
  <c r="A3716" i="2"/>
  <c r="A3715" i="2"/>
  <c r="A3714" i="2"/>
  <c r="A3713" i="2"/>
  <c r="A3712" i="2"/>
  <c r="A3711" i="2"/>
  <c r="A3710" i="2"/>
  <c r="A3709" i="2"/>
  <c r="A3708" i="2"/>
  <c r="A3707" i="2"/>
  <c r="A3706" i="2"/>
  <c r="A3705" i="2"/>
  <c r="A3704" i="2"/>
  <c r="A3703" i="2"/>
  <c r="A3702" i="2"/>
  <c r="A3701" i="2"/>
  <c r="A3700" i="2"/>
  <c r="A3699" i="2"/>
  <c r="A3698" i="2"/>
  <c r="A3697" i="2"/>
  <c r="A3696" i="2"/>
  <c r="A3695" i="2"/>
  <c r="A3694" i="2"/>
  <c r="A3693" i="2"/>
  <c r="A3692" i="2"/>
  <c r="A3691" i="2"/>
  <c r="A3690" i="2"/>
  <c r="A3689" i="2"/>
  <c r="A3688" i="2"/>
  <c r="A3687" i="2"/>
  <c r="A3686" i="2"/>
  <c r="A3685" i="2"/>
  <c r="A3684" i="2"/>
  <c r="A3683" i="2"/>
  <c r="A3682" i="2"/>
  <c r="A3681" i="2"/>
  <c r="A3680" i="2"/>
  <c r="A3679" i="2"/>
  <c r="A3678" i="2"/>
  <c r="A3677" i="2"/>
  <c r="A3676" i="2"/>
  <c r="A3675" i="2"/>
  <c r="A3674" i="2"/>
  <c r="A3673" i="2"/>
  <c r="A3672" i="2"/>
  <c r="A3671" i="2"/>
  <c r="A3670" i="2"/>
  <c r="A3669" i="2"/>
  <c r="A3668" i="2"/>
  <c r="A3667" i="2"/>
  <c r="A3666" i="2"/>
  <c r="A3665" i="2"/>
  <c r="A3664" i="2"/>
  <c r="A3663" i="2"/>
  <c r="A3662" i="2"/>
  <c r="A3661" i="2"/>
  <c r="A3660" i="2"/>
  <c r="A3659" i="2"/>
  <c r="A3658" i="2"/>
  <c r="A3657" i="2"/>
  <c r="A3656" i="2"/>
  <c r="A3655" i="2"/>
  <c r="A3654" i="2"/>
  <c r="A3653" i="2"/>
  <c r="A3652" i="2"/>
  <c r="A3651" i="2"/>
  <c r="A3650" i="2"/>
  <c r="A3649" i="2"/>
  <c r="A3648" i="2"/>
  <c r="A3647" i="2"/>
  <c r="A3646" i="2"/>
  <c r="A3645" i="2"/>
  <c r="A3644" i="2"/>
  <c r="A3643" i="2"/>
  <c r="A3642" i="2"/>
  <c r="A3641" i="2"/>
  <c r="A3640" i="2"/>
  <c r="A3639" i="2"/>
  <c r="A3638" i="2"/>
  <c r="A3637" i="2"/>
  <c r="A3636" i="2"/>
  <c r="A3635" i="2"/>
  <c r="A3634" i="2"/>
  <c r="A3633" i="2"/>
  <c r="A3632" i="2"/>
  <c r="A3631" i="2"/>
  <c r="A3630" i="2"/>
  <c r="A3629" i="2"/>
  <c r="A3628" i="2"/>
  <c r="A3627" i="2"/>
  <c r="A3626" i="2"/>
  <c r="A3625" i="2"/>
  <c r="A3624" i="2"/>
  <c r="A3623" i="2"/>
  <c r="A3622" i="2"/>
  <c r="A3621" i="2"/>
  <c r="A3620" i="2"/>
  <c r="A3619" i="2"/>
  <c r="A3618" i="2"/>
  <c r="A3617" i="2"/>
  <c r="A3616" i="2"/>
  <c r="A3615" i="2"/>
  <c r="A3614" i="2"/>
  <c r="A3613" i="2"/>
  <c r="A3612" i="2"/>
  <c r="A3611" i="2"/>
  <c r="A3610" i="2"/>
  <c r="A3609" i="2"/>
  <c r="A3608" i="2"/>
  <c r="A3607" i="2"/>
  <c r="A3606" i="2"/>
  <c r="A3605" i="2"/>
  <c r="A3604" i="2"/>
  <c r="A3603" i="2"/>
  <c r="A3602" i="2"/>
  <c r="A3601" i="2"/>
  <c r="A3600" i="2"/>
  <c r="A3599" i="2"/>
  <c r="A3598" i="2"/>
  <c r="A3597" i="2"/>
  <c r="A3596" i="2"/>
  <c r="A3595" i="2"/>
  <c r="A3594" i="2"/>
  <c r="A3593" i="2"/>
  <c r="A3592" i="2"/>
  <c r="A3591" i="2"/>
  <c r="A3590" i="2"/>
  <c r="A3589" i="2"/>
  <c r="A3588" i="2"/>
  <c r="A3587" i="2"/>
  <c r="A3586" i="2"/>
  <c r="A3585" i="2"/>
  <c r="A3584" i="2"/>
  <c r="A3583" i="2"/>
  <c r="A3582" i="2"/>
  <c r="A3581" i="2"/>
  <c r="A3580" i="2"/>
  <c r="A3579" i="2"/>
  <c r="A3578" i="2"/>
  <c r="A3577" i="2"/>
  <c r="A3576" i="2"/>
  <c r="A3575" i="2"/>
  <c r="A3574" i="2"/>
  <c r="A3573" i="2"/>
  <c r="A3572" i="2"/>
  <c r="A3571" i="2"/>
  <c r="A3570" i="2"/>
  <c r="A3569" i="2"/>
  <c r="A3568" i="2"/>
  <c r="A3567" i="2"/>
  <c r="A3566" i="2"/>
  <c r="A3565" i="2"/>
  <c r="A3564" i="2"/>
  <c r="A3563" i="2"/>
  <c r="A3562" i="2"/>
  <c r="A3561" i="2"/>
  <c r="A3560" i="2"/>
  <c r="A3559" i="2"/>
  <c r="A3558" i="2"/>
  <c r="A3557" i="2"/>
  <c r="A3556" i="2"/>
  <c r="A3555" i="2"/>
  <c r="A3554" i="2"/>
  <c r="A3553" i="2"/>
  <c r="A3552" i="2"/>
  <c r="A3551" i="2"/>
  <c r="A3550" i="2"/>
  <c r="A3549" i="2"/>
  <c r="A3548" i="2"/>
  <c r="A3547" i="2"/>
  <c r="A3546" i="2"/>
  <c r="A3545" i="2"/>
  <c r="A3544" i="2"/>
  <c r="A3543" i="2"/>
  <c r="A3542" i="2"/>
  <c r="A3541" i="2"/>
  <c r="A3540" i="2"/>
  <c r="A3539" i="2"/>
  <c r="A3538" i="2"/>
  <c r="A3537" i="2"/>
  <c r="A3536" i="2"/>
  <c r="A3535" i="2"/>
  <c r="A3534" i="2"/>
  <c r="A3533" i="2"/>
  <c r="A3532" i="2"/>
  <c r="A3531" i="2"/>
  <c r="A3530" i="2"/>
  <c r="A3529" i="2"/>
  <c r="A3528" i="2"/>
  <c r="A3527" i="2"/>
  <c r="A3526" i="2"/>
  <c r="A3525" i="2"/>
  <c r="A3524" i="2"/>
  <c r="A3523" i="2"/>
  <c r="A3522" i="2"/>
  <c r="A3521" i="2"/>
  <c r="A3520" i="2"/>
  <c r="A3519" i="2"/>
  <c r="A3518" i="2"/>
  <c r="A3517" i="2"/>
  <c r="A3516" i="2"/>
  <c r="A3515" i="2"/>
  <c r="A3514" i="2"/>
  <c r="A3513" i="2"/>
  <c r="A3512" i="2"/>
  <c r="A3511" i="2"/>
  <c r="A3510" i="2"/>
  <c r="A3509" i="2"/>
  <c r="A3508" i="2"/>
  <c r="A3507" i="2"/>
  <c r="A3506" i="2"/>
  <c r="A3505" i="2"/>
  <c r="A3504" i="2"/>
  <c r="A3503" i="2"/>
  <c r="A3502" i="2"/>
  <c r="A3501" i="2"/>
  <c r="A3500" i="2"/>
  <c r="A3499" i="2"/>
  <c r="A3498" i="2"/>
  <c r="A3497" i="2"/>
  <c r="A3496" i="2"/>
  <c r="A3495" i="2"/>
  <c r="A3494" i="2"/>
  <c r="A3493" i="2"/>
  <c r="A3492" i="2"/>
  <c r="A3491" i="2"/>
  <c r="A3490" i="2"/>
  <c r="A3489" i="2"/>
  <c r="A3488" i="2"/>
  <c r="A3487" i="2"/>
  <c r="A3486" i="2"/>
  <c r="A3485" i="2"/>
  <c r="A3484" i="2"/>
  <c r="A3483" i="2"/>
  <c r="A3482" i="2"/>
  <c r="A3481" i="2"/>
  <c r="A3480" i="2"/>
  <c r="A3479" i="2"/>
  <c r="A3478" i="2"/>
  <c r="A3477" i="2"/>
  <c r="A3476" i="2"/>
  <c r="A3475" i="2"/>
  <c r="A3474" i="2"/>
  <c r="A3473" i="2"/>
  <c r="A3472" i="2"/>
  <c r="A3471" i="2"/>
  <c r="A3470" i="2"/>
  <c r="A3469" i="2"/>
  <c r="A3468" i="2"/>
  <c r="A3467" i="2"/>
  <c r="A3466" i="2"/>
  <c r="A3465" i="2"/>
  <c r="A3464" i="2"/>
  <c r="A3463" i="2"/>
  <c r="A3462" i="2"/>
  <c r="A3461" i="2"/>
  <c r="A3460" i="2"/>
  <c r="A3459" i="2"/>
  <c r="A3458" i="2"/>
  <c r="A3457" i="2"/>
  <c r="A3456" i="2"/>
  <c r="A3455" i="2"/>
  <c r="A3454" i="2"/>
  <c r="A3453" i="2"/>
  <c r="A3452" i="2"/>
  <c r="A3451" i="2"/>
  <c r="A3450" i="2"/>
  <c r="A3449" i="2"/>
  <c r="A3448" i="2"/>
  <c r="A3447" i="2"/>
  <c r="A3446" i="2"/>
  <c r="A3445" i="2"/>
  <c r="A3444" i="2"/>
  <c r="A3443" i="2"/>
  <c r="A3442" i="2"/>
  <c r="A3441" i="2"/>
  <c r="A3440" i="2"/>
  <c r="A3439" i="2"/>
  <c r="A3438" i="2"/>
  <c r="A3437" i="2"/>
  <c r="A3436" i="2"/>
  <c r="A3435" i="2"/>
  <c r="A3434" i="2"/>
  <c r="A3433" i="2"/>
  <c r="A3432" i="2"/>
  <c r="A3431" i="2"/>
  <c r="A3430" i="2"/>
  <c r="A3429" i="2"/>
  <c r="A3428" i="2"/>
  <c r="A3427" i="2"/>
  <c r="A3426" i="2"/>
  <c r="A3425" i="2"/>
  <c r="A3424" i="2"/>
  <c r="A3423" i="2"/>
  <c r="A3422" i="2"/>
  <c r="A3421" i="2"/>
  <c r="A3420" i="2"/>
  <c r="A3419" i="2"/>
  <c r="A3418" i="2"/>
  <c r="A3417" i="2"/>
  <c r="A3416" i="2"/>
  <c r="A3415" i="2"/>
  <c r="A3414" i="2"/>
  <c r="A3413" i="2"/>
  <c r="A3412" i="2"/>
  <c r="A3411" i="2"/>
  <c r="A3410" i="2"/>
  <c r="A3409" i="2"/>
  <c r="A3408" i="2"/>
  <c r="A3407" i="2"/>
  <c r="A3406" i="2"/>
  <c r="A3405" i="2"/>
  <c r="A3404" i="2"/>
  <c r="A3403" i="2"/>
  <c r="A3402" i="2"/>
  <c r="A3401" i="2"/>
  <c r="A3400" i="2"/>
  <c r="A3399" i="2"/>
  <c r="A3398" i="2"/>
  <c r="A3397" i="2"/>
  <c r="A3396" i="2"/>
  <c r="A3395" i="2"/>
  <c r="A3394" i="2"/>
  <c r="A3393" i="2"/>
  <c r="A3392" i="2"/>
  <c r="A3391" i="2"/>
  <c r="A3390" i="2"/>
  <c r="A3389" i="2"/>
  <c r="A3388" i="2"/>
  <c r="A3387" i="2"/>
  <c r="A3386" i="2"/>
  <c r="A3385" i="2"/>
  <c r="A3384" i="2"/>
  <c r="A3383" i="2"/>
  <c r="A3382" i="2"/>
  <c r="A3381" i="2"/>
  <c r="A3380" i="2"/>
  <c r="A3379" i="2"/>
  <c r="A3378" i="2"/>
  <c r="A3377" i="2"/>
  <c r="A3376" i="2"/>
  <c r="A3375" i="2"/>
  <c r="A3374" i="2"/>
  <c r="A3373" i="2"/>
  <c r="A3372" i="2"/>
  <c r="A3371" i="2"/>
  <c r="A3370" i="2"/>
  <c r="A3369" i="2"/>
  <c r="A3368" i="2"/>
  <c r="A3367" i="2"/>
  <c r="A3366" i="2"/>
  <c r="A3365" i="2"/>
  <c r="A3364" i="2"/>
  <c r="A3363" i="2"/>
  <c r="A3362" i="2"/>
  <c r="A3361" i="2"/>
  <c r="A3360" i="2"/>
  <c r="A3359" i="2"/>
  <c r="A3358" i="2"/>
  <c r="A3357" i="2"/>
  <c r="A3356" i="2"/>
  <c r="A3355" i="2"/>
  <c r="A3354" i="2"/>
  <c r="A3353" i="2"/>
  <c r="A3352" i="2"/>
  <c r="A3351" i="2"/>
  <c r="A3350" i="2"/>
  <c r="A3349" i="2"/>
  <c r="A3348" i="2"/>
  <c r="A3347" i="2"/>
  <c r="A3346" i="2"/>
  <c r="A3345" i="2"/>
  <c r="A3344" i="2"/>
  <c r="A3343" i="2"/>
  <c r="A3342" i="2"/>
  <c r="A3341" i="2"/>
  <c r="A3340" i="2"/>
  <c r="A3339" i="2"/>
  <c r="A3338" i="2"/>
  <c r="A3337" i="2"/>
  <c r="A3336" i="2"/>
  <c r="A3335" i="2"/>
  <c r="A3334" i="2"/>
  <c r="A3333" i="2"/>
  <c r="A3332" i="2"/>
  <c r="A3331" i="2"/>
  <c r="A3330" i="2"/>
  <c r="A3329" i="2"/>
  <c r="A3328" i="2"/>
  <c r="A3327" i="2"/>
  <c r="A3326" i="2"/>
  <c r="A3325" i="2"/>
  <c r="A3324" i="2"/>
  <c r="A3323" i="2"/>
  <c r="A3322" i="2"/>
  <c r="A3321" i="2"/>
  <c r="A3320" i="2"/>
  <c r="A3319" i="2"/>
  <c r="A3318" i="2"/>
  <c r="A3317" i="2"/>
  <c r="A3316" i="2"/>
  <c r="A3315" i="2"/>
  <c r="A3314" i="2"/>
  <c r="A3313" i="2"/>
  <c r="A3312" i="2"/>
  <c r="A3311" i="2"/>
  <c r="A3310" i="2"/>
  <c r="A3309" i="2"/>
  <c r="A3308" i="2"/>
  <c r="A3307" i="2"/>
  <c r="A3306" i="2"/>
  <c r="A3305" i="2"/>
  <c r="A3304" i="2"/>
  <c r="A3303" i="2"/>
  <c r="A3302" i="2"/>
  <c r="A3301" i="2"/>
  <c r="A3300" i="2"/>
  <c r="A3299" i="2"/>
  <c r="A3298" i="2"/>
  <c r="A3297" i="2"/>
  <c r="A3296" i="2"/>
  <c r="A3295" i="2"/>
  <c r="A3294" i="2"/>
  <c r="A3293" i="2"/>
  <c r="A3292" i="2"/>
  <c r="A3291" i="2"/>
  <c r="A3290" i="2"/>
  <c r="A3289" i="2"/>
  <c r="A3288" i="2"/>
  <c r="A3287" i="2"/>
  <c r="A3286" i="2"/>
  <c r="A3285" i="2"/>
  <c r="A3284" i="2"/>
  <c r="A3283" i="2"/>
  <c r="A3282" i="2"/>
  <c r="A3281" i="2"/>
  <c r="A3280" i="2"/>
  <c r="A3279" i="2"/>
  <c r="A3278" i="2"/>
  <c r="A3277" i="2"/>
  <c r="A3276" i="2"/>
  <c r="A3275" i="2"/>
  <c r="A3274" i="2"/>
  <c r="A3273" i="2"/>
  <c r="A3272" i="2"/>
  <c r="A3271" i="2"/>
  <c r="A3270" i="2"/>
  <c r="A3269" i="2"/>
  <c r="A3268" i="2"/>
  <c r="A3267" i="2"/>
  <c r="A3266" i="2"/>
  <c r="A3265" i="2"/>
  <c r="A3264" i="2"/>
  <c r="A3263" i="2"/>
  <c r="A3262" i="2"/>
  <c r="A3261" i="2"/>
  <c r="A3260" i="2"/>
  <c r="A3259" i="2"/>
  <c r="A3258" i="2"/>
  <c r="A3257" i="2"/>
  <c r="A3256" i="2"/>
  <c r="A3255" i="2"/>
  <c r="A3254" i="2"/>
  <c r="A3253" i="2"/>
  <c r="A3252" i="2"/>
  <c r="A3251" i="2"/>
  <c r="A3250" i="2"/>
  <c r="A3249" i="2"/>
  <c r="A3248" i="2"/>
  <c r="A3247" i="2"/>
  <c r="A3246" i="2"/>
  <c r="A3245" i="2"/>
  <c r="A3244" i="2"/>
  <c r="A3243" i="2"/>
  <c r="A3242" i="2"/>
  <c r="A3241" i="2"/>
  <c r="A3240" i="2"/>
  <c r="A3239" i="2"/>
  <c r="A3238" i="2"/>
  <c r="A3237" i="2"/>
  <c r="A3236" i="2"/>
  <c r="A3235" i="2"/>
  <c r="A3234" i="2"/>
  <c r="A3233" i="2"/>
  <c r="A3232" i="2"/>
  <c r="A3231" i="2"/>
  <c r="A3230" i="2"/>
  <c r="A3229" i="2"/>
  <c r="A3228" i="2"/>
  <c r="A3227" i="2"/>
  <c r="A3226" i="2"/>
  <c r="A3225" i="2"/>
  <c r="A3224" i="2"/>
  <c r="A3223" i="2"/>
  <c r="A3222" i="2"/>
  <c r="A3221" i="2"/>
  <c r="A3220" i="2"/>
  <c r="A3219" i="2"/>
  <c r="A3218" i="2"/>
  <c r="A3217" i="2"/>
  <c r="A3216" i="2"/>
  <c r="A3215" i="2"/>
  <c r="A3214" i="2"/>
  <c r="A3213" i="2"/>
  <c r="A3212" i="2"/>
  <c r="A3211" i="2"/>
  <c r="A3210" i="2"/>
  <c r="A3209" i="2"/>
  <c r="A3208" i="2"/>
  <c r="A3207" i="2"/>
  <c r="A3206" i="2"/>
  <c r="A3205" i="2"/>
  <c r="A3204" i="2"/>
  <c r="A3203" i="2"/>
  <c r="A3202" i="2"/>
  <c r="A3201" i="2"/>
  <c r="A3200" i="2"/>
  <c r="A3199" i="2"/>
  <c r="A3198" i="2"/>
  <c r="A3197" i="2"/>
  <c r="A3196" i="2"/>
  <c r="A3195" i="2"/>
  <c r="A3194" i="2"/>
  <c r="A3193" i="2"/>
  <c r="A3192" i="2"/>
  <c r="A3191" i="2"/>
  <c r="A3190" i="2"/>
  <c r="A3189" i="2"/>
  <c r="A3188" i="2"/>
  <c r="A3187" i="2"/>
  <c r="A3186" i="2"/>
  <c r="A3185" i="2"/>
  <c r="A3184" i="2"/>
  <c r="A3183" i="2"/>
  <c r="A3182" i="2"/>
  <c r="A3181" i="2"/>
  <c r="A3180" i="2"/>
  <c r="A3179" i="2"/>
  <c r="A3178" i="2"/>
  <c r="A3177" i="2"/>
  <c r="A3176" i="2"/>
  <c r="A3175" i="2"/>
  <c r="A3174" i="2"/>
  <c r="A3173" i="2"/>
  <c r="A3172" i="2"/>
  <c r="A3171" i="2"/>
  <c r="A3170" i="2"/>
  <c r="A3169" i="2"/>
  <c r="A3168" i="2"/>
  <c r="A3167" i="2"/>
  <c r="A3166" i="2"/>
  <c r="A3165" i="2"/>
  <c r="A3164" i="2"/>
  <c r="A3163" i="2"/>
  <c r="A3162" i="2"/>
  <c r="A3161" i="2"/>
  <c r="A3160" i="2"/>
  <c r="A3159" i="2"/>
  <c r="A3158" i="2"/>
  <c r="A3157" i="2"/>
  <c r="A3156" i="2"/>
  <c r="A3155" i="2"/>
  <c r="A3154" i="2"/>
  <c r="A3153" i="2"/>
  <c r="A3152" i="2"/>
  <c r="A3151" i="2"/>
  <c r="A3150" i="2"/>
  <c r="A3149" i="2"/>
  <c r="A3148" i="2"/>
  <c r="A3147" i="2"/>
  <c r="A3146" i="2"/>
  <c r="A3145" i="2"/>
  <c r="A3144" i="2"/>
  <c r="A3143" i="2"/>
  <c r="A3142" i="2"/>
  <c r="A3141" i="2"/>
  <c r="A3140" i="2"/>
  <c r="A3139" i="2"/>
  <c r="A3138" i="2"/>
  <c r="A3137" i="2"/>
  <c r="A3136" i="2"/>
  <c r="A3135" i="2"/>
  <c r="A3134" i="2"/>
  <c r="A3133" i="2"/>
  <c r="A3132" i="2"/>
  <c r="A3131" i="2"/>
  <c r="A3130" i="2"/>
  <c r="A3129" i="2"/>
  <c r="A3128" i="2"/>
  <c r="A3127" i="2"/>
  <c r="A3126" i="2"/>
  <c r="A3125" i="2"/>
  <c r="A3124" i="2"/>
  <c r="A3123" i="2"/>
  <c r="A3122" i="2"/>
  <c r="A3121" i="2"/>
  <c r="A3120" i="2"/>
  <c r="A3119" i="2"/>
  <c r="A3118" i="2"/>
  <c r="A3117" i="2"/>
  <c r="A3116" i="2"/>
  <c r="A3115" i="2"/>
  <c r="A3114" i="2"/>
  <c r="A3113" i="2"/>
  <c r="A3112" i="2"/>
  <c r="A3111" i="2"/>
  <c r="A3110" i="2"/>
  <c r="A3109" i="2"/>
  <c r="A3108" i="2"/>
  <c r="A3107" i="2"/>
  <c r="A3106" i="2"/>
  <c r="A3105" i="2"/>
  <c r="A3104" i="2"/>
  <c r="A3103" i="2"/>
  <c r="A3102" i="2"/>
  <c r="A3101" i="2"/>
  <c r="A3100" i="2"/>
  <c r="A3099" i="2"/>
  <c r="A3098" i="2"/>
  <c r="A3097" i="2"/>
  <c r="A3096" i="2"/>
  <c r="A3095" i="2"/>
  <c r="A3094" i="2"/>
  <c r="A3093" i="2"/>
  <c r="A3092" i="2"/>
  <c r="A3091" i="2"/>
  <c r="A3090" i="2"/>
  <c r="A3089" i="2"/>
  <c r="A3088" i="2"/>
  <c r="A3087" i="2"/>
  <c r="A3086" i="2"/>
  <c r="A3085" i="2"/>
  <c r="A3084" i="2"/>
  <c r="A3083" i="2"/>
  <c r="A3082" i="2"/>
  <c r="A3081" i="2"/>
  <c r="A3080" i="2"/>
  <c r="A3079" i="2"/>
  <c r="A3078" i="2"/>
  <c r="A3077" i="2"/>
  <c r="A3076" i="2"/>
  <c r="A3075" i="2"/>
  <c r="A3074" i="2"/>
  <c r="A3073" i="2"/>
  <c r="A3072" i="2"/>
  <c r="A3071" i="2"/>
  <c r="A3070" i="2"/>
  <c r="A3069" i="2"/>
  <c r="A3068" i="2"/>
  <c r="A3067" i="2"/>
  <c r="A3066" i="2"/>
  <c r="A3065" i="2"/>
  <c r="A3064" i="2"/>
  <c r="A3063" i="2"/>
  <c r="A3062" i="2"/>
  <c r="A3061" i="2"/>
  <c r="A3060" i="2"/>
  <c r="A3059" i="2"/>
  <c r="A3058" i="2"/>
  <c r="A3057" i="2"/>
  <c r="A3056" i="2"/>
  <c r="A3055" i="2"/>
  <c r="A3054" i="2"/>
  <c r="A3053" i="2"/>
  <c r="A3052" i="2"/>
  <c r="A3051" i="2"/>
  <c r="A3050" i="2"/>
  <c r="A3049" i="2"/>
  <c r="A3048" i="2"/>
  <c r="A3047" i="2"/>
  <c r="A3046" i="2"/>
  <c r="A3045" i="2"/>
  <c r="A3044" i="2"/>
  <c r="A3043" i="2"/>
  <c r="A3042" i="2"/>
  <c r="A3041" i="2"/>
  <c r="A3040" i="2"/>
  <c r="A3039" i="2"/>
  <c r="A3038" i="2"/>
  <c r="A3037" i="2"/>
  <c r="A3036" i="2"/>
  <c r="A3035" i="2"/>
  <c r="A3034" i="2"/>
  <c r="A3033" i="2"/>
  <c r="A3032" i="2"/>
  <c r="A3031" i="2"/>
  <c r="A3030" i="2"/>
  <c r="A3029" i="2"/>
  <c r="A3028" i="2"/>
  <c r="A3027" i="2"/>
  <c r="A3026" i="2"/>
  <c r="A3025" i="2"/>
  <c r="A3024" i="2"/>
  <c r="A3023" i="2"/>
  <c r="A3022" i="2"/>
  <c r="A3021" i="2"/>
  <c r="A3020" i="2"/>
  <c r="A3019" i="2"/>
  <c r="A3018" i="2"/>
  <c r="A3017" i="2"/>
  <c r="A3016" i="2"/>
  <c r="A3015" i="2"/>
  <c r="A3014" i="2"/>
  <c r="A3013" i="2"/>
  <c r="A3012" i="2"/>
  <c r="A3011" i="2"/>
  <c r="A3010" i="2"/>
  <c r="A3009" i="2"/>
  <c r="A3008" i="2"/>
  <c r="A3007" i="2"/>
  <c r="A3006" i="2"/>
  <c r="A3005" i="2"/>
  <c r="A3004" i="2"/>
  <c r="A3003" i="2"/>
  <c r="A3002" i="2"/>
  <c r="A3001" i="2"/>
  <c r="A3000" i="2"/>
  <c r="A2999" i="2"/>
  <c r="A2998" i="2"/>
  <c r="A2997" i="2"/>
  <c r="A2996" i="2"/>
  <c r="A2995" i="2"/>
  <c r="A2994" i="2"/>
  <c r="A2993" i="2"/>
  <c r="A2992" i="2"/>
  <c r="A2991" i="2"/>
  <c r="A2990" i="2"/>
  <c r="A2989" i="2"/>
  <c r="A2988" i="2"/>
  <c r="A2987" i="2"/>
  <c r="A2986" i="2"/>
  <c r="A2985" i="2"/>
  <c r="A2984" i="2"/>
  <c r="A2983" i="2"/>
  <c r="A2982" i="2"/>
  <c r="A2981" i="2"/>
  <c r="A2980" i="2"/>
  <c r="A2979" i="2"/>
  <c r="A2978" i="2"/>
  <c r="A2977" i="2"/>
  <c r="A2976" i="2"/>
  <c r="A2975" i="2"/>
  <c r="A2974" i="2"/>
  <c r="A2973" i="2"/>
  <c r="A2972" i="2"/>
  <c r="A2971" i="2"/>
  <c r="A2970" i="2"/>
  <c r="A2969" i="2"/>
  <c r="A2968" i="2"/>
  <c r="A2967" i="2"/>
  <c r="A2966" i="2"/>
  <c r="A2965" i="2"/>
  <c r="A2964" i="2"/>
  <c r="A2963" i="2"/>
  <c r="A2962" i="2"/>
  <c r="A2961" i="2"/>
  <c r="A2960" i="2"/>
  <c r="A2959" i="2"/>
  <c r="A2958" i="2"/>
  <c r="A2957" i="2"/>
  <c r="A2956" i="2"/>
  <c r="A2955" i="2"/>
  <c r="A2954" i="2"/>
  <c r="A2953" i="2"/>
  <c r="A2952" i="2"/>
  <c r="A2951" i="2"/>
  <c r="A2950" i="2"/>
  <c r="A2949" i="2"/>
  <c r="A2948" i="2"/>
  <c r="A2947" i="2"/>
  <c r="A2946" i="2"/>
  <c r="A2945" i="2"/>
  <c r="A2944" i="2"/>
  <c r="A2943" i="2"/>
  <c r="A2942" i="2"/>
  <c r="A2941" i="2"/>
  <c r="A2940" i="2"/>
  <c r="A2939" i="2"/>
  <c r="A2938" i="2"/>
  <c r="A2937" i="2"/>
  <c r="A2936" i="2"/>
  <c r="A2935" i="2"/>
  <c r="A2934" i="2"/>
  <c r="A2933" i="2"/>
  <c r="A2932" i="2"/>
  <c r="A2931" i="2"/>
  <c r="A2930" i="2"/>
  <c r="A2929" i="2"/>
  <c r="A2928" i="2"/>
  <c r="A2927" i="2"/>
  <c r="A2926" i="2"/>
  <c r="A2925" i="2"/>
  <c r="A2924" i="2"/>
  <c r="A2923" i="2"/>
  <c r="A2922" i="2"/>
  <c r="A2921" i="2"/>
  <c r="A2920" i="2"/>
  <c r="A2919" i="2"/>
  <c r="A2918" i="2"/>
  <c r="A2917" i="2"/>
  <c r="A2916" i="2"/>
  <c r="A2915" i="2"/>
  <c r="A2914" i="2"/>
  <c r="A2913" i="2"/>
  <c r="A2912" i="2"/>
  <c r="A2911" i="2"/>
  <c r="A2910" i="2"/>
  <c r="A2909" i="2"/>
  <c r="A2908" i="2"/>
  <c r="A2907" i="2"/>
  <c r="A2906" i="2"/>
  <c r="A2905" i="2"/>
  <c r="A2904" i="2"/>
  <c r="A2903" i="2"/>
  <c r="A2902" i="2"/>
  <c r="A2901" i="2"/>
  <c r="A2900" i="2"/>
  <c r="A2899" i="2"/>
  <c r="A2898" i="2"/>
  <c r="A2897" i="2"/>
  <c r="A2896" i="2"/>
  <c r="A2895" i="2"/>
  <c r="A2894" i="2"/>
  <c r="A2893" i="2"/>
  <c r="A2892" i="2"/>
  <c r="A2891" i="2"/>
  <c r="A2890" i="2"/>
  <c r="A2889" i="2"/>
  <c r="A2888" i="2"/>
  <c r="A2887" i="2"/>
  <c r="A2886" i="2"/>
  <c r="A2885" i="2"/>
  <c r="A2884" i="2"/>
  <c r="A2883" i="2"/>
  <c r="A2882" i="2"/>
  <c r="A2881" i="2"/>
  <c r="A2880" i="2"/>
  <c r="A2879" i="2"/>
  <c r="A2878" i="2"/>
  <c r="A2877" i="2"/>
  <c r="A2876" i="2"/>
  <c r="A2875" i="2"/>
  <c r="A2874" i="2"/>
  <c r="A2873" i="2"/>
  <c r="A2872" i="2"/>
  <c r="A2871" i="2"/>
  <c r="A2870" i="2"/>
  <c r="A2869" i="2"/>
  <c r="A2868" i="2"/>
  <c r="A2867" i="2"/>
  <c r="A2866" i="2"/>
  <c r="A2865" i="2"/>
  <c r="A2864" i="2"/>
  <c r="A2863" i="2"/>
  <c r="A2862" i="2"/>
  <c r="A2861" i="2"/>
  <c r="A2860" i="2"/>
  <c r="A2859" i="2"/>
  <c r="A2858" i="2"/>
  <c r="A2857" i="2"/>
  <c r="A2856" i="2"/>
  <c r="A2855" i="2"/>
  <c r="A2854" i="2"/>
  <c r="A2853" i="2"/>
  <c r="A2852" i="2"/>
  <c r="A2851" i="2"/>
  <c r="A2850" i="2"/>
  <c r="A2849" i="2"/>
  <c r="A2848" i="2"/>
  <c r="A2847" i="2"/>
  <c r="A2846" i="2"/>
  <c r="A2845" i="2"/>
  <c r="A2844" i="2"/>
  <c r="A2843" i="2"/>
  <c r="A2842" i="2"/>
  <c r="A2841" i="2"/>
  <c r="A2840" i="2"/>
  <c r="A2839" i="2"/>
  <c r="A2838" i="2"/>
  <c r="A2837" i="2"/>
  <c r="A2836" i="2"/>
  <c r="A2835" i="2"/>
  <c r="A2834" i="2"/>
  <c r="A2833" i="2"/>
  <c r="A2832" i="2"/>
  <c r="A2831" i="2"/>
  <c r="A2830" i="2"/>
  <c r="A2829" i="2"/>
  <c r="A2828" i="2"/>
  <c r="A2827" i="2"/>
  <c r="A2826" i="2"/>
  <c r="A2825" i="2"/>
  <c r="A2824" i="2"/>
  <c r="A2823" i="2"/>
  <c r="A2822" i="2"/>
  <c r="A2821" i="2"/>
  <c r="A2820" i="2"/>
  <c r="A2819" i="2"/>
  <c r="A2818" i="2"/>
  <c r="A2817" i="2"/>
  <c r="A2816" i="2"/>
  <c r="A2815" i="2"/>
  <c r="A2814" i="2"/>
  <c r="A2813" i="2"/>
  <c r="A2812" i="2"/>
  <c r="A2811" i="2"/>
  <c r="A2810" i="2"/>
  <c r="A2809" i="2"/>
  <c r="A2808" i="2"/>
  <c r="A2807" i="2"/>
  <c r="A2806" i="2"/>
  <c r="A2805" i="2"/>
  <c r="A2804" i="2"/>
  <c r="A2803" i="2"/>
  <c r="A2802" i="2"/>
  <c r="A2801" i="2"/>
  <c r="A2800" i="2"/>
  <c r="A2799" i="2"/>
  <c r="A2798" i="2"/>
  <c r="A2797" i="2"/>
  <c r="A2796" i="2"/>
  <c r="A2795" i="2"/>
  <c r="A2794" i="2"/>
  <c r="A2793" i="2"/>
  <c r="A2792" i="2"/>
  <c r="A2791" i="2"/>
  <c r="A2790" i="2"/>
  <c r="A2789" i="2"/>
  <c r="A2788" i="2"/>
  <c r="A2787" i="2"/>
  <c r="A2786" i="2"/>
  <c r="A2785" i="2"/>
  <c r="A2784" i="2"/>
  <c r="A2783" i="2"/>
  <c r="A2782" i="2"/>
  <c r="A2781" i="2"/>
  <c r="A2780" i="2"/>
  <c r="A2779" i="2"/>
  <c r="A2778" i="2"/>
  <c r="A2777" i="2"/>
  <c r="A2776" i="2"/>
  <c r="A2775" i="2"/>
  <c r="A2774" i="2"/>
  <c r="A2773" i="2"/>
  <c r="A2772" i="2"/>
  <c r="A2771" i="2"/>
  <c r="A2770" i="2"/>
  <c r="A2769" i="2"/>
  <c r="A2768" i="2"/>
  <c r="A2767" i="2"/>
  <c r="A2766" i="2"/>
  <c r="A2765" i="2"/>
  <c r="A2764" i="2"/>
  <c r="A2763" i="2"/>
  <c r="A2762" i="2"/>
  <c r="A2761" i="2"/>
  <c r="A2760" i="2"/>
  <c r="A2759" i="2"/>
  <c r="A2758" i="2"/>
  <c r="A2757" i="2"/>
  <c r="A2756" i="2"/>
  <c r="A2755" i="2"/>
  <c r="A2754" i="2"/>
  <c r="A2753" i="2"/>
  <c r="A2752" i="2"/>
  <c r="A2751" i="2"/>
  <c r="A2750" i="2"/>
  <c r="A2749" i="2"/>
  <c r="A2748" i="2"/>
  <c r="A2747" i="2"/>
  <c r="A2746" i="2"/>
  <c r="A2745" i="2"/>
  <c r="A2744" i="2"/>
  <c r="A2743" i="2"/>
  <c r="A2742" i="2"/>
  <c r="A2741" i="2"/>
  <c r="A2740" i="2"/>
  <c r="A2739" i="2"/>
  <c r="A2738" i="2"/>
  <c r="A2737" i="2"/>
  <c r="A2736" i="2"/>
  <c r="A2735" i="2"/>
  <c r="A2734" i="2"/>
  <c r="A2733" i="2"/>
  <c r="A2732" i="2"/>
  <c r="A2731" i="2"/>
  <c r="A2730" i="2"/>
  <c r="A2729" i="2"/>
  <c r="A2728" i="2"/>
  <c r="A2727" i="2"/>
  <c r="A2726" i="2"/>
  <c r="A2725" i="2"/>
  <c r="A2724" i="2"/>
  <c r="A2723" i="2"/>
  <c r="A2722" i="2"/>
  <c r="A2721" i="2"/>
  <c r="A2720" i="2"/>
  <c r="A2719" i="2"/>
  <c r="A2718" i="2"/>
  <c r="A2717" i="2"/>
  <c r="A2716" i="2"/>
  <c r="A2715" i="2"/>
  <c r="A2714" i="2"/>
  <c r="A2713" i="2"/>
  <c r="A2712" i="2"/>
  <c r="A2711" i="2"/>
  <c r="A2710" i="2"/>
  <c r="A2709" i="2"/>
  <c r="A2708" i="2"/>
  <c r="A2707" i="2"/>
  <c r="A2706" i="2"/>
  <c r="A2705" i="2"/>
  <c r="A2704" i="2"/>
  <c r="A2703" i="2"/>
  <c r="A2702" i="2"/>
  <c r="A2701" i="2"/>
  <c r="A2700" i="2"/>
  <c r="A2699" i="2"/>
  <c r="A2698" i="2"/>
  <c r="A2697" i="2"/>
  <c r="A2696" i="2"/>
  <c r="A2695" i="2"/>
  <c r="A2694" i="2"/>
  <c r="A2693" i="2"/>
  <c r="A2692" i="2"/>
  <c r="A2691" i="2"/>
  <c r="A2690" i="2"/>
  <c r="A2689" i="2"/>
  <c r="A2688" i="2"/>
  <c r="A2687" i="2"/>
  <c r="A2686" i="2"/>
  <c r="A2685" i="2"/>
  <c r="A2684" i="2"/>
  <c r="A2683" i="2"/>
  <c r="A2682" i="2"/>
  <c r="A2681" i="2"/>
  <c r="A2680" i="2"/>
  <c r="A2679" i="2"/>
  <c r="A2678" i="2"/>
  <c r="A2677" i="2"/>
  <c r="A2676" i="2"/>
  <c r="A2675" i="2"/>
  <c r="A2674" i="2"/>
  <c r="A2673" i="2"/>
  <c r="A2672" i="2"/>
  <c r="A2671" i="2"/>
  <c r="A2670" i="2"/>
  <c r="A2669" i="2"/>
  <c r="A2668" i="2"/>
  <c r="A2667" i="2"/>
  <c r="A2666" i="2"/>
  <c r="A2665" i="2"/>
  <c r="A2664" i="2"/>
  <c r="A2663" i="2"/>
  <c r="A2662" i="2"/>
  <c r="A2661" i="2"/>
  <c r="A2660" i="2"/>
  <c r="A2659" i="2"/>
  <c r="A2658" i="2"/>
  <c r="A2657" i="2"/>
  <c r="A2656" i="2"/>
  <c r="A2655" i="2"/>
  <c r="A2654" i="2"/>
  <c r="A2653" i="2"/>
  <c r="A2652" i="2"/>
  <c r="A2651" i="2"/>
  <c r="A2650" i="2"/>
  <c r="A2649" i="2"/>
  <c r="A2648" i="2"/>
  <c r="A2647" i="2"/>
  <c r="A2646" i="2"/>
  <c r="A2645" i="2"/>
  <c r="A2644" i="2"/>
  <c r="A2643" i="2"/>
  <c r="A2642" i="2"/>
  <c r="A2641" i="2"/>
  <c r="A2640" i="2"/>
  <c r="A2639" i="2"/>
  <c r="A2638" i="2"/>
  <c r="A2637" i="2"/>
  <c r="A2636" i="2"/>
  <c r="A2635" i="2"/>
  <c r="A2634" i="2"/>
  <c r="A2633" i="2"/>
  <c r="A2632" i="2"/>
  <c r="A2631" i="2"/>
  <c r="A2630" i="2"/>
  <c r="A2629" i="2"/>
  <c r="A2628" i="2"/>
  <c r="A2627" i="2"/>
  <c r="A2626" i="2"/>
  <c r="A2625" i="2"/>
  <c r="A2624" i="2"/>
  <c r="A2623" i="2"/>
  <c r="A2622" i="2"/>
  <c r="A2621" i="2"/>
  <c r="A2620" i="2"/>
  <c r="A2619" i="2"/>
  <c r="A2618" i="2"/>
  <c r="A2617" i="2"/>
  <c r="A2616" i="2"/>
  <c r="A2615" i="2"/>
  <c r="A2614" i="2"/>
  <c r="A2613" i="2"/>
  <c r="A2612" i="2"/>
  <c r="A2611" i="2"/>
  <c r="A2610" i="2"/>
  <c r="A2609" i="2"/>
  <c r="A2608" i="2"/>
  <c r="A2607" i="2"/>
  <c r="A2606" i="2"/>
  <c r="A2605" i="2"/>
  <c r="A2604" i="2"/>
  <c r="A2603" i="2"/>
  <c r="A2602" i="2"/>
  <c r="A2601" i="2"/>
  <c r="A2600" i="2"/>
  <c r="A2599" i="2"/>
  <c r="A2598" i="2"/>
  <c r="A2597" i="2"/>
  <c r="A2596" i="2"/>
  <c r="A2595" i="2"/>
  <c r="A2594" i="2"/>
  <c r="A2593" i="2"/>
  <c r="A2592" i="2"/>
  <c r="A2591" i="2"/>
  <c r="A2590" i="2"/>
  <c r="A2589" i="2"/>
  <c r="A2588" i="2"/>
  <c r="A2587" i="2"/>
  <c r="A2586" i="2"/>
  <c r="A2585" i="2"/>
  <c r="A2584" i="2"/>
  <c r="A2583" i="2"/>
  <c r="A2582" i="2"/>
  <c r="A2581" i="2"/>
  <c r="A2580" i="2"/>
  <c r="A2579" i="2"/>
  <c r="A2578" i="2"/>
  <c r="A2577" i="2"/>
  <c r="A2576" i="2"/>
  <c r="A2575" i="2"/>
  <c r="A2574" i="2"/>
  <c r="A2573" i="2"/>
  <c r="A2572" i="2"/>
  <c r="A2571" i="2"/>
  <c r="A2570" i="2"/>
  <c r="A2569" i="2"/>
  <c r="A2568" i="2"/>
  <c r="A2567" i="2"/>
  <c r="A2566" i="2"/>
  <c r="A2565" i="2"/>
  <c r="A2564" i="2"/>
  <c r="A2563" i="2"/>
  <c r="A2562" i="2"/>
  <c r="A2561" i="2"/>
  <c r="A2560" i="2"/>
  <c r="A2559" i="2"/>
  <c r="A2558" i="2"/>
  <c r="A2557" i="2"/>
  <c r="A2556" i="2"/>
  <c r="A2555" i="2"/>
  <c r="A2554" i="2"/>
  <c r="A2553" i="2"/>
  <c r="A2552" i="2"/>
  <c r="A2551" i="2"/>
  <c r="A2550" i="2"/>
  <c r="A2549" i="2"/>
  <c r="A2548" i="2"/>
  <c r="A2547" i="2"/>
  <c r="A2546" i="2"/>
  <c r="A2545" i="2"/>
  <c r="A2544" i="2"/>
  <c r="A2543" i="2"/>
  <c r="A2542" i="2"/>
  <c r="A2541" i="2"/>
  <c r="A2540" i="2"/>
  <c r="A2539" i="2"/>
  <c r="A2538" i="2"/>
  <c r="A2537" i="2"/>
  <c r="A2536" i="2"/>
  <c r="A2535" i="2"/>
  <c r="A2534" i="2"/>
  <c r="A2533" i="2"/>
  <c r="A2532" i="2"/>
  <c r="A2531" i="2"/>
  <c r="A2530" i="2"/>
  <c r="A2529" i="2"/>
  <c r="A2528" i="2"/>
  <c r="A2527" i="2"/>
  <c r="A2526" i="2"/>
  <c r="A2525" i="2"/>
  <c r="A2524" i="2"/>
  <c r="A2523" i="2"/>
  <c r="A2522" i="2"/>
  <c r="A2521" i="2"/>
  <c r="A2520" i="2"/>
  <c r="A2519" i="2"/>
  <c r="A2518" i="2"/>
  <c r="A2517" i="2"/>
  <c r="A2516" i="2"/>
  <c r="A2515" i="2"/>
  <c r="A2514" i="2"/>
  <c r="A2513" i="2"/>
  <c r="A2512" i="2"/>
  <c r="A2511" i="2"/>
  <c r="A2510" i="2"/>
  <c r="A2509" i="2"/>
  <c r="A2508" i="2"/>
  <c r="A2507" i="2"/>
  <c r="A2506" i="2"/>
  <c r="A2505" i="2"/>
  <c r="A2504" i="2"/>
  <c r="A2503" i="2"/>
  <c r="A2502" i="2"/>
  <c r="A2501" i="2"/>
  <c r="A2500" i="2"/>
  <c r="A2499" i="2"/>
  <c r="A2498" i="2"/>
  <c r="A2497" i="2"/>
  <c r="A2496" i="2"/>
  <c r="A2495" i="2"/>
  <c r="A2494" i="2"/>
  <c r="A2493" i="2"/>
  <c r="A2492" i="2"/>
  <c r="A2491" i="2"/>
  <c r="A2490" i="2"/>
  <c r="A2489" i="2"/>
  <c r="A2488" i="2"/>
  <c r="A2487" i="2"/>
  <c r="A2486" i="2"/>
  <c r="A2485" i="2"/>
  <c r="A2484" i="2"/>
  <c r="A2483" i="2"/>
  <c r="A2482" i="2"/>
  <c r="A2481" i="2"/>
  <c r="A2480" i="2"/>
  <c r="A2479" i="2"/>
  <c r="A2478" i="2"/>
  <c r="A2477" i="2"/>
  <c r="A2476" i="2"/>
  <c r="A2475" i="2"/>
  <c r="A2474" i="2"/>
  <c r="A2473" i="2"/>
  <c r="A2472" i="2"/>
  <c r="A2471" i="2"/>
  <c r="A2470" i="2"/>
  <c r="A2469" i="2"/>
  <c r="A2468" i="2"/>
  <c r="A2467" i="2"/>
  <c r="A2466" i="2"/>
  <c r="A2465" i="2"/>
  <c r="A2464" i="2"/>
  <c r="A2463" i="2"/>
  <c r="A2462" i="2"/>
  <c r="A2461" i="2"/>
  <c r="A2460" i="2"/>
  <c r="A2459" i="2"/>
  <c r="A2458" i="2"/>
  <c r="A2457" i="2"/>
  <c r="A2456" i="2"/>
  <c r="A2455" i="2"/>
  <c r="A2454" i="2"/>
  <c r="A2453" i="2"/>
  <c r="A2452" i="2"/>
  <c r="A2451" i="2"/>
  <c r="A2450" i="2"/>
  <c r="A2449" i="2"/>
  <c r="A2448" i="2"/>
  <c r="A2447" i="2"/>
  <c r="A2446" i="2"/>
  <c r="A2445" i="2"/>
  <c r="A2444" i="2"/>
  <c r="A2443" i="2"/>
  <c r="A2442" i="2"/>
  <c r="A2441" i="2"/>
  <c r="A2440" i="2"/>
  <c r="A2439" i="2"/>
  <c r="A2438" i="2"/>
  <c r="A2437" i="2"/>
  <c r="A2436" i="2"/>
  <c r="A2435" i="2"/>
  <c r="A2434" i="2"/>
  <c r="A2433" i="2"/>
  <c r="A2432" i="2"/>
  <c r="A2431" i="2"/>
  <c r="A2430" i="2"/>
  <c r="A2429" i="2"/>
  <c r="A2428" i="2"/>
  <c r="A2427" i="2"/>
  <c r="A2426" i="2"/>
  <c r="A2425" i="2"/>
  <c r="A2424" i="2"/>
  <c r="A2423" i="2"/>
  <c r="A2422" i="2"/>
  <c r="A2421" i="2"/>
  <c r="A2420" i="2"/>
  <c r="A2419" i="2"/>
  <c r="A2418" i="2"/>
  <c r="A2417" i="2"/>
  <c r="A2416" i="2"/>
  <c r="A2415" i="2"/>
  <c r="A2414" i="2"/>
  <c r="A2413" i="2"/>
  <c r="A2412" i="2"/>
  <c r="A2411" i="2"/>
  <c r="A2410" i="2"/>
  <c r="A2409" i="2"/>
  <c r="A2408" i="2"/>
  <c r="A2407" i="2"/>
  <c r="A2406" i="2"/>
  <c r="A2405" i="2"/>
  <c r="A2404" i="2"/>
  <c r="A2403" i="2"/>
  <c r="A2402" i="2"/>
  <c r="A2401" i="2"/>
  <c r="A2400" i="2"/>
  <c r="A2399" i="2"/>
  <c r="A2398" i="2"/>
  <c r="A2397" i="2"/>
  <c r="A2396" i="2"/>
  <c r="A2395" i="2"/>
  <c r="A2394" i="2"/>
  <c r="A2393" i="2"/>
  <c r="A2392" i="2"/>
  <c r="A2391" i="2"/>
  <c r="A2390" i="2"/>
  <c r="A2389" i="2"/>
  <c r="A2388" i="2"/>
  <c r="A2387" i="2"/>
  <c r="A2386" i="2"/>
  <c r="A2385" i="2"/>
  <c r="A2384" i="2"/>
  <c r="A2383" i="2"/>
  <c r="A2382" i="2"/>
  <c r="A2381" i="2"/>
  <c r="A2380" i="2"/>
  <c r="A2379" i="2"/>
  <c r="A2378" i="2"/>
  <c r="A2377" i="2"/>
  <c r="A2376" i="2"/>
  <c r="A2375" i="2"/>
  <c r="A2374" i="2"/>
  <c r="A2373" i="2"/>
  <c r="A2372" i="2"/>
  <c r="A2371" i="2"/>
  <c r="A2370" i="2"/>
  <c r="A2369" i="2"/>
  <c r="A2368" i="2"/>
  <c r="A2367" i="2"/>
  <c r="A2366" i="2"/>
  <c r="A2365" i="2"/>
  <c r="A2364" i="2"/>
  <c r="A2363" i="2"/>
  <c r="A2362" i="2"/>
  <c r="A2361" i="2"/>
  <c r="A2360" i="2"/>
  <c r="A2359" i="2"/>
  <c r="A2358" i="2"/>
  <c r="A2357" i="2"/>
  <c r="A2356" i="2"/>
  <c r="A2355" i="2"/>
  <c r="A2354" i="2"/>
  <c r="A2353" i="2"/>
  <c r="A2352" i="2"/>
  <c r="A2351" i="2"/>
  <c r="A2350" i="2"/>
  <c r="A2349" i="2"/>
  <c r="A2348" i="2"/>
  <c r="A2347" i="2"/>
  <c r="A2346" i="2"/>
  <c r="A2345" i="2"/>
  <c r="A2344" i="2"/>
  <c r="A2343" i="2"/>
  <c r="A2342" i="2"/>
  <c r="A2341" i="2"/>
  <c r="A2340" i="2"/>
  <c r="A2339" i="2"/>
  <c r="A2338" i="2"/>
  <c r="A2337" i="2"/>
  <c r="A2336" i="2"/>
  <c r="A2335" i="2"/>
  <c r="A2334" i="2"/>
  <c r="A2333" i="2"/>
  <c r="A2332" i="2"/>
  <c r="A2331" i="2"/>
  <c r="A2330" i="2"/>
  <c r="A2329" i="2"/>
  <c r="A2328" i="2"/>
  <c r="A2327" i="2"/>
  <c r="A2326" i="2"/>
  <c r="A2325" i="2"/>
  <c r="A2324" i="2"/>
  <c r="A2323" i="2"/>
  <c r="A2322" i="2"/>
  <c r="A2321" i="2"/>
  <c r="A2320" i="2"/>
  <c r="A2319" i="2"/>
  <c r="A2318" i="2"/>
  <c r="A2317" i="2"/>
  <c r="A2316" i="2"/>
  <c r="A2315" i="2"/>
  <c r="A2314" i="2"/>
  <c r="A2313" i="2"/>
  <c r="A2312" i="2"/>
  <c r="A2311" i="2"/>
  <c r="A2310" i="2"/>
  <c r="A2309" i="2"/>
  <c r="A2308" i="2"/>
  <c r="A2307" i="2"/>
  <c r="A2306" i="2"/>
  <c r="A2305" i="2"/>
  <c r="A2304" i="2"/>
  <c r="A2303" i="2"/>
  <c r="A2302" i="2"/>
  <c r="A2301" i="2"/>
  <c r="A2300" i="2"/>
  <c r="A2299" i="2"/>
  <c r="A2298" i="2"/>
  <c r="A2297" i="2"/>
  <c r="A2296" i="2"/>
  <c r="A2295" i="2"/>
  <c r="A2294" i="2"/>
  <c r="A2293" i="2"/>
  <c r="A2292" i="2"/>
  <c r="A2291" i="2"/>
  <c r="A2290" i="2"/>
  <c r="A2289" i="2"/>
  <c r="A2288" i="2"/>
  <c r="A2287" i="2"/>
  <c r="A2286" i="2"/>
  <c r="A2285" i="2"/>
  <c r="A2284" i="2"/>
  <c r="A2283" i="2"/>
  <c r="A2282" i="2"/>
  <c r="A2281" i="2"/>
  <c r="A2280" i="2"/>
  <c r="A2279" i="2"/>
  <c r="A2278" i="2"/>
  <c r="A2277" i="2"/>
  <c r="A2276" i="2"/>
  <c r="A2275" i="2"/>
  <c r="A2274" i="2"/>
  <c r="A2273" i="2"/>
  <c r="A2272" i="2"/>
  <c r="A2271" i="2"/>
  <c r="A2270" i="2"/>
  <c r="A2269" i="2"/>
  <c r="A2268" i="2"/>
  <c r="A2267" i="2"/>
  <c r="A2266" i="2"/>
  <c r="A2265" i="2"/>
  <c r="A2264" i="2"/>
  <c r="A2263" i="2"/>
  <c r="A2262" i="2"/>
  <c r="A2261" i="2"/>
  <c r="A2260" i="2"/>
  <c r="A2259" i="2"/>
  <c r="A2258" i="2"/>
  <c r="A2257" i="2"/>
  <c r="A2256" i="2"/>
  <c r="A2255" i="2"/>
  <c r="A2254" i="2"/>
  <c r="A2253" i="2"/>
  <c r="A2252" i="2"/>
  <c r="A2251" i="2"/>
  <c r="A2250" i="2"/>
  <c r="A2249" i="2"/>
  <c r="A2248" i="2"/>
  <c r="A2247" i="2"/>
  <c r="A2246" i="2"/>
  <c r="A2245" i="2"/>
  <c r="A2244" i="2"/>
  <c r="A2243" i="2"/>
  <c r="A2242" i="2"/>
  <c r="A2241" i="2"/>
  <c r="A2240" i="2"/>
  <c r="A2239" i="2"/>
  <c r="A2238" i="2"/>
  <c r="A2237" i="2"/>
  <c r="A2236" i="2"/>
  <c r="A2235" i="2"/>
  <c r="A2234" i="2"/>
  <c r="A2233" i="2"/>
  <c r="A2232" i="2"/>
  <c r="A2231" i="2"/>
  <c r="A2230" i="2"/>
  <c r="A2229" i="2"/>
  <c r="A2228" i="2"/>
  <c r="A2227" i="2"/>
  <c r="A2226" i="2"/>
  <c r="A2225" i="2"/>
  <c r="A2224" i="2"/>
  <c r="A2223" i="2"/>
  <c r="A2222" i="2"/>
  <c r="A2221" i="2"/>
  <c r="A2220" i="2"/>
  <c r="A2219" i="2"/>
  <c r="A2218" i="2"/>
  <c r="A2217" i="2"/>
  <c r="A2216" i="2"/>
  <c r="A2215" i="2"/>
  <c r="A2214" i="2"/>
  <c r="A2213" i="2"/>
  <c r="A2212" i="2"/>
  <c r="A2211" i="2"/>
  <c r="A2210" i="2"/>
  <c r="A2209" i="2"/>
  <c r="A2208" i="2"/>
  <c r="A2207" i="2"/>
  <c r="A2206" i="2"/>
  <c r="A2205" i="2"/>
  <c r="A2204" i="2"/>
  <c r="A2203" i="2"/>
  <c r="A2202" i="2"/>
  <c r="A2201" i="2"/>
  <c r="A2200" i="2"/>
  <c r="A2199" i="2"/>
  <c r="A2198" i="2"/>
  <c r="A2197" i="2"/>
  <c r="A2196" i="2"/>
  <c r="A2195" i="2"/>
  <c r="A2194" i="2"/>
  <c r="A2193" i="2"/>
  <c r="A2192" i="2"/>
  <c r="A2191" i="2"/>
  <c r="A2190" i="2"/>
  <c r="A2189" i="2"/>
  <c r="A2188" i="2"/>
  <c r="A2187" i="2"/>
  <c r="A2186" i="2"/>
  <c r="A2185" i="2"/>
  <c r="A2184" i="2"/>
  <c r="A2183" i="2"/>
  <c r="A2182" i="2"/>
  <c r="A2181" i="2"/>
  <c r="A2180" i="2"/>
  <c r="A2179" i="2"/>
  <c r="A2178" i="2"/>
  <c r="A2177" i="2"/>
  <c r="A2176" i="2"/>
  <c r="A2175" i="2"/>
  <c r="A2174" i="2"/>
  <c r="A2173" i="2"/>
  <c r="A2172" i="2"/>
  <c r="A2171" i="2"/>
  <c r="A2170" i="2"/>
  <c r="A2169" i="2"/>
  <c r="A2168" i="2"/>
  <c r="A2167" i="2"/>
  <c r="A2166" i="2"/>
  <c r="A2165" i="2"/>
  <c r="A2164" i="2"/>
  <c r="A2163" i="2"/>
  <c r="A2162" i="2"/>
  <c r="A2161" i="2"/>
  <c r="A2160" i="2"/>
  <c r="A2159" i="2"/>
  <c r="A2158" i="2"/>
  <c r="A2157" i="2"/>
  <c r="A2156" i="2"/>
  <c r="A2155" i="2"/>
  <c r="A2154" i="2"/>
  <c r="A2153" i="2"/>
  <c r="A2152" i="2"/>
  <c r="A2151" i="2"/>
  <c r="A2150" i="2"/>
  <c r="A2149" i="2"/>
  <c r="A2148" i="2"/>
  <c r="A2147" i="2"/>
  <c r="A2146" i="2"/>
  <c r="A2145" i="2"/>
  <c r="A2144" i="2"/>
  <c r="A2143" i="2"/>
  <c r="A2142" i="2"/>
  <c r="A2141" i="2"/>
  <c r="A2140" i="2"/>
  <c r="A2139" i="2"/>
  <c r="A2138" i="2"/>
  <c r="A2137" i="2"/>
  <c r="A2136" i="2"/>
  <c r="A2135" i="2"/>
  <c r="A2134" i="2"/>
  <c r="A2133" i="2"/>
  <c r="A2132" i="2"/>
  <c r="A2131" i="2"/>
  <c r="A2130" i="2"/>
  <c r="A2129" i="2"/>
  <c r="A2128" i="2"/>
  <c r="A2127" i="2"/>
  <c r="A2126" i="2"/>
  <c r="A2125" i="2"/>
  <c r="A2124" i="2"/>
  <c r="A2123" i="2"/>
  <c r="A2122" i="2"/>
  <c r="A2121" i="2"/>
  <c r="A2120" i="2"/>
  <c r="A2119" i="2"/>
  <c r="A2118" i="2"/>
  <c r="A2117" i="2"/>
  <c r="A2116" i="2"/>
  <c r="A2115" i="2"/>
  <c r="A2114" i="2"/>
  <c r="A2113" i="2"/>
  <c r="A2112" i="2"/>
  <c r="A2111" i="2"/>
  <c r="A2110" i="2"/>
  <c r="A2109" i="2"/>
  <c r="A2108" i="2"/>
  <c r="A2107" i="2"/>
  <c r="A2106" i="2"/>
  <c r="A2105" i="2"/>
  <c r="A2104" i="2"/>
  <c r="A2103" i="2"/>
  <c r="A2102" i="2"/>
  <c r="A2101" i="2"/>
  <c r="A2100" i="2"/>
  <c r="A2099" i="2"/>
  <c r="A2098" i="2"/>
  <c r="A2097" i="2"/>
  <c r="A2096" i="2"/>
  <c r="A2095" i="2"/>
  <c r="A2094" i="2"/>
  <c r="A2093" i="2"/>
  <c r="A2092" i="2"/>
  <c r="A2091" i="2"/>
  <c r="A2090" i="2"/>
  <c r="A2089" i="2"/>
  <c r="A2088" i="2"/>
  <c r="A2087" i="2"/>
  <c r="A2086" i="2"/>
  <c r="A2085" i="2"/>
  <c r="A2084" i="2"/>
  <c r="A2083" i="2"/>
  <c r="A2082" i="2"/>
  <c r="A2081" i="2"/>
  <c r="A2080" i="2"/>
  <c r="A2079" i="2"/>
  <c r="A2078" i="2"/>
  <c r="A2077" i="2"/>
  <c r="A2076" i="2"/>
  <c r="A2075" i="2"/>
  <c r="A2074" i="2"/>
  <c r="A2073" i="2"/>
  <c r="A2072" i="2"/>
  <c r="A2071" i="2"/>
  <c r="A2070" i="2"/>
  <c r="A2069" i="2"/>
  <c r="A2068" i="2"/>
  <c r="A2067" i="2"/>
  <c r="A2066" i="2"/>
  <c r="A2065" i="2"/>
  <c r="A2064" i="2"/>
  <c r="A2063" i="2"/>
  <c r="A2062" i="2"/>
  <c r="A2061" i="2"/>
  <c r="A2060" i="2"/>
  <c r="A2059" i="2"/>
  <c r="A2058" i="2"/>
  <c r="A2057" i="2"/>
  <c r="A2056" i="2"/>
  <c r="A2055" i="2"/>
  <c r="A2054" i="2"/>
  <c r="A2053" i="2"/>
  <c r="A2052" i="2"/>
  <c r="A2051" i="2"/>
  <c r="A2050" i="2"/>
  <c r="A2049" i="2"/>
  <c r="A2048" i="2"/>
  <c r="A2047" i="2"/>
  <c r="A2046" i="2"/>
  <c r="A2045" i="2"/>
  <c r="A2044" i="2"/>
  <c r="A2043" i="2"/>
  <c r="A2042" i="2"/>
  <c r="A2041" i="2"/>
  <c r="A2040" i="2"/>
  <c r="A2039" i="2"/>
  <c r="A2038" i="2"/>
  <c r="A2037" i="2"/>
  <c r="A2036" i="2"/>
  <c r="A2035" i="2"/>
  <c r="A2034" i="2"/>
  <c r="A2033" i="2"/>
  <c r="A2032" i="2"/>
  <c r="A2031" i="2"/>
  <c r="A2030" i="2"/>
  <c r="A2029" i="2"/>
  <c r="A2028" i="2"/>
  <c r="A2027" i="2"/>
  <c r="A2026" i="2"/>
  <c r="A2025" i="2"/>
  <c r="A2024" i="2"/>
  <c r="A2023" i="2"/>
  <c r="A2022" i="2"/>
  <c r="A2021" i="2"/>
  <c r="A2020" i="2"/>
  <c r="A2019" i="2"/>
  <c r="A2018" i="2"/>
  <c r="A2017" i="2"/>
  <c r="A2016" i="2"/>
  <c r="A2015" i="2"/>
  <c r="A2014" i="2"/>
  <c r="A2013" i="2"/>
  <c r="A2012" i="2"/>
  <c r="A2011" i="2"/>
  <c r="A2010" i="2"/>
  <c r="A2009" i="2"/>
  <c r="A2008" i="2"/>
  <c r="A2007" i="2"/>
  <c r="A2006" i="2"/>
  <c r="A2005" i="2"/>
  <c r="A2004" i="2"/>
  <c r="A2003" i="2"/>
  <c r="A2002" i="2"/>
  <c r="A2001" i="2"/>
  <c r="A2000" i="2"/>
  <c r="A1999" i="2"/>
  <c r="A1998" i="2"/>
  <c r="A1997" i="2"/>
  <c r="A1996" i="2"/>
  <c r="A1995" i="2"/>
  <c r="A1994" i="2"/>
  <c r="A1993" i="2"/>
  <c r="A1992" i="2"/>
  <c r="A1991" i="2"/>
  <c r="A1990" i="2"/>
  <c r="A1989" i="2"/>
  <c r="A1988" i="2"/>
  <c r="A1987" i="2"/>
  <c r="A1986" i="2"/>
  <c r="A1985" i="2"/>
  <c r="A1984" i="2"/>
  <c r="A1983" i="2"/>
  <c r="A1982" i="2"/>
  <c r="A1981" i="2"/>
  <c r="A1980" i="2"/>
  <c r="A1979" i="2"/>
  <c r="A1978" i="2"/>
  <c r="A1977" i="2"/>
  <c r="A1976" i="2"/>
  <c r="A1975" i="2"/>
  <c r="A1974" i="2"/>
  <c r="A1973" i="2"/>
  <c r="A1972" i="2"/>
  <c r="A1971" i="2"/>
  <c r="A1970" i="2"/>
  <c r="A1969" i="2"/>
  <c r="A1968" i="2"/>
  <c r="A1967" i="2"/>
  <c r="A1966" i="2"/>
  <c r="A1965" i="2"/>
  <c r="A1964" i="2"/>
  <c r="A1963" i="2"/>
  <c r="A1962" i="2"/>
  <c r="A1961" i="2"/>
  <c r="A1960" i="2"/>
  <c r="A1959" i="2"/>
  <c r="A1958" i="2"/>
  <c r="A1957" i="2"/>
  <c r="A1956" i="2"/>
  <c r="A1955" i="2"/>
  <c r="A1954" i="2"/>
  <c r="A1953" i="2"/>
  <c r="A1952" i="2"/>
  <c r="A1951" i="2"/>
  <c r="A1950" i="2"/>
  <c r="A1949" i="2"/>
  <c r="A1948" i="2"/>
  <c r="A1947" i="2"/>
  <c r="A1946" i="2"/>
  <c r="A1945" i="2"/>
  <c r="A1944" i="2"/>
  <c r="A1943" i="2"/>
  <c r="A1942" i="2"/>
  <c r="A1941" i="2"/>
  <c r="A1940" i="2"/>
  <c r="A1939" i="2"/>
  <c r="A1938" i="2"/>
  <c r="A1937" i="2"/>
  <c r="A1936" i="2"/>
  <c r="A1935" i="2"/>
  <c r="A1934" i="2"/>
  <c r="A1933" i="2"/>
  <c r="A1932" i="2"/>
  <c r="A1931" i="2"/>
  <c r="A1930" i="2"/>
  <c r="A1929" i="2"/>
  <c r="A1928" i="2"/>
  <c r="A1927" i="2"/>
  <c r="A1926" i="2"/>
  <c r="A1925" i="2"/>
  <c r="A1924" i="2"/>
  <c r="A1923" i="2"/>
  <c r="A1922" i="2"/>
  <c r="A1921" i="2"/>
  <c r="A1920" i="2"/>
  <c r="A1919" i="2"/>
  <c r="A1918" i="2"/>
  <c r="A1917" i="2"/>
  <c r="A1916" i="2"/>
  <c r="A1915" i="2"/>
  <c r="A1914" i="2"/>
  <c r="A1913" i="2"/>
  <c r="A1912" i="2"/>
  <c r="A1911" i="2"/>
  <c r="A1910" i="2"/>
  <c r="A1909" i="2"/>
  <c r="A1908" i="2"/>
  <c r="A1907" i="2"/>
  <c r="A1906" i="2"/>
  <c r="A1905" i="2"/>
  <c r="A1904" i="2"/>
  <c r="A1903" i="2"/>
  <c r="A1902" i="2"/>
  <c r="A1901" i="2"/>
  <c r="A1900" i="2"/>
  <c r="A1899" i="2"/>
  <c r="A1898" i="2"/>
  <c r="A1897" i="2"/>
  <c r="A1896" i="2"/>
  <c r="A1895" i="2"/>
  <c r="A1894" i="2"/>
  <c r="A1893" i="2"/>
  <c r="A1892" i="2"/>
  <c r="A1891" i="2"/>
  <c r="A1890" i="2"/>
  <c r="A1889" i="2"/>
  <c r="A1888" i="2"/>
  <c r="A1887" i="2"/>
  <c r="A1886" i="2"/>
  <c r="A1885" i="2"/>
  <c r="A1884" i="2"/>
  <c r="A1883" i="2"/>
  <c r="A1882" i="2"/>
  <c r="A1881" i="2"/>
  <c r="A1880" i="2"/>
  <c r="A1879" i="2"/>
  <c r="A1878" i="2"/>
  <c r="A1877" i="2"/>
  <c r="A1876" i="2"/>
  <c r="A1875" i="2"/>
  <c r="A1874" i="2"/>
  <c r="A1873" i="2"/>
  <c r="A1872" i="2"/>
  <c r="A1871" i="2"/>
  <c r="A1870" i="2"/>
  <c r="A1869" i="2"/>
  <c r="A1868" i="2"/>
  <c r="A1867" i="2"/>
  <c r="A1866" i="2"/>
  <c r="A1865" i="2"/>
  <c r="A1864" i="2"/>
  <c r="A1863" i="2"/>
  <c r="A1862" i="2"/>
  <c r="A1861" i="2"/>
  <c r="A1860" i="2"/>
  <c r="A1859" i="2"/>
  <c r="A1858" i="2"/>
  <c r="A1857" i="2"/>
  <c r="A1856" i="2"/>
  <c r="A1855" i="2"/>
  <c r="A1854" i="2"/>
  <c r="A1853" i="2"/>
  <c r="A1852" i="2"/>
  <c r="A1851" i="2"/>
  <c r="A1850" i="2"/>
  <c r="A1849" i="2"/>
  <c r="A1848" i="2"/>
  <c r="A1847" i="2"/>
  <c r="A1846" i="2"/>
  <c r="A1845" i="2"/>
  <c r="A1844" i="2"/>
  <c r="A1843" i="2"/>
  <c r="A1842" i="2"/>
  <c r="A1841" i="2"/>
  <c r="A1840" i="2"/>
  <c r="A1839" i="2"/>
  <c r="A1838" i="2"/>
  <c r="A1837" i="2"/>
  <c r="A1836" i="2"/>
  <c r="A1835" i="2"/>
  <c r="A1834" i="2"/>
  <c r="A1833" i="2"/>
  <c r="A1832" i="2"/>
  <c r="A1831" i="2"/>
  <c r="A1830" i="2"/>
  <c r="A1829" i="2"/>
  <c r="A1828" i="2"/>
  <c r="A1827" i="2"/>
  <c r="A1826" i="2"/>
  <c r="A1825" i="2"/>
  <c r="A1824" i="2"/>
  <c r="A1823" i="2"/>
  <c r="A1822" i="2"/>
  <c r="A1821" i="2"/>
  <c r="A1820" i="2"/>
  <c r="A1819" i="2"/>
  <c r="A1818" i="2"/>
  <c r="A1817" i="2"/>
  <c r="A1816" i="2"/>
  <c r="A1815" i="2"/>
  <c r="A1814" i="2"/>
  <c r="A1813" i="2"/>
  <c r="A1812" i="2"/>
  <c r="A1811" i="2"/>
  <c r="A1810" i="2"/>
  <c r="A1809" i="2"/>
  <c r="A1808" i="2"/>
  <c r="A1807" i="2"/>
  <c r="A1806" i="2"/>
  <c r="A1805" i="2"/>
  <c r="A1804" i="2"/>
  <c r="A1803" i="2"/>
  <c r="A1802" i="2"/>
  <c r="A1801" i="2"/>
  <c r="A1800" i="2"/>
  <c r="A1799" i="2"/>
  <c r="A1798" i="2"/>
  <c r="A1797" i="2"/>
  <c r="A1796" i="2"/>
  <c r="A1795" i="2"/>
  <c r="A1794" i="2"/>
  <c r="A1793" i="2"/>
  <c r="A1792" i="2"/>
  <c r="A1791" i="2"/>
  <c r="A1790" i="2"/>
  <c r="A1789" i="2"/>
  <c r="A1788" i="2"/>
  <c r="A1787" i="2"/>
  <c r="A1786" i="2"/>
  <c r="A1785" i="2"/>
  <c r="A1784" i="2"/>
  <c r="A1783" i="2"/>
  <c r="A1782" i="2"/>
  <c r="A1781" i="2"/>
  <c r="A1780" i="2"/>
  <c r="A1779" i="2"/>
  <c r="A1778" i="2"/>
  <c r="A1777" i="2"/>
  <c r="A1776" i="2"/>
  <c r="A1775" i="2"/>
  <c r="A1774" i="2"/>
  <c r="A1773" i="2"/>
  <c r="A1772" i="2"/>
  <c r="A1771" i="2"/>
  <c r="A1770" i="2"/>
  <c r="A1769" i="2"/>
  <c r="A1768" i="2"/>
  <c r="A1767" i="2"/>
  <c r="A1766" i="2"/>
  <c r="A1765" i="2"/>
  <c r="A1764" i="2"/>
  <c r="A1763" i="2"/>
  <c r="A1762" i="2"/>
  <c r="A1761" i="2"/>
  <c r="A1760" i="2"/>
  <c r="A1759" i="2"/>
  <c r="A1758" i="2"/>
  <c r="A1757" i="2"/>
  <c r="A1756" i="2"/>
  <c r="A1755" i="2"/>
  <c r="A1754" i="2"/>
  <c r="A1753" i="2"/>
  <c r="A1752" i="2"/>
  <c r="A1751" i="2"/>
  <c r="A1750" i="2"/>
  <c r="A1749" i="2"/>
  <c r="A1748" i="2"/>
  <c r="A1747" i="2"/>
  <c r="A1746" i="2"/>
  <c r="A1745" i="2"/>
  <c r="A1744" i="2"/>
  <c r="A1743" i="2"/>
  <c r="A1742" i="2"/>
  <c r="A1741" i="2"/>
  <c r="A1740" i="2"/>
  <c r="A1739" i="2"/>
  <c r="A1738" i="2"/>
  <c r="A1737" i="2"/>
  <c r="A1736" i="2"/>
  <c r="A1735" i="2"/>
  <c r="A1734" i="2"/>
  <c r="A1733" i="2"/>
  <c r="A1732" i="2"/>
  <c r="A1731" i="2"/>
  <c r="A1730" i="2"/>
  <c r="A1729" i="2"/>
  <c r="A1728" i="2"/>
  <c r="A1727" i="2"/>
  <c r="A1726" i="2"/>
  <c r="A1725" i="2"/>
  <c r="A1724" i="2"/>
  <c r="A1723" i="2"/>
  <c r="A1722" i="2"/>
  <c r="A1721" i="2"/>
  <c r="A1720" i="2"/>
  <c r="A1719" i="2"/>
  <c r="A1718" i="2"/>
  <c r="A1717" i="2"/>
  <c r="A1716" i="2"/>
  <c r="A1715" i="2"/>
  <c r="A1714" i="2"/>
  <c r="A1713" i="2"/>
  <c r="A1712" i="2"/>
  <c r="A1711" i="2"/>
  <c r="A1710" i="2"/>
  <c r="A1709" i="2"/>
  <c r="A1708" i="2"/>
  <c r="A1707" i="2"/>
  <c r="A1706" i="2"/>
  <c r="A1705" i="2"/>
  <c r="A1704" i="2"/>
  <c r="A1703" i="2"/>
  <c r="A1702" i="2"/>
  <c r="A1701" i="2"/>
  <c r="A1700" i="2"/>
  <c r="A1699" i="2"/>
  <c r="A1698" i="2"/>
  <c r="A1697" i="2"/>
  <c r="A1696" i="2"/>
  <c r="A1695" i="2"/>
  <c r="A1694" i="2"/>
  <c r="A1693" i="2"/>
  <c r="A1692" i="2"/>
  <c r="A1691" i="2"/>
  <c r="A1690" i="2"/>
  <c r="A1689" i="2"/>
  <c r="A1688" i="2"/>
  <c r="A1687" i="2"/>
  <c r="A1686" i="2"/>
  <c r="A1685" i="2"/>
  <c r="A1684" i="2"/>
  <c r="A1683" i="2"/>
  <c r="A1682" i="2"/>
  <c r="A1681" i="2"/>
  <c r="A1680" i="2"/>
  <c r="A1679" i="2"/>
  <c r="A1678" i="2"/>
  <c r="A1677" i="2"/>
  <c r="A1676" i="2"/>
  <c r="A1675" i="2"/>
  <c r="A1674" i="2"/>
  <c r="A1673" i="2"/>
  <c r="A1672" i="2"/>
  <c r="A1671" i="2"/>
  <c r="A1670" i="2"/>
  <c r="A1669" i="2"/>
  <c r="A1668" i="2"/>
  <c r="A1667" i="2"/>
  <c r="A1666" i="2"/>
  <c r="A1665" i="2"/>
  <c r="A1664" i="2"/>
  <c r="A1663" i="2"/>
  <c r="A1662" i="2"/>
  <c r="A1661" i="2"/>
  <c r="A1660" i="2"/>
  <c r="A1659" i="2"/>
  <c r="A1658" i="2"/>
  <c r="A1657" i="2"/>
  <c r="A1656" i="2"/>
  <c r="A1655" i="2"/>
  <c r="A1654" i="2"/>
  <c r="A1653" i="2"/>
  <c r="A1652" i="2"/>
  <c r="A1651" i="2"/>
  <c r="A1650" i="2"/>
  <c r="A1649" i="2"/>
  <c r="A1648" i="2"/>
  <c r="A1647" i="2"/>
  <c r="A1646" i="2"/>
  <c r="A1645" i="2"/>
  <c r="A1644" i="2"/>
  <c r="A1643" i="2"/>
  <c r="A1642" i="2"/>
  <c r="A1641" i="2"/>
  <c r="A1640" i="2"/>
  <c r="A1639" i="2"/>
  <c r="A1638" i="2"/>
  <c r="A1637" i="2"/>
  <c r="A1636" i="2"/>
  <c r="A1635" i="2"/>
  <c r="A1634" i="2"/>
  <c r="A1633" i="2"/>
  <c r="A1632" i="2"/>
  <c r="A1631" i="2"/>
  <c r="A1630" i="2"/>
  <c r="A1629" i="2"/>
  <c r="A1628" i="2"/>
  <c r="A1627" i="2"/>
  <c r="A1626" i="2"/>
  <c r="A1625" i="2"/>
  <c r="A1624" i="2"/>
  <c r="A1623" i="2"/>
  <c r="A1622" i="2"/>
  <c r="A1621" i="2"/>
  <c r="A1620" i="2"/>
  <c r="A1619" i="2"/>
  <c r="A1618" i="2"/>
  <c r="A1617" i="2"/>
  <c r="A1616" i="2"/>
  <c r="A1615" i="2"/>
  <c r="A1614" i="2"/>
  <c r="A1613" i="2"/>
  <c r="A1612" i="2"/>
  <c r="A1611" i="2"/>
  <c r="A1610" i="2"/>
  <c r="A1609" i="2"/>
  <c r="A1608" i="2"/>
  <c r="A1607" i="2"/>
  <c r="A1606" i="2"/>
  <c r="A1605" i="2"/>
  <c r="A1604" i="2"/>
  <c r="A1603" i="2"/>
  <c r="A1602" i="2"/>
  <c r="A1601" i="2"/>
  <c r="A1600" i="2"/>
  <c r="A1599" i="2"/>
  <c r="A1598" i="2"/>
  <c r="A1597" i="2"/>
  <c r="A1596" i="2"/>
  <c r="A1595" i="2"/>
  <c r="A1594" i="2"/>
  <c r="A1593" i="2"/>
  <c r="A1592" i="2"/>
  <c r="A1591" i="2"/>
  <c r="A1590" i="2"/>
  <c r="A1589" i="2"/>
  <c r="A1588" i="2"/>
  <c r="A1587" i="2"/>
  <c r="A1586" i="2"/>
  <c r="A1585" i="2"/>
  <c r="A1584" i="2"/>
  <c r="A1583" i="2"/>
  <c r="A1582" i="2"/>
  <c r="A1581" i="2"/>
  <c r="A1580" i="2"/>
  <c r="A1579" i="2"/>
  <c r="A1578" i="2"/>
  <c r="A1577" i="2"/>
  <c r="A1576" i="2"/>
  <c r="A1575" i="2"/>
  <c r="A1574" i="2"/>
  <c r="A1573" i="2"/>
  <c r="A1572" i="2"/>
  <c r="A1571" i="2"/>
  <c r="A1570" i="2"/>
  <c r="A1569" i="2"/>
  <c r="A1568" i="2"/>
  <c r="A1567" i="2"/>
  <c r="A1566" i="2"/>
  <c r="A1565" i="2"/>
  <c r="A1564" i="2"/>
  <c r="A1563" i="2"/>
  <c r="A1562" i="2"/>
  <c r="A1561" i="2"/>
  <c r="A1560" i="2"/>
  <c r="A1559" i="2"/>
  <c r="A1558" i="2"/>
  <c r="A1557" i="2"/>
  <c r="A1556" i="2"/>
  <c r="A1555" i="2"/>
  <c r="A1554" i="2"/>
  <c r="A1553" i="2"/>
  <c r="A1552" i="2"/>
  <c r="A1551" i="2"/>
  <c r="A1550" i="2"/>
  <c r="A1549" i="2"/>
  <c r="A1548" i="2"/>
  <c r="A1547" i="2"/>
  <c r="A1546" i="2"/>
  <c r="A1545" i="2"/>
  <c r="A1544" i="2"/>
  <c r="A1543" i="2"/>
  <c r="A1542" i="2"/>
  <c r="A1541" i="2"/>
  <c r="A1540" i="2"/>
  <c r="A1539" i="2"/>
  <c r="A1538" i="2"/>
  <c r="A1537" i="2"/>
  <c r="A1536" i="2"/>
  <c r="A1535" i="2"/>
  <c r="A1534" i="2"/>
  <c r="A1533" i="2"/>
  <c r="A1532" i="2"/>
  <c r="A1531" i="2"/>
  <c r="A1530" i="2"/>
  <c r="A1529" i="2"/>
  <c r="A1528" i="2"/>
  <c r="A1527" i="2"/>
  <c r="A1526" i="2"/>
  <c r="A1525" i="2"/>
  <c r="A1524" i="2"/>
  <c r="A1523" i="2"/>
  <c r="A1522" i="2"/>
  <c r="A1521" i="2"/>
  <c r="A1520" i="2"/>
  <c r="A1519" i="2"/>
  <c r="A1518" i="2"/>
  <c r="A1517" i="2"/>
  <c r="A1516" i="2"/>
  <c r="A1515" i="2"/>
  <c r="A1514" i="2"/>
  <c r="A1513" i="2"/>
  <c r="A1512" i="2"/>
  <c r="A1511" i="2"/>
  <c r="A1510" i="2"/>
  <c r="A1509" i="2"/>
  <c r="A1508" i="2"/>
  <c r="A1507" i="2"/>
  <c r="A1506" i="2"/>
  <c r="A1505" i="2"/>
  <c r="A1504" i="2"/>
  <c r="A1503" i="2"/>
  <c r="A1502" i="2"/>
  <c r="A1501" i="2"/>
  <c r="A1500" i="2"/>
  <c r="A1499" i="2"/>
  <c r="A1498" i="2"/>
  <c r="A1497" i="2"/>
  <c r="A1496" i="2"/>
  <c r="A1495" i="2"/>
  <c r="A1494" i="2"/>
  <c r="A1493" i="2"/>
  <c r="A1492" i="2"/>
  <c r="A1491" i="2"/>
  <c r="A1490" i="2"/>
  <c r="A1489" i="2"/>
  <c r="A1488" i="2"/>
  <c r="A1487" i="2"/>
  <c r="A1486" i="2"/>
  <c r="A1485" i="2"/>
  <c r="A1484" i="2"/>
  <c r="A1483" i="2"/>
  <c r="A1482" i="2"/>
  <c r="A1481" i="2"/>
  <c r="A1480" i="2"/>
  <c r="A1479" i="2"/>
  <c r="A1478" i="2"/>
  <c r="A1477" i="2"/>
  <c r="A1476" i="2"/>
  <c r="A1475" i="2"/>
  <c r="A1474" i="2"/>
  <c r="A1473" i="2"/>
  <c r="A1472" i="2"/>
  <c r="A1471" i="2"/>
  <c r="A1470" i="2"/>
  <c r="A1469" i="2"/>
  <c r="A1468" i="2"/>
  <c r="A1467" i="2"/>
  <c r="A1466" i="2"/>
  <c r="A1465" i="2"/>
  <c r="A1464" i="2"/>
  <c r="A1463" i="2"/>
  <c r="A1462" i="2"/>
  <c r="A1461" i="2"/>
  <c r="A1460" i="2"/>
  <c r="A1459" i="2"/>
  <c r="A1458" i="2"/>
  <c r="A1457" i="2"/>
  <c r="A1456" i="2"/>
  <c r="A1455" i="2"/>
  <c r="A1454" i="2"/>
  <c r="A1453" i="2"/>
  <c r="A1452" i="2"/>
  <c r="A1451" i="2"/>
  <c r="A1450" i="2"/>
  <c r="A1449" i="2"/>
  <c r="A1448" i="2"/>
  <c r="A1447" i="2"/>
  <c r="A1446" i="2"/>
  <c r="A1445" i="2"/>
  <c r="A1444" i="2"/>
  <c r="A1443" i="2"/>
  <c r="A1442" i="2"/>
  <c r="A1441" i="2"/>
  <c r="A1440" i="2"/>
  <c r="A1439" i="2"/>
  <c r="A1438" i="2"/>
  <c r="A1437" i="2"/>
  <c r="A1436" i="2"/>
  <c r="A1435" i="2"/>
  <c r="A1434" i="2"/>
  <c r="A1433" i="2"/>
  <c r="A1432" i="2"/>
  <c r="A1431" i="2"/>
  <c r="A1430" i="2"/>
  <c r="A1429" i="2"/>
  <c r="A1428" i="2"/>
  <c r="A1427" i="2"/>
  <c r="A1426" i="2"/>
  <c r="A1425" i="2"/>
  <c r="A1424" i="2"/>
  <c r="A1423" i="2"/>
  <c r="A1422" i="2"/>
  <c r="A1421" i="2"/>
  <c r="A1420" i="2"/>
  <c r="A1419" i="2"/>
  <c r="A1418" i="2"/>
  <c r="A1417" i="2"/>
  <c r="A1416" i="2"/>
  <c r="A1415" i="2"/>
  <c r="A1414" i="2"/>
  <c r="A1413" i="2"/>
  <c r="A1412" i="2"/>
  <c r="A1411" i="2"/>
  <c r="A1410" i="2"/>
  <c r="A1409" i="2"/>
  <c r="A1408" i="2"/>
  <c r="A1407" i="2"/>
  <c r="A1406" i="2"/>
  <c r="A1405" i="2"/>
  <c r="A1404" i="2"/>
  <c r="A1403" i="2"/>
  <c r="A1402" i="2"/>
  <c r="A1401" i="2"/>
  <c r="A1400" i="2"/>
  <c r="A1399" i="2"/>
  <c r="A1398" i="2"/>
  <c r="A1397" i="2"/>
  <c r="A1396" i="2"/>
  <c r="A1395" i="2"/>
  <c r="A1394" i="2"/>
  <c r="A1393" i="2"/>
  <c r="A1392" i="2"/>
  <c r="A1391" i="2"/>
  <c r="A1390" i="2"/>
  <c r="A1389" i="2"/>
  <c r="A1388" i="2"/>
  <c r="A1387" i="2"/>
  <c r="A1386" i="2"/>
  <c r="A1385" i="2"/>
  <c r="A1384" i="2"/>
  <c r="A1383" i="2"/>
  <c r="A1382" i="2"/>
  <c r="A1381" i="2"/>
  <c r="A1380" i="2"/>
  <c r="A1379" i="2"/>
  <c r="A1378" i="2"/>
  <c r="A1377" i="2"/>
  <c r="A1376" i="2"/>
  <c r="A1375" i="2"/>
  <c r="A1374" i="2"/>
  <c r="A1373" i="2"/>
  <c r="A1372" i="2"/>
  <c r="A1371" i="2"/>
  <c r="A1370" i="2"/>
  <c r="A1369" i="2"/>
  <c r="A1368" i="2"/>
  <c r="A1367" i="2"/>
  <c r="A1366" i="2"/>
  <c r="A1365" i="2"/>
  <c r="A1364" i="2"/>
  <c r="A1363" i="2"/>
  <c r="A1362" i="2"/>
  <c r="A1361" i="2"/>
  <c r="A1360" i="2"/>
  <c r="A1359" i="2"/>
  <c r="A1358" i="2"/>
  <c r="A1357" i="2"/>
  <c r="A1356" i="2"/>
  <c r="A1355" i="2"/>
  <c r="A1354" i="2"/>
  <c r="A1353" i="2"/>
  <c r="A1352" i="2"/>
  <c r="A1351" i="2"/>
  <c r="A1350" i="2"/>
  <c r="A1349" i="2"/>
  <c r="A1348" i="2"/>
  <c r="A1347" i="2"/>
  <c r="A1346" i="2"/>
  <c r="A1345" i="2"/>
  <c r="A1344" i="2"/>
  <c r="A1343" i="2"/>
  <c r="A1342" i="2"/>
  <c r="A1341" i="2"/>
  <c r="A1340" i="2"/>
  <c r="A1339" i="2"/>
  <c r="A1338" i="2"/>
  <c r="A1337" i="2"/>
  <c r="A1336" i="2"/>
  <c r="A1335" i="2"/>
  <c r="A1334" i="2"/>
  <c r="A1333" i="2"/>
  <c r="A1332" i="2"/>
  <c r="A1331" i="2"/>
  <c r="A1330" i="2"/>
  <c r="A1329" i="2"/>
  <c r="A1328" i="2"/>
  <c r="A1327" i="2"/>
  <c r="A1326" i="2"/>
  <c r="A1325" i="2"/>
  <c r="A1324" i="2"/>
  <c r="A1323" i="2"/>
  <c r="A1322" i="2"/>
  <c r="A1321" i="2"/>
  <c r="A1320" i="2"/>
  <c r="A1319" i="2"/>
  <c r="A1318" i="2"/>
  <c r="A1317" i="2"/>
  <c r="A1316" i="2"/>
  <c r="A1315" i="2"/>
  <c r="A1314" i="2"/>
  <c r="A1313" i="2"/>
  <c r="A1312" i="2"/>
  <c r="A1311" i="2"/>
  <c r="A1310" i="2"/>
  <c r="A1309" i="2"/>
  <c r="A1308" i="2"/>
  <c r="A1307" i="2"/>
  <c r="A1306" i="2"/>
  <c r="A1305" i="2"/>
  <c r="A1304" i="2"/>
  <c r="A1303" i="2"/>
  <c r="A1302" i="2"/>
  <c r="A1301" i="2"/>
  <c r="A1300" i="2"/>
  <c r="A1299" i="2"/>
  <c r="A1298" i="2"/>
  <c r="A1297" i="2"/>
  <c r="A1296" i="2"/>
  <c r="A1295" i="2"/>
  <c r="A1294" i="2"/>
  <c r="A1293" i="2"/>
  <c r="A1292" i="2"/>
  <c r="A1291" i="2"/>
  <c r="A1290" i="2"/>
  <c r="A1289" i="2"/>
  <c r="A1288" i="2"/>
  <c r="A1287" i="2"/>
  <c r="A1286" i="2"/>
  <c r="A1285" i="2"/>
  <c r="A1284" i="2"/>
  <c r="A1283" i="2"/>
  <c r="A1282" i="2"/>
  <c r="A1281" i="2"/>
  <c r="A1280" i="2"/>
  <c r="A1279" i="2"/>
  <c r="A1278" i="2"/>
  <c r="A1277" i="2"/>
  <c r="A1276" i="2"/>
  <c r="A1275" i="2"/>
  <c r="A1274" i="2"/>
  <c r="A1273" i="2"/>
  <c r="A1272" i="2"/>
  <c r="A1271" i="2"/>
  <c r="A1270" i="2"/>
  <c r="A1269" i="2"/>
  <c r="A1268" i="2"/>
  <c r="A1267" i="2"/>
  <c r="A1266" i="2"/>
  <c r="A1265" i="2"/>
  <c r="A1264" i="2"/>
  <c r="A1263" i="2"/>
  <c r="A1262" i="2"/>
  <c r="A1261" i="2"/>
  <c r="A1260" i="2"/>
  <c r="A1259" i="2"/>
  <c r="A1258" i="2"/>
  <c r="A1257" i="2"/>
  <c r="A1256" i="2"/>
  <c r="A1255" i="2"/>
  <c r="A1254" i="2"/>
  <c r="A1253" i="2"/>
  <c r="A1252" i="2"/>
  <c r="A1251" i="2"/>
  <c r="A1250" i="2"/>
  <c r="A1249" i="2"/>
  <c r="A1248" i="2"/>
  <c r="A1247" i="2"/>
  <c r="A1246" i="2"/>
  <c r="A1245" i="2"/>
  <c r="A1244" i="2"/>
  <c r="A1243" i="2"/>
  <c r="A1242" i="2"/>
  <c r="A1241" i="2"/>
  <c r="A1240" i="2"/>
  <c r="A1239" i="2"/>
  <c r="A1238" i="2"/>
  <c r="A1237" i="2"/>
  <c r="A1236" i="2"/>
  <c r="A1235" i="2"/>
  <c r="A1234" i="2"/>
  <c r="A1233" i="2"/>
  <c r="A1232" i="2"/>
  <c r="A1231" i="2"/>
  <c r="A1230" i="2"/>
  <c r="A1229" i="2"/>
  <c r="A1228" i="2"/>
  <c r="A1227" i="2"/>
  <c r="A1226" i="2"/>
  <c r="A1225" i="2"/>
  <c r="A1224" i="2"/>
  <c r="A1223" i="2"/>
  <c r="A1222" i="2"/>
  <c r="A1221" i="2"/>
  <c r="A1220" i="2"/>
  <c r="A1219" i="2"/>
  <c r="A1218" i="2"/>
  <c r="A1217" i="2"/>
  <c r="A1216" i="2"/>
  <c r="A1215" i="2"/>
  <c r="A1214" i="2"/>
  <c r="A1213" i="2"/>
  <c r="A1212" i="2"/>
  <c r="A1211" i="2"/>
  <c r="A1210" i="2"/>
  <c r="A1209" i="2"/>
  <c r="A1208" i="2"/>
  <c r="A1207" i="2"/>
  <c r="A1206" i="2"/>
  <c r="A1205" i="2"/>
  <c r="A1204" i="2"/>
  <c r="A1203" i="2"/>
  <c r="A1202" i="2"/>
  <c r="A1201" i="2"/>
  <c r="A1200" i="2"/>
  <c r="A1199" i="2"/>
  <c r="A1198" i="2"/>
  <c r="A1197" i="2"/>
  <c r="A1196" i="2"/>
  <c r="A1195" i="2"/>
  <c r="A1194" i="2"/>
  <c r="A1193" i="2"/>
  <c r="A1192" i="2"/>
  <c r="A1191" i="2"/>
  <c r="A1190" i="2"/>
  <c r="A1189" i="2"/>
  <c r="A1188" i="2"/>
  <c r="A1187" i="2"/>
  <c r="A1186" i="2"/>
  <c r="A1185" i="2"/>
  <c r="A1184" i="2"/>
  <c r="A1183" i="2"/>
  <c r="A1182" i="2"/>
  <c r="A1181" i="2"/>
  <c r="A1180" i="2"/>
  <c r="A1179" i="2"/>
  <c r="A1178" i="2"/>
  <c r="A1177" i="2"/>
  <c r="A1176" i="2"/>
  <c r="A1175" i="2"/>
  <c r="A1174" i="2"/>
  <c r="A1173" i="2"/>
  <c r="A1172" i="2"/>
  <c r="A1171" i="2"/>
  <c r="A1170" i="2"/>
  <c r="A1169" i="2"/>
  <c r="A1168" i="2"/>
  <c r="A1167" i="2"/>
  <c r="A1166" i="2"/>
  <c r="A1165" i="2"/>
  <c r="A1164" i="2"/>
  <c r="A1163" i="2"/>
  <c r="A1162" i="2"/>
  <c r="A1161" i="2"/>
  <c r="A1160" i="2"/>
  <c r="A1159" i="2"/>
  <c r="A1158" i="2"/>
  <c r="A1157" i="2"/>
  <c r="A1156" i="2"/>
  <c r="A1155" i="2"/>
  <c r="A1154" i="2"/>
  <c r="A1153" i="2"/>
  <c r="A1152" i="2"/>
  <c r="A1151" i="2"/>
  <c r="A1150" i="2"/>
  <c r="A1149" i="2"/>
  <c r="A1148" i="2"/>
  <c r="A1147" i="2"/>
  <c r="A1146" i="2"/>
  <c r="A1145" i="2"/>
  <c r="A1144" i="2"/>
  <c r="A1143" i="2"/>
  <c r="A1142" i="2"/>
  <c r="A1141" i="2"/>
  <c r="A1140" i="2"/>
  <c r="A1139" i="2"/>
  <c r="A1138" i="2"/>
  <c r="A1137" i="2"/>
  <c r="A1136" i="2"/>
  <c r="A1135" i="2"/>
  <c r="A1134" i="2"/>
  <c r="A1133" i="2"/>
  <c r="A1132" i="2"/>
  <c r="A1131" i="2"/>
  <c r="A1130" i="2"/>
  <c r="A1129" i="2"/>
  <c r="A1128" i="2"/>
  <c r="A1127" i="2"/>
  <c r="A1126" i="2"/>
  <c r="A1125" i="2"/>
  <c r="A1124" i="2"/>
  <c r="A1123" i="2"/>
  <c r="A1122" i="2"/>
  <c r="A1121" i="2"/>
  <c r="A1120" i="2"/>
  <c r="A1119" i="2"/>
  <c r="A1118" i="2"/>
  <c r="A1117" i="2"/>
  <c r="A1116" i="2"/>
  <c r="A1115" i="2"/>
  <c r="A1114" i="2"/>
  <c r="A1113" i="2"/>
  <c r="A1112" i="2"/>
  <c r="A1111" i="2"/>
  <c r="A1110" i="2"/>
  <c r="A1109" i="2"/>
  <c r="A1108" i="2"/>
  <c r="A1107" i="2"/>
  <c r="A1106" i="2"/>
  <c r="A1105" i="2"/>
  <c r="A1104" i="2"/>
  <c r="A1103" i="2"/>
  <c r="A1102" i="2"/>
  <c r="A1101" i="2"/>
  <c r="A1100" i="2"/>
  <c r="A1099" i="2"/>
  <c r="A1098" i="2"/>
  <c r="A1097" i="2"/>
  <c r="A1096" i="2"/>
  <c r="A1095" i="2"/>
  <c r="A1094" i="2"/>
  <c r="A1093" i="2"/>
  <c r="A1092" i="2"/>
  <c r="A1091" i="2"/>
  <c r="A1090" i="2"/>
  <c r="A1089" i="2"/>
  <c r="A1088" i="2"/>
  <c r="A1087" i="2"/>
  <c r="A1086" i="2"/>
  <c r="A1085" i="2"/>
  <c r="A1084" i="2"/>
  <c r="A1083" i="2"/>
  <c r="A1082" i="2"/>
  <c r="A1081" i="2"/>
  <c r="A1080" i="2"/>
  <c r="A1079" i="2"/>
  <c r="A1078" i="2"/>
  <c r="A1077" i="2"/>
  <c r="A1076" i="2"/>
  <c r="A1075" i="2"/>
  <c r="A1074" i="2"/>
  <c r="A1073" i="2"/>
  <c r="A1072" i="2"/>
  <c r="A1071" i="2"/>
  <c r="A1070" i="2"/>
  <c r="A1069" i="2"/>
  <c r="A1068" i="2"/>
  <c r="A1067" i="2"/>
  <c r="A1066" i="2"/>
  <c r="A1065" i="2"/>
  <c r="A1064" i="2"/>
  <c r="A1063" i="2"/>
  <c r="A1062" i="2"/>
  <c r="A1061" i="2"/>
  <c r="A1060" i="2"/>
  <c r="A1059" i="2"/>
  <c r="A1058" i="2"/>
  <c r="A1057" i="2"/>
  <c r="A1056" i="2"/>
  <c r="A1055" i="2"/>
  <c r="A1054" i="2"/>
  <c r="A1053" i="2"/>
  <c r="A1052" i="2"/>
  <c r="A1051" i="2"/>
  <c r="A1050" i="2"/>
  <c r="A1049" i="2"/>
  <c r="A1048" i="2"/>
  <c r="A1047" i="2"/>
  <c r="A1046" i="2"/>
  <c r="A1045" i="2"/>
  <c r="A1044" i="2"/>
  <c r="A1043" i="2"/>
  <c r="A1042" i="2"/>
  <c r="A1041" i="2"/>
  <c r="A1040" i="2"/>
  <c r="A1039" i="2"/>
  <c r="A1038" i="2"/>
  <c r="A1037" i="2"/>
  <c r="A1036" i="2"/>
  <c r="A1035" i="2"/>
  <c r="A1034" i="2"/>
  <c r="A1033" i="2"/>
  <c r="A1032" i="2"/>
  <c r="A1031" i="2"/>
  <c r="A1030" i="2"/>
  <c r="A1029" i="2"/>
  <c r="A1028" i="2"/>
  <c r="A1027" i="2"/>
  <c r="A1026" i="2"/>
  <c r="A1025" i="2"/>
  <c r="A1024" i="2"/>
  <c r="A1023" i="2"/>
  <c r="A1022" i="2"/>
  <c r="A1021" i="2"/>
  <c r="A1020" i="2"/>
  <c r="A1019" i="2"/>
  <c r="A1018" i="2"/>
  <c r="A1017" i="2"/>
  <c r="A1016" i="2"/>
  <c r="A1015" i="2"/>
  <c r="A1014" i="2"/>
  <c r="A1013" i="2"/>
  <c r="A1012" i="2"/>
  <c r="A1011" i="2"/>
  <c r="A1010" i="2"/>
  <c r="A1009" i="2"/>
  <c r="A1008" i="2"/>
  <c r="A1007" i="2"/>
  <c r="A1006" i="2"/>
  <c r="A1005" i="2"/>
  <c r="A1004" i="2"/>
  <c r="A1003" i="2"/>
  <c r="A1002" i="2"/>
  <c r="A1001" i="2"/>
  <c r="A1000" i="2"/>
  <c r="A999" i="2"/>
  <c r="A998" i="2"/>
  <c r="A997" i="2"/>
  <c r="A996" i="2"/>
  <c r="A995" i="2"/>
  <c r="A994" i="2"/>
  <c r="A993" i="2"/>
  <c r="A992" i="2"/>
  <c r="A991" i="2"/>
  <c r="A990" i="2"/>
  <c r="A989" i="2"/>
  <c r="A988" i="2"/>
  <c r="A987" i="2"/>
  <c r="A986" i="2"/>
  <c r="A985" i="2"/>
  <c r="A984" i="2"/>
  <c r="A983" i="2"/>
  <c r="A982" i="2"/>
  <c r="A981" i="2"/>
  <c r="A980" i="2"/>
  <c r="A979" i="2"/>
  <c r="A978" i="2"/>
  <c r="A977" i="2"/>
  <c r="A976" i="2"/>
  <c r="A975" i="2"/>
  <c r="A974" i="2"/>
  <c r="A973" i="2"/>
  <c r="A972" i="2"/>
  <c r="A971" i="2"/>
  <c r="A970" i="2"/>
  <c r="A969" i="2"/>
  <c r="A968" i="2"/>
  <c r="A967" i="2"/>
  <c r="A966" i="2"/>
  <c r="A965" i="2"/>
  <c r="A964" i="2"/>
  <c r="A963" i="2"/>
  <c r="A962" i="2"/>
  <c r="A961" i="2"/>
  <c r="A960" i="2"/>
  <c r="A959" i="2"/>
  <c r="A958" i="2"/>
  <c r="A957" i="2"/>
  <c r="A956" i="2"/>
  <c r="A955" i="2"/>
  <c r="A954" i="2"/>
  <c r="A953" i="2"/>
  <c r="A952" i="2"/>
  <c r="A951" i="2"/>
  <c r="A950" i="2"/>
  <c r="A949" i="2"/>
  <c r="A948" i="2"/>
  <c r="A947" i="2"/>
  <c r="A946" i="2"/>
  <c r="A945" i="2"/>
  <c r="A944" i="2"/>
  <c r="A943" i="2"/>
  <c r="A942" i="2"/>
  <c r="A941" i="2"/>
  <c r="A940" i="2"/>
  <c r="A939" i="2"/>
  <c r="A938" i="2"/>
  <c r="A937" i="2"/>
  <c r="A936" i="2"/>
  <c r="A935" i="2"/>
  <c r="A934" i="2"/>
  <c r="A933" i="2"/>
  <c r="A932" i="2"/>
  <c r="A931" i="2"/>
  <c r="A930" i="2"/>
  <c r="A929" i="2"/>
  <c r="A928" i="2"/>
  <c r="A927" i="2"/>
  <c r="A926" i="2"/>
  <c r="A925" i="2"/>
  <c r="A924" i="2"/>
  <c r="A923" i="2"/>
  <c r="A922" i="2"/>
  <c r="A921" i="2"/>
  <c r="A920" i="2"/>
  <c r="A919" i="2"/>
  <c r="A918" i="2"/>
  <c r="A917" i="2"/>
  <c r="A916" i="2"/>
  <c r="A915" i="2"/>
  <c r="A914" i="2"/>
  <c r="A913" i="2"/>
  <c r="A912" i="2"/>
  <c r="A911" i="2"/>
  <c r="A910" i="2"/>
  <c r="A909" i="2"/>
  <c r="A908" i="2"/>
  <c r="A907" i="2"/>
  <c r="A906" i="2"/>
  <c r="A905" i="2"/>
  <c r="A904" i="2"/>
  <c r="A903" i="2"/>
  <c r="A902" i="2"/>
  <c r="A901" i="2"/>
  <c r="A900" i="2"/>
  <c r="A899" i="2"/>
  <c r="A898" i="2"/>
  <c r="A897" i="2"/>
  <c r="A896" i="2"/>
  <c r="A895" i="2"/>
  <c r="A894" i="2"/>
  <c r="A893" i="2"/>
  <c r="A892" i="2"/>
  <c r="A891" i="2"/>
  <c r="A890" i="2"/>
  <c r="A889" i="2"/>
  <c r="A888" i="2"/>
  <c r="A887" i="2"/>
  <c r="A886" i="2"/>
  <c r="A885" i="2"/>
  <c r="A884" i="2"/>
  <c r="A883" i="2"/>
  <c r="A882" i="2"/>
  <c r="A881" i="2"/>
  <c r="A880" i="2"/>
  <c r="A879" i="2"/>
  <c r="A878" i="2"/>
  <c r="A877" i="2"/>
  <c r="A876" i="2"/>
  <c r="A875" i="2"/>
  <c r="A874" i="2"/>
  <c r="A873" i="2"/>
  <c r="A872" i="2"/>
  <c r="A871" i="2"/>
  <c r="A870" i="2"/>
  <c r="A869" i="2"/>
  <c r="A868" i="2"/>
  <c r="A867" i="2"/>
  <c r="A866" i="2"/>
  <c r="A865" i="2"/>
  <c r="A864" i="2"/>
  <c r="A863" i="2"/>
  <c r="A862" i="2"/>
  <c r="A861" i="2"/>
  <c r="A860" i="2"/>
  <c r="A859" i="2"/>
  <c r="A858" i="2"/>
  <c r="A857" i="2"/>
  <c r="A856" i="2"/>
  <c r="A855" i="2"/>
  <c r="A854" i="2"/>
  <c r="A853" i="2"/>
  <c r="A852" i="2"/>
  <c r="A851" i="2"/>
  <c r="A850" i="2"/>
  <c r="A849" i="2"/>
  <c r="A848" i="2"/>
  <c r="A847" i="2"/>
  <c r="A846" i="2"/>
  <c r="A845" i="2"/>
  <c r="A844" i="2"/>
  <c r="A843" i="2"/>
  <c r="A842" i="2"/>
  <c r="A841" i="2"/>
  <c r="A840" i="2"/>
  <c r="A839" i="2"/>
  <c r="A838" i="2"/>
  <c r="A837" i="2"/>
  <c r="A836" i="2"/>
  <c r="A835" i="2"/>
  <c r="A834" i="2"/>
  <c r="A833" i="2"/>
  <c r="A832" i="2"/>
  <c r="A831" i="2"/>
  <c r="A830" i="2"/>
  <c r="A829" i="2"/>
  <c r="A828" i="2"/>
  <c r="A827" i="2"/>
  <c r="A826" i="2"/>
  <c r="A825" i="2"/>
  <c r="A824" i="2"/>
  <c r="A823" i="2"/>
  <c r="A822" i="2"/>
  <c r="A821" i="2"/>
  <c r="A820" i="2"/>
  <c r="A819" i="2"/>
  <c r="A818" i="2"/>
  <c r="A817" i="2"/>
  <c r="A816" i="2"/>
  <c r="A815" i="2"/>
  <c r="A814" i="2"/>
  <c r="A813" i="2"/>
  <c r="A812" i="2"/>
  <c r="A811" i="2"/>
  <c r="A810" i="2"/>
  <c r="A809" i="2"/>
  <c r="A808" i="2"/>
  <c r="A807" i="2"/>
  <c r="A806" i="2"/>
  <c r="A805" i="2"/>
  <c r="A804" i="2"/>
  <c r="A803" i="2"/>
  <c r="A802" i="2"/>
  <c r="A801" i="2"/>
  <c r="A800" i="2"/>
  <c r="A799" i="2"/>
  <c r="A798" i="2"/>
  <c r="A797" i="2"/>
  <c r="A796" i="2"/>
  <c r="A795" i="2"/>
  <c r="A794" i="2"/>
  <c r="A793" i="2"/>
  <c r="A792" i="2"/>
  <c r="A791" i="2"/>
  <c r="A790" i="2"/>
  <c r="A789" i="2"/>
  <c r="A788" i="2"/>
  <c r="A787" i="2"/>
  <c r="A786" i="2"/>
  <c r="A785" i="2"/>
  <c r="A784" i="2"/>
  <c r="A783" i="2"/>
  <c r="A782" i="2"/>
  <c r="A781" i="2"/>
  <c r="A780" i="2"/>
  <c r="A779" i="2"/>
  <c r="A778" i="2"/>
  <c r="A777" i="2"/>
  <c r="A776" i="2"/>
  <c r="A775" i="2"/>
  <c r="A774" i="2"/>
  <c r="A773" i="2"/>
  <c r="A772" i="2"/>
  <c r="A771" i="2"/>
  <c r="A770" i="2"/>
  <c r="A769" i="2"/>
  <c r="A768" i="2"/>
  <c r="A767" i="2"/>
  <c r="A766" i="2"/>
  <c r="A765" i="2"/>
  <c r="A764" i="2"/>
  <c r="A763" i="2"/>
  <c r="A762" i="2"/>
  <c r="A761" i="2"/>
  <c r="A760" i="2"/>
  <c r="A759" i="2"/>
  <c r="A758" i="2"/>
  <c r="A757" i="2"/>
  <c r="A756" i="2"/>
  <c r="A755" i="2"/>
  <c r="A754" i="2"/>
  <c r="A753" i="2"/>
  <c r="A752" i="2"/>
  <c r="A751" i="2"/>
  <c r="A750" i="2"/>
  <c r="A749" i="2"/>
  <c r="A748" i="2"/>
  <c r="A747" i="2"/>
  <c r="A746" i="2"/>
  <c r="A745" i="2"/>
  <c r="A744" i="2"/>
  <c r="A743" i="2"/>
  <c r="A742" i="2"/>
  <c r="A741" i="2"/>
  <c r="A740" i="2"/>
  <c r="A739" i="2"/>
  <c r="A738" i="2"/>
  <c r="A737" i="2"/>
  <c r="A736" i="2"/>
  <c r="A735" i="2"/>
  <c r="A734" i="2"/>
  <c r="A733" i="2"/>
  <c r="A732" i="2"/>
  <c r="A731" i="2"/>
  <c r="A730" i="2"/>
  <c r="A729" i="2"/>
  <c r="A728" i="2"/>
  <c r="A727" i="2"/>
  <c r="A726" i="2"/>
  <c r="A725" i="2"/>
  <c r="A724" i="2"/>
  <c r="A723" i="2"/>
  <c r="A722" i="2"/>
  <c r="A721" i="2"/>
  <c r="A720" i="2"/>
  <c r="A719" i="2"/>
  <c r="A718" i="2"/>
  <c r="A717" i="2"/>
  <c r="A716" i="2"/>
  <c r="A715" i="2"/>
  <c r="A714" i="2"/>
  <c r="A713" i="2"/>
  <c r="A712" i="2"/>
  <c r="A711" i="2"/>
  <c r="A710" i="2"/>
  <c r="A709" i="2"/>
  <c r="A708" i="2"/>
  <c r="A707" i="2"/>
  <c r="A706" i="2"/>
  <c r="A705" i="2"/>
  <c r="A704" i="2"/>
  <c r="A703" i="2"/>
  <c r="A702" i="2"/>
  <c r="A701" i="2"/>
  <c r="A700" i="2"/>
  <c r="A699" i="2"/>
  <c r="A698" i="2"/>
  <c r="A697" i="2"/>
  <c r="A696" i="2"/>
  <c r="A695" i="2"/>
  <c r="A694" i="2"/>
  <c r="A693" i="2"/>
  <c r="A692" i="2"/>
  <c r="A691" i="2"/>
  <c r="A690" i="2"/>
  <c r="A689" i="2"/>
  <c r="A688" i="2"/>
  <c r="A687" i="2"/>
  <c r="A686" i="2"/>
  <c r="A685" i="2"/>
  <c r="A684" i="2"/>
  <c r="A683" i="2"/>
  <c r="A682" i="2"/>
  <c r="A681" i="2"/>
  <c r="A680" i="2"/>
  <c r="A679" i="2"/>
  <c r="A678" i="2"/>
  <c r="A677" i="2"/>
  <c r="A676" i="2"/>
  <c r="A675" i="2"/>
  <c r="A674" i="2"/>
  <c r="A673" i="2"/>
  <c r="A672" i="2"/>
  <c r="A671" i="2"/>
  <c r="A670" i="2"/>
  <c r="A669" i="2"/>
  <c r="A668" i="2"/>
  <c r="A667" i="2"/>
  <c r="A666" i="2"/>
  <c r="A665" i="2"/>
  <c r="A664" i="2"/>
  <c r="A663" i="2"/>
  <c r="A662" i="2"/>
  <c r="A661" i="2"/>
  <c r="A660" i="2"/>
  <c r="A659" i="2"/>
  <c r="A658" i="2"/>
  <c r="A657" i="2"/>
  <c r="A656" i="2"/>
  <c r="A655" i="2"/>
  <c r="A654" i="2"/>
  <c r="A653" i="2"/>
  <c r="A652" i="2"/>
  <c r="A651" i="2"/>
  <c r="A650" i="2"/>
  <c r="A649" i="2"/>
  <c r="A648" i="2"/>
  <c r="A647" i="2"/>
  <c r="A646" i="2"/>
  <c r="A645" i="2"/>
  <c r="A644" i="2"/>
  <c r="A643" i="2"/>
  <c r="A642" i="2"/>
  <c r="A641" i="2"/>
  <c r="A640" i="2"/>
  <c r="A639" i="2"/>
  <c r="A638" i="2"/>
  <c r="A637" i="2"/>
  <c r="A636" i="2"/>
  <c r="A635" i="2"/>
  <c r="A634" i="2"/>
  <c r="A633" i="2"/>
  <c r="A632" i="2"/>
  <c r="A631" i="2"/>
  <c r="A630" i="2"/>
  <c r="A629" i="2"/>
  <c r="A628" i="2"/>
  <c r="A627" i="2"/>
  <c r="A626" i="2"/>
  <c r="A625" i="2"/>
  <c r="A624" i="2"/>
  <c r="A623" i="2"/>
  <c r="A622" i="2"/>
  <c r="A621" i="2"/>
  <c r="A620" i="2"/>
  <c r="A619" i="2"/>
  <c r="A618" i="2"/>
  <c r="A617" i="2"/>
  <c r="A616" i="2"/>
  <c r="A615" i="2"/>
  <c r="A614" i="2"/>
  <c r="A613" i="2"/>
  <c r="A612" i="2"/>
  <c r="A611" i="2"/>
  <c r="A610" i="2"/>
  <c r="A609" i="2"/>
  <c r="A608" i="2"/>
  <c r="A607" i="2"/>
  <c r="A606" i="2"/>
  <c r="A605" i="2"/>
  <c r="A604" i="2"/>
  <c r="A603" i="2"/>
  <c r="A602" i="2"/>
  <c r="A601" i="2"/>
  <c r="A600" i="2"/>
  <c r="A599" i="2"/>
  <c r="A598" i="2"/>
  <c r="A597" i="2"/>
  <c r="A596" i="2"/>
  <c r="A595" i="2"/>
  <c r="A594" i="2"/>
  <c r="A593" i="2"/>
  <c r="A592" i="2"/>
  <c r="A591" i="2"/>
  <c r="A590" i="2"/>
  <c r="A589" i="2"/>
  <c r="A588" i="2"/>
  <c r="A587" i="2"/>
  <c r="A586" i="2"/>
  <c r="A585" i="2"/>
  <c r="A584" i="2"/>
  <c r="A583" i="2"/>
  <c r="A582" i="2"/>
  <c r="A581" i="2"/>
  <c r="A580" i="2"/>
  <c r="A579" i="2"/>
  <c r="A578" i="2"/>
  <c r="A577" i="2"/>
  <c r="A576" i="2"/>
  <c r="A575" i="2"/>
  <c r="A574" i="2"/>
  <c r="A573" i="2"/>
  <c r="A572" i="2"/>
  <c r="A571" i="2"/>
  <c r="A570" i="2"/>
  <c r="A569" i="2"/>
  <c r="A568" i="2"/>
  <c r="A567" i="2"/>
  <c r="A566" i="2"/>
  <c r="A565" i="2"/>
  <c r="A564" i="2"/>
  <c r="A563" i="2"/>
  <c r="A562" i="2"/>
  <c r="A561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A534" i="2"/>
  <c r="A533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A6866" i="2"/>
  <c r="K4" i="1" l="1"/>
  <c r="J4" i="1"/>
</calcChain>
</file>

<file path=xl/sharedStrings.xml><?xml version="1.0" encoding="utf-8"?>
<sst xmlns="http://schemas.openxmlformats.org/spreadsheetml/2006/main" count="56" uniqueCount="50">
  <si>
    <t>Critères</t>
  </si>
  <si>
    <t>Création</t>
  </si>
  <si>
    <t>Période du</t>
  </si>
  <si>
    <t xml:space="preserve">au </t>
  </si>
  <si>
    <t>Devis</t>
  </si>
  <si>
    <t>Réelle</t>
  </si>
  <si>
    <t>Demandée</t>
  </si>
  <si>
    <t>Désignation interne</t>
  </si>
  <si>
    <t>Prix total</t>
  </si>
  <si>
    <t>Statut</t>
  </si>
  <si>
    <t>Temps de la réponse</t>
  </si>
  <si>
    <t>Etat</t>
  </si>
  <si>
    <t>15-0297B</t>
  </si>
  <si>
    <t>15-0336</t>
  </si>
  <si>
    <t>15-0337</t>
  </si>
  <si>
    <t>15-0338</t>
  </si>
  <si>
    <t>15-0339</t>
  </si>
  <si>
    <t>15-0330</t>
  </si>
  <si>
    <t>15-0331</t>
  </si>
  <si>
    <t>15-0332</t>
  </si>
  <si>
    <t>15-0333</t>
  </si>
  <si>
    <t>15-0334</t>
  </si>
  <si>
    <t>15-0335</t>
  </si>
  <si>
    <t>15-0325</t>
  </si>
  <si>
    <t>15-0326</t>
  </si>
  <si>
    <t>15-0327</t>
  </si>
  <si>
    <t>15-0328</t>
  </si>
  <si>
    <t>15-0329</t>
  </si>
  <si>
    <t>15-0323</t>
  </si>
  <si>
    <t>15-0324</t>
  </si>
  <si>
    <t>15-0322</t>
  </si>
  <si>
    <t>15-0315</t>
  </si>
  <si>
    <t>15-0316</t>
  </si>
  <si>
    <t>15-0317</t>
  </si>
  <si>
    <t>15-0318</t>
  </si>
  <si>
    <t>15-0319</t>
  </si>
  <si>
    <t>15-0319B</t>
  </si>
  <si>
    <t>15-0320</t>
  </si>
  <si>
    <t>15-0321</t>
  </si>
  <si>
    <t>15-0313</t>
  </si>
  <si>
    <t>15-0314</t>
  </si>
  <si>
    <t>15-0311</t>
  </si>
  <si>
    <t>15-0312</t>
  </si>
  <si>
    <t>15-0309</t>
  </si>
  <si>
    <t>15-0310</t>
  </si>
  <si>
    <t>15-0305</t>
  </si>
  <si>
    <t>15-0306</t>
  </si>
  <si>
    <t>15-0307</t>
  </si>
  <si>
    <t>15-0308</t>
  </si>
  <si>
    <t>15-0302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</si>
</sst>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\ &quot;€&quot;"/>
  </numFmts>
  <fonts count="1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i/>
      <u/>
      <sz val="24"/>
      <color theme="4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rgb="FF000000"/>
      <name val="Calibri"/>
      <family val="2"/>
    </font>
    <font>
      <b/>
      <i/>
      <sz val="10"/>
      <color rgb="FF000000"/>
      <name val="Arial"/>
      <family val="2"/>
    </font>
    <font>
      <b/>
      <i/>
      <sz val="10"/>
      <color theme="1"/>
      <name val="Arial"/>
      <family val="2"/>
    </font>
    <font>
      <b/>
      <i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Border="1"/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0" fillId="3" borderId="4" xfId="0" applyNumberFormat="1" applyFont="1" applyFill="1" applyBorder="1" applyAlignment="1">
      <alignment horizontal="center" vertical="center"/>
    </xf>
    <xf numFmtId="3" fontId="5" fillId="0" borderId="0" xfId="1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0" xfId="0" applyBorder="1" applyAlignment="1">
      <alignment horizontal="center" vertical="center"/>
    </xf>
    <xf numFmtId="3" fontId="2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0" fillId="4" borderId="4" xfId="0" applyFont="1" applyFill="1" applyBorder="1" applyAlignment="1">
      <alignment horizontal="center" vertical="center" wrapText="1"/>
    </xf>
    <xf numFmtId="0" fontId="11" fillId="0" borderId="0" xfId="0" applyFont="1" applyFill="1" applyBorder="1"/>
    <xf numFmtId="0" fontId="12" fillId="0" borderId="0" xfId="0" applyFont="1" applyFill="1"/>
    <xf numFmtId="0" fontId="11" fillId="0" borderId="0" xfId="0" applyFont="1" applyFill="1"/>
    <xf numFmtId="164" fontId="0" fillId="0" borderId="0" xfId="0" applyNumberFormat="1" applyBorder="1" applyAlignment="1">
      <alignment horizontal="right" vertical="center"/>
    </xf>
    <xf numFmtId="164" fontId="10" fillId="4" borderId="4" xfId="0" applyNumberFormat="1" applyFont="1" applyFill="1" applyBorder="1" applyAlignment="1">
      <alignment horizontal="right" vertical="center" wrapText="1"/>
    </xf>
    <xf numFmtId="164" fontId="0" fillId="0" borderId="0" xfId="0" applyNumberFormat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10" fillId="4" borderId="4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10" fillId="4" borderId="1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</xdr:colOff>
          <xdr:row>1</xdr:row>
          <xdr:rowOff>0</xdr:rowOff>
        </xdr:from>
        <xdr:to>
          <xdr:col>13</xdr:col>
          <xdr:colOff>0</xdr:colOff>
          <xdr:row>1</xdr:row>
          <xdr:rowOff>403860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5</xdr:row>
          <xdr:rowOff>0</xdr:rowOff>
        </xdr:from>
        <xdr:to>
          <xdr:col>13</xdr:col>
          <xdr:colOff>7620</xdr:colOff>
          <xdr:row>6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7"/>
  <sheetViews>
    <sheetView tabSelected="1" zoomScale="80" zoomScaleNormal="80" workbookViewId="0">
      <selection activeCell="D8" sqref="D8"/>
    </sheetView>
  </sheetViews>
  <sheetFormatPr baseColWidth="10" defaultRowHeight="13.2" x14ac:dyDescent="0.25"/>
  <cols>
    <col min="1" max="1" width="10.6640625" style="11" bestFit="1" customWidth="1"/>
    <col min="2" max="3" width="11.5546875" style="11" customWidth="1"/>
    <col min="4" max="5" width="11.5546875" style="11"/>
    <col min="6" max="6" width="50.33203125" style="11" bestFit="1" customWidth="1"/>
    <col min="7" max="7" width="12.6640625" style="19" customWidth="1"/>
    <col min="8" max="8" width="7" style="22" bestFit="1" customWidth="1"/>
    <col min="9" max="9" width="30.5546875" bestFit="1" customWidth="1"/>
    <col min="10" max="10" width="9.109375" bestFit="1" customWidth="1"/>
    <col min="11" max="11" width="12.33203125" bestFit="1" customWidth="1"/>
    <col min="12" max="12" width="3.5546875" bestFit="1" customWidth="1"/>
    <col min="13" max="13" width="15.33203125" customWidth="1"/>
  </cols>
  <sheetData>
    <row r="1" spans="1:11" ht="15" thickBot="1" x14ac:dyDescent="0.3">
      <c r="A1" s="9"/>
      <c r="B1" s="9"/>
      <c r="C1" s="9"/>
      <c r="D1" s="9"/>
      <c r="E1" s="10"/>
      <c r="F1" s="9"/>
      <c r="G1" s="17"/>
      <c r="H1" s="20"/>
      <c r="I1" s="1"/>
      <c r="J1" s="1"/>
      <c r="K1" s="1"/>
    </row>
    <row r="2" spans="1:11" ht="31.8" thickBot="1" x14ac:dyDescent="0.3">
      <c r="A2" s="9"/>
      <c r="B2" s="9"/>
      <c r="C2" s="9"/>
      <c r="D2" s="9"/>
      <c r="E2" s="25"/>
      <c r="F2" s="25"/>
      <c r="G2" s="25"/>
      <c r="H2" s="20"/>
      <c r="I2" s="1"/>
      <c r="J2" s="26" t="s">
        <v>0</v>
      </c>
      <c r="K2" s="27"/>
    </row>
    <row r="3" spans="1:11" ht="15" thickBot="1" x14ac:dyDescent="0.3">
      <c r="A3" s="9"/>
      <c r="B3" s="9"/>
      <c r="C3" s="9"/>
      <c r="D3" s="9"/>
      <c r="E3" s="10"/>
      <c r="F3" s="9"/>
      <c r="G3" s="17"/>
      <c r="H3" s="20"/>
      <c r="I3" s="1"/>
      <c r="J3" s="2" t="s">
        <v>1</v>
      </c>
      <c r="K3" s="3" t="s">
        <v>1</v>
      </c>
    </row>
    <row r="4" spans="1:11" ht="15" thickBot="1" x14ac:dyDescent="0.3">
      <c r="A4" s="9"/>
      <c r="B4" s="9"/>
      <c r="C4" s="9"/>
      <c r="D4" s="9"/>
      <c r="E4" s="10"/>
      <c r="F4" s="9"/>
      <c r="G4" s="17"/>
      <c r="H4" s="20"/>
      <c r="I4" s="1"/>
      <c r="J4" s="4" t="str">
        <f>"&gt;="&amp;D7</f>
        <v>&gt;=42125</v>
      </c>
      <c r="K4" s="4" t="str">
        <f>"&lt;="&amp;F7</f>
        <v>&lt;=42155</v>
      </c>
    </row>
    <row r="5" spans="1:11" ht="14.4" x14ac:dyDescent="0.25">
      <c r="A5" s="9"/>
      <c r="B5" s="9"/>
      <c r="C5" s="9"/>
      <c r="D5" s="9"/>
      <c r="E5" s="10"/>
      <c r="F5" s="9"/>
      <c r="G5" s="17"/>
      <c r="H5" s="20"/>
      <c r="I5" s="1"/>
      <c r="J5" s="1"/>
      <c r="K5" s="1"/>
    </row>
    <row r="6" spans="1:11" ht="15" thickBot="1" x14ac:dyDescent="0.3">
      <c r="A6" s="9"/>
      <c r="B6" s="9"/>
      <c r="D6" s="9"/>
      <c r="E6" s="10"/>
      <c r="F6" s="9"/>
      <c r="G6" s="17"/>
      <c r="H6" s="20"/>
      <c r="I6" s="1"/>
      <c r="J6" s="1"/>
      <c r="K6" s="1"/>
    </row>
    <row r="7" spans="1:11" ht="15" thickBot="1" x14ac:dyDescent="0.3">
      <c r="A7" s="5" t="s">
        <v>2</v>
      </c>
      <c r="C7" s="12" t="str">
        <f>PROPER(TEXT(D7,"mmmm_aaaa"))</f>
        <v>Mai 2015</v>
      </c>
      <c r="D7" s="6">
        <v>42125</v>
      </c>
      <c r="E7" s="7" t="s">
        <v>3</v>
      </c>
      <c r="F7" s="6">
        <v>42155</v>
      </c>
      <c r="G7" s="17"/>
      <c r="H7" s="20"/>
      <c r="I7" s="1"/>
      <c r="J7" s="1"/>
      <c r="K7" s="1"/>
    </row>
    <row r="8" spans="1:11" ht="15" thickBot="1" x14ac:dyDescent="0.3">
      <c r="A8" s="9"/>
      <c r="B8" s="9"/>
      <c r="C8" s="9"/>
      <c r="D8" s="9"/>
      <c r="E8" s="10"/>
      <c r="F8" s="9"/>
      <c r="G8" s="17"/>
      <c r="H8" s="20"/>
      <c r="I8" s="1"/>
      <c r="J8" s="1"/>
      <c r="K8" s="1"/>
    </row>
    <row r="9" spans="1:11" s="16" customFormat="1" ht="31.8" thickBot="1" x14ac:dyDescent="0.35">
      <c r="A9" s="23" t="s">
        <v>4</v>
      </c>
      <c r="B9" s="13" t="s">
        <v>5</v>
      </c>
      <c r="C9" s="13" t="s">
        <v>6</v>
      </c>
      <c r="D9" s="24" t="s">
        <v>1</v>
      </c>
      <c r="E9" s="13" t="s">
        <v>10</v>
      </c>
      <c r="F9" s="13" t="s">
        <v>7</v>
      </c>
      <c r="G9" s="18" t="s">
        <v>8</v>
      </c>
      <c r="H9" s="21" t="s">
        <v>9</v>
      </c>
      <c r="I9" s="13" t="s">
        <v>11</v>
      </c>
      <c r="J9" s="14"/>
      <c r="K9" s="15"/>
    </row>
    <row r="10" spans="1:11" x14ac:dyDescent="0.25">
      <c r="A10" t="s">
        <v>12</v>
      </c>
      <c r="B10" s="8">
        <v>42145</v>
      </c>
      <c r="C10" s="8">
        <v>42145</v>
      </c>
      <c r="D10" s="8">
        <v>42145</v>
      </c>
    </row>
    <row r="11" spans="1:11" x14ac:dyDescent="0.25">
      <c r="A11" t="s">
        <v>13</v>
      </c>
      <c r="B11"/>
      <c r="C11" s="8">
        <v>42153</v>
      </c>
      <c r="D11" s="8">
        <v>42145</v>
      </c>
    </row>
    <row r="12" spans="1:11" x14ac:dyDescent="0.25">
      <c r="A12" t="s">
        <v>14</v>
      </c>
      <c r="B12" s="8">
        <v>42145</v>
      </c>
      <c r="C12" s="8">
        <v>42145</v>
      </c>
      <c r="D12" s="8">
        <v>42145</v>
      </c>
    </row>
    <row r="13" spans="1:11" x14ac:dyDescent="0.25">
      <c r="A13" t="s">
        <v>15</v>
      </c>
      <c r="B13" s="8">
        <v>42145</v>
      </c>
      <c r="C13" s="8">
        <v>42145</v>
      </c>
      <c r="D13" s="8">
        <v>42145</v>
      </c>
    </row>
    <row r="14" spans="1:11" x14ac:dyDescent="0.25">
      <c r="A14" t="s">
        <v>16</v>
      </c>
      <c r="B14" s="8">
        <v>42145</v>
      </c>
      <c r="C14" s="8">
        <v>42145</v>
      </c>
      <c r="D14" s="8">
        <v>42145</v>
      </c>
    </row>
    <row r="15" spans="1:11" x14ac:dyDescent="0.25">
      <c r="A15" t="s">
        <v>17</v>
      </c>
      <c r="B15" s="8">
        <v>42144</v>
      </c>
      <c r="C15" s="8">
        <v>42144</v>
      </c>
      <c r="D15" s="8">
        <v>42144</v>
      </c>
    </row>
    <row r="16" spans="1:11" x14ac:dyDescent="0.25">
      <c r="A16" t="s">
        <v>18</v>
      </c>
      <c r="B16" s="8">
        <v>42144</v>
      </c>
      <c r="C16" s="8">
        <v>42144</v>
      </c>
      <c r="D16" s="8">
        <v>42144</v>
      </c>
    </row>
    <row r="17" spans="1:4" x14ac:dyDescent="0.25">
      <c r="A17" t="s">
        <v>19</v>
      </c>
      <c r="B17" s="8">
        <v>42144</v>
      </c>
      <c r="C17" s="8">
        <v>42144</v>
      </c>
      <c r="D17" s="8">
        <v>42144</v>
      </c>
    </row>
    <row r="18" spans="1:4" x14ac:dyDescent="0.25">
      <c r="A18" t="s">
        <v>20</v>
      </c>
      <c r="B18" s="8">
        <v>42144</v>
      </c>
      <c r="C18" s="8">
        <v>42144</v>
      </c>
      <c r="D18" s="8">
        <v>42144</v>
      </c>
    </row>
    <row r="19" spans="1:4" x14ac:dyDescent="0.25">
      <c r="A19" t="s">
        <v>21</v>
      </c>
      <c r="B19" s="8">
        <v>42144</v>
      </c>
      <c r="C19" s="8">
        <v>42144</v>
      </c>
      <c r="D19" s="8">
        <v>42144</v>
      </c>
    </row>
    <row r="20" spans="1:4" x14ac:dyDescent="0.25">
      <c r="A20" t="s">
        <v>22</v>
      </c>
      <c r="B20" s="8">
        <v>42144</v>
      </c>
      <c r="C20" s="8">
        <v>42144</v>
      </c>
      <c r="D20" s="8">
        <v>42144</v>
      </c>
    </row>
    <row r="21" spans="1:4" x14ac:dyDescent="0.25">
      <c r="A21" t="s">
        <v>23</v>
      </c>
      <c r="B21" s="8">
        <v>42143</v>
      </c>
      <c r="C21" s="8">
        <v>42143</v>
      </c>
      <c r="D21" s="8">
        <v>42143</v>
      </c>
    </row>
    <row r="22" spans="1:4" x14ac:dyDescent="0.25">
      <c r="A22" t="s">
        <v>24</v>
      </c>
      <c r="B22" s="8">
        <v>42143</v>
      </c>
      <c r="C22" s="8">
        <v>42143</v>
      </c>
      <c r="D22" s="8">
        <v>42143</v>
      </c>
    </row>
    <row r="23" spans="1:4" x14ac:dyDescent="0.25">
      <c r="A23" t="s">
        <v>25</v>
      </c>
      <c r="B23" s="8">
        <v>42143</v>
      </c>
      <c r="C23" s="8">
        <v>42143</v>
      </c>
      <c r="D23" s="8">
        <v>42143</v>
      </c>
    </row>
    <row r="24" spans="1:4" x14ac:dyDescent="0.25">
      <c r="A24" t="s">
        <v>26</v>
      </c>
      <c r="B24" s="8">
        <v>42143</v>
      </c>
      <c r="C24" s="8">
        <v>42143</v>
      </c>
      <c r="D24" s="8">
        <v>42143</v>
      </c>
    </row>
    <row r="25" spans="1:4" x14ac:dyDescent="0.25">
      <c r="A25" t="s">
        <v>27</v>
      </c>
      <c r="B25" s="8">
        <v>42143</v>
      </c>
      <c r="C25" s="8">
        <v>42143</v>
      </c>
      <c r="D25" s="8">
        <v>42143</v>
      </c>
    </row>
    <row r="26" spans="1:4" x14ac:dyDescent="0.25">
      <c r="A26" t="s">
        <v>28</v>
      </c>
      <c r="B26" s="8">
        <v>42143</v>
      </c>
      <c r="C26" s="8">
        <v>42142</v>
      </c>
      <c r="D26" s="8">
        <v>42142</v>
      </c>
    </row>
    <row r="27" spans="1:4" x14ac:dyDescent="0.25">
      <c r="A27" t="s">
        <v>29</v>
      </c>
      <c r="B27" s="8">
        <v>42142</v>
      </c>
      <c r="C27" s="8">
        <v>42142</v>
      </c>
      <c r="D27" s="8">
        <v>42142</v>
      </c>
    </row>
    <row r="28" spans="1:4" x14ac:dyDescent="0.25">
      <c r="A28" t="s">
        <v>30</v>
      </c>
      <c r="B28" s="8">
        <v>42138</v>
      </c>
      <c r="C28" s="8">
        <v>42138</v>
      </c>
      <c r="D28" s="8">
        <v>42138</v>
      </c>
    </row>
    <row r="29" spans="1:4" x14ac:dyDescent="0.25">
      <c r="A29" t="s">
        <v>31</v>
      </c>
      <c r="B29" s="8">
        <v>42137</v>
      </c>
      <c r="C29" s="8">
        <v>42137</v>
      </c>
      <c r="D29" s="8">
        <v>42137</v>
      </c>
    </row>
    <row r="30" spans="1:4" x14ac:dyDescent="0.25">
      <c r="A30" t="s">
        <v>32</v>
      </c>
      <c r="B30" s="8">
        <v>42137</v>
      </c>
      <c r="C30" s="8">
        <v>42137</v>
      </c>
      <c r="D30" s="8">
        <v>42137</v>
      </c>
    </row>
    <row r="31" spans="1:4" x14ac:dyDescent="0.25">
      <c r="A31" t="s">
        <v>33</v>
      </c>
      <c r="B31" s="8">
        <v>42137</v>
      </c>
      <c r="C31" s="8">
        <v>42137</v>
      </c>
      <c r="D31" s="8">
        <v>42137</v>
      </c>
    </row>
    <row r="32" spans="1:4" x14ac:dyDescent="0.25">
      <c r="A32" t="s">
        <v>34</v>
      </c>
      <c r="B32" s="8">
        <v>42137</v>
      </c>
      <c r="C32" s="8">
        <v>42137</v>
      </c>
      <c r="D32" s="8">
        <v>42137</v>
      </c>
    </row>
    <row r="33" spans="1:4" x14ac:dyDescent="0.25">
      <c r="A33" t="s">
        <v>35</v>
      </c>
      <c r="B33" s="8">
        <v>42137</v>
      </c>
      <c r="C33" s="8">
        <v>42137</v>
      </c>
      <c r="D33" s="8">
        <v>42137</v>
      </c>
    </row>
    <row r="34" spans="1:4" x14ac:dyDescent="0.25">
      <c r="A34" t="s">
        <v>36</v>
      </c>
      <c r="B34" s="8">
        <v>42137</v>
      </c>
      <c r="C34" s="8">
        <v>42137</v>
      </c>
      <c r="D34" s="8">
        <v>42137</v>
      </c>
    </row>
    <row r="35" spans="1:4" x14ac:dyDescent="0.25">
      <c r="A35" t="s">
        <v>37</v>
      </c>
      <c r="B35" s="8">
        <v>42137</v>
      </c>
      <c r="C35" s="8">
        <v>42137</v>
      </c>
      <c r="D35" s="8">
        <v>42137</v>
      </c>
    </row>
    <row r="36" spans="1:4" x14ac:dyDescent="0.25">
      <c r="A36" t="s">
        <v>38</v>
      </c>
      <c r="B36" s="8">
        <v>42137</v>
      </c>
      <c r="C36" s="8">
        <v>42137</v>
      </c>
      <c r="D36" s="8">
        <v>42137</v>
      </c>
    </row>
    <row r="37" spans="1:4" x14ac:dyDescent="0.25">
      <c r="A37" t="s">
        <v>39</v>
      </c>
      <c r="B37" s="8">
        <v>42136</v>
      </c>
      <c r="C37" s="8">
        <v>42136</v>
      </c>
      <c r="D37" s="8">
        <v>42136</v>
      </c>
    </row>
    <row r="38" spans="1:4" x14ac:dyDescent="0.25">
      <c r="A38" t="s">
        <v>40</v>
      </c>
      <c r="B38" s="8">
        <v>42136</v>
      </c>
      <c r="C38" s="8">
        <v>42136</v>
      </c>
      <c r="D38" s="8">
        <v>42136</v>
      </c>
    </row>
    <row r="39" spans="1:4" x14ac:dyDescent="0.25">
      <c r="A39" t="s">
        <v>41</v>
      </c>
      <c r="B39" s="8">
        <v>42135</v>
      </c>
      <c r="C39" s="8">
        <v>42135</v>
      </c>
      <c r="D39" s="8">
        <v>42135</v>
      </c>
    </row>
    <row r="40" spans="1:4" x14ac:dyDescent="0.25">
      <c r="A40" t="s">
        <v>42</v>
      </c>
      <c r="B40" s="8">
        <v>42135</v>
      </c>
      <c r="C40" s="8">
        <v>42135</v>
      </c>
      <c r="D40" s="8">
        <v>42135</v>
      </c>
    </row>
    <row r="41" spans="1:4" x14ac:dyDescent="0.25">
      <c r="A41" t="s">
        <v>43</v>
      </c>
      <c r="B41" s="8">
        <v>42131</v>
      </c>
      <c r="C41" s="8">
        <v>42131</v>
      </c>
      <c r="D41" s="8">
        <v>42131</v>
      </c>
    </row>
    <row r="42" spans="1:4" x14ac:dyDescent="0.25">
      <c r="A42" t="s">
        <v>44</v>
      </c>
      <c r="B42" s="8">
        <v>42131</v>
      </c>
      <c r="C42" s="8">
        <v>42131</v>
      </c>
      <c r="D42" s="8">
        <v>42131</v>
      </c>
    </row>
    <row r="43" spans="1:4" x14ac:dyDescent="0.25">
      <c r="A43" t="s">
        <v>45</v>
      </c>
      <c r="B43" s="8">
        <v>42142</v>
      </c>
      <c r="C43" s="8">
        <v>42130</v>
      </c>
      <c r="D43" s="8">
        <v>42130</v>
      </c>
    </row>
    <row r="44" spans="1:4" x14ac:dyDescent="0.25">
      <c r="A44" t="s">
        <v>46</v>
      </c>
      <c r="B44" s="8">
        <v>42130</v>
      </c>
      <c r="C44" s="8">
        <v>42130</v>
      </c>
      <c r="D44" s="8">
        <v>42130</v>
      </c>
    </row>
    <row r="45" spans="1:4" x14ac:dyDescent="0.25">
      <c r="A45" t="s">
        <v>47</v>
      </c>
      <c r="B45" s="8">
        <v>42136</v>
      </c>
      <c r="C45" s="8">
        <v>42130</v>
      </c>
      <c r="D45" s="8">
        <v>42130</v>
      </c>
    </row>
    <row r="46" spans="1:4" x14ac:dyDescent="0.25">
      <c r="A46" t="s">
        <v>48</v>
      </c>
      <c r="B46" s="8">
        <v>42131</v>
      </c>
      <c r="C46" s="8">
        <v>42131</v>
      </c>
      <c r="D46" s="8">
        <v>42130</v>
      </c>
    </row>
    <row r="47" spans="1:4" x14ac:dyDescent="0.25">
      <c r="A47" t="s">
        <v>49</v>
      </c>
      <c r="B47" s="8">
        <v>42128</v>
      </c>
      <c r="C47" s="8">
        <v>42128</v>
      </c>
      <c r="D47" s="8">
        <v>42128</v>
      </c>
    </row>
  </sheetData>
  <sortState ref="A10:H82">
    <sortCondition ref="D10"/>
  </sortState>
  <dataConsolidate/>
  <mergeCells count="2">
    <mergeCell ref="E2:G2"/>
    <mergeCell ref="J2:K2"/>
  </mergeCells>
  <pageMargins left="0.7" right="0.7" top="0.75" bottom="0.75" header="0.3" footer="0.3"/>
  <pageSetup paperSize="9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r">
                <anchor moveWithCells="1" sizeWithCells="1">
                  <from>
                    <xdr:col>12</xdr:col>
                    <xdr:colOff>7620</xdr:colOff>
                    <xdr:row>1</xdr:row>
                    <xdr:rowOff>0</xdr:rowOff>
                  </from>
                  <to>
                    <xdr:col>13</xdr:col>
                    <xdr:colOff>0</xdr:colOff>
                    <xdr:row>1</xdr:row>
                    <xdr:rowOff>403860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AZ.raz">
                <anchor moveWithCells="1" sizeWithCells="1">
                  <from>
                    <xdr:col>12</xdr:col>
                    <xdr:colOff>0</xdr:colOff>
                    <xdr:row>5</xdr:row>
                    <xdr:rowOff>0</xdr:rowOff>
                  </from>
                  <to>
                    <xdr:col>13</xdr:col>
                    <xdr:colOff>7620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6866"/>
  <sheetViews>
    <sheetView workbookViewId="0">
      <selection activeCell="C15" sqref="C15"/>
    </sheetView>
  </sheetViews>
  <sheetFormatPr baseColWidth="10" defaultRowHeight="13.2" x14ac:dyDescent="0.25"/>
  <cols>
    <col min="1" max="1" width="8.88671875" bestFit="1" customWidth="1"/>
    <col min="2" max="2" width="7" bestFit="1" customWidth="1"/>
    <col min="3" max="3" width="45.88671875" bestFit="1" customWidth="1"/>
    <col min="4" max="4" width="10.109375" bestFit="1" customWidth="1"/>
    <col min="5" max="5" width="7.109375" bestFit="1" customWidth="1"/>
    <col min="6" max="7" width="10.109375" bestFit="1" customWidth="1"/>
    <col min="8" max="8" width="46" bestFit="1" customWidth="1"/>
    <col min="9" max="9" width="7.44140625" bestFit="1" customWidth="1"/>
    <col min="10" max="10" width="17" bestFit="1" customWidth="1"/>
    <col min="11" max="11" width="8.88671875" bestFit="1" customWidth="1"/>
    <col min="12" max="12" width="8.5546875" bestFit="1" customWidth="1"/>
    <col min="13" max="13" width="10.5546875" bestFit="1" customWidth="1"/>
    <col min="14" max="14" width="8.33203125" bestFit="1" customWidth="1"/>
    <col min="15" max="15" width="12" bestFit="1" customWidth="1"/>
    <col min="16" max="16" width="7.44140625" bestFit="1" customWidth="1"/>
    <col min="17" max="17" width="6" bestFit="1" customWidth="1"/>
    <col min="18" max="18" width="29.88671875" bestFit="1" customWidth="1"/>
    <col min="19" max="19" width="12" bestFit="1" customWidth="1"/>
    <col min="20" max="20" width="13.5546875" bestFit="1" customWidth="1"/>
    <col min="21" max="21" width="28.44140625" bestFit="1" customWidth="1"/>
    <col min="22" max="22" width="14.33203125" bestFit="1" customWidth="1"/>
    <col min="23" max="23" width="9.6640625" bestFit="1" customWidth="1"/>
    <col min="24" max="24" width="6.88671875" bestFit="1" customWidth="1"/>
    <col min="25" max="25" width="14.109375" bestFit="1" customWidth="1"/>
    <col min="26" max="26" width="6.109375" bestFit="1" customWidth="1"/>
  </cols>
  <sheetData>
    <row r="1" spans="1:25" x14ac:dyDescent="0.25">
      <c r="A1" t="s">
        <v>4</v>
      </c>
      <c r="D1" t="s">
        <v>1</v>
      </c>
      <c r="F1" t="s">
        <v>5</v>
      </c>
      <c r="G1" t="s">
        <v>6</v>
      </c>
    </row>
    <row r="2" spans="1:25" x14ac:dyDescent="0.25">
      <c r="A2" t="str">
        <f>"15-0297B"</f>
        <v>15-0297B</v>
      </c>
      <c r="D2" s="8">
        <v>42145</v>
      </c>
      <c r="F2" s="8">
        <v>42145</v>
      </c>
      <c r="G2" s="8">
        <v>42145</v>
      </c>
      <c r="Y2" s="8"/>
    </row>
    <row r="3" spans="1:25" x14ac:dyDescent="0.25">
      <c r="A3" t="str">
        <f>"15-0336"</f>
        <v>15-0336</v>
      </c>
      <c r="D3" s="8">
        <v>42145</v>
      </c>
      <c r="G3" s="8">
        <v>42153</v>
      </c>
      <c r="Y3" s="8"/>
    </row>
    <row r="4" spans="1:25" x14ac:dyDescent="0.25">
      <c r="A4" t="str">
        <f>"15-0337"</f>
        <v>15-0337</v>
      </c>
      <c r="D4" s="8">
        <v>42145</v>
      </c>
      <c r="F4" s="8">
        <v>42145</v>
      </c>
      <c r="G4" s="8">
        <v>42145</v>
      </c>
      <c r="Y4" s="8"/>
    </row>
    <row r="5" spans="1:25" x14ac:dyDescent="0.25">
      <c r="A5" t="str">
        <f>"15-0338"</f>
        <v>15-0338</v>
      </c>
      <c r="D5" s="8">
        <v>42145</v>
      </c>
      <c r="F5" s="8">
        <v>42145</v>
      </c>
      <c r="G5" s="8">
        <v>42145</v>
      </c>
      <c r="Y5" s="8"/>
    </row>
    <row r="6" spans="1:25" x14ac:dyDescent="0.25">
      <c r="A6" t="str">
        <f>"15-0339"</f>
        <v>15-0339</v>
      </c>
      <c r="D6" s="8">
        <v>42145</v>
      </c>
      <c r="F6" s="8">
        <v>42145</v>
      </c>
      <c r="G6" s="8">
        <v>42145</v>
      </c>
      <c r="Y6" s="8"/>
    </row>
    <row r="7" spans="1:25" x14ac:dyDescent="0.25">
      <c r="A7" t="str">
        <f>"15-0330"</f>
        <v>15-0330</v>
      </c>
      <c r="D7" s="8">
        <v>42144</v>
      </c>
      <c r="F7" s="8">
        <v>42144</v>
      </c>
      <c r="G7" s="8">
        <v>42144</v>
      </c>
      <c r="Y7" s="8"/>
    </row>
    <row r="8" spans="1:25" x14ac:dyDescent="0.25">
      <c r="A8" t="str">
        <f>"15-0331"</f>
        <v>15-0331</v>
      </c>
      <c r="D8" s="8">
        <v>42144</v>
      </c>
      <c r="F8" s="8">
        <v>42144</v>
      </c>
      <c r="G8" s="8">
        <v>42144</v>
      </c>
      <c r="Y8" s="8"/>
    </row>
    <row r="9" spans="1:25" x14ac:dyDescent="0.25">
      <c r="A9" t="str">
        <f>"15-0332"</f>
        <v>15-0332</v>
      </c>
      <c r="D9" s="8">
        <v>42144</v>
      </c>
      <c r="F9" s="8">
        <v>42144</v>
      </c>
      <c r="G9" s="8">
        <v>42144</v>
      </c>
      <c r="Y9" s="8"/>
    </row>
    <row r="10" spans="1:25" x14ac:dyDescent="0.25">
      <c r="A10" t="str">
        <f>"15-0333"</f>
        <v>15-0333</v>
      </c>
      <c r="D10" s="8">
        <v>42144</v>
      </c>
      <c r="F10" s="8">
        <v>42144</v>
      </c>
      <c r="G10" s="8">
        <v>42144</v>
      </c>
      <c r="Y10" s="8"/>
    </row>
    <row r="11" spans="1:25" x14ac:dyDescent="0.25">
      <c r="A11" t="str">
        <f>"15-0334"</f>
        <v>15-0334</v>
      </c>
      <c r="D11" s="8">
        <v>42144</v>
      </c>
      <c r="F11" s="8">
        <v>42144</v>
      </c>
      <c r="G11" s="8">
        <v>42144</v>
      </c>
      <c r="Y11" s="8"/>
    </row>
    <row r="12" spans="1:25" x14ac:dyDescent="0.25">
      <c r="A12" t="str">
        <f>"15-0335"</f>
        <v>15-0335</v>
      </c>
      <c r="D12" s="8">
        <v>42144</v>
      </c>
      <c r="F12" s="8">
        <v>42144</v>
      </c>
      <c r="G12" s="8">
        <v>42144</v>
      </c>
      <c r="Y12" s="8"/>
    </row>
    <row r="13" spans="1:25" x14ac:dyDescent="0.25">
      <c r="A13" t="str">
        <f>"15-0325"</f>
        <v>15-0325</v>
      </c>
      <c r="D13" s="8">
        <v>42143</v>
      </c>
      <c r="F13" s="8">
        <v>42143</v>
      </c>
      <c r="G13" s="8">
        <v>42143</v>
      </c>
      <c r="Y13" s="8"/>
    </row>
    <row r="14" spans="1:25" x14ac:dyDescent="0.25">
      <c r="A14" t="str">
        <f>"15-0326"</f>
        <v>15-0326</v>
      </c>
      <c r="D14" s="8">
        <v>42143</v>
      </c>
      <c r="F14" s="8">
        <v>42143</v>
      </c>
      <c r="G14" s="8">
        <v>42143</v>
      </c>
      <c r="Y14" s="8"/>
    </row>
    <row r="15" spans="1:25" x14ac:dyDescent="0.25">
      <c r="A15" t="str">
        <f>"15-0327"</f>
        <v>15-0327</v>
      </c>
      <c r="D15" s="8">
        <v>42143</v>
      </c>
      <c r="F15" s="8">
        <v>42143</v>
      </c>
      <c r="G15" s="8">
        <v>42143</v>
      </c>
      <c r="Y15" s="8"/>
    </row>
    <row r="16" spans="1:25" x14ac:dyDescent="0.25">
      <c r="A16" t="str">
        <f>"15-0328"</f>
        <v>15-0328</v>
      </c>
      <c r="D16" s="8">
        <v>42143</v>
      </c>
      <c r="F16" s="8">
        <v>42143</v>
      </c>
      <c r="G16" s="8">
        <v>42143</v>
      </c>
      <c r="Y16" s="8"/>
    </row>
    <row r="17" spans="1:25" x14ac:dyDescent="0.25">
      <c r="A17" t="str">
        <f>"15-0329"</f>
        <v>15-0329</v>
      </c>
      <c r="D17" s="8">
        <v>42143</v>
      </c>
      <c r="F17" s="8">
        <v>42143</v>
      </c>
      <c r="G17" s="8">
        <v>42143</v>
      </c>
      <c r="Y17" s="8"/>
    </row>
    <row r="18" spans="1:25" x14ac:dyDescent="0.25">
      <c r="A18" t="str">
        <f>"15-0323"</f>
        <v>15-0323</v>
      </c>
      <c r="D18" s="8">
        <v>42142</v>
      </c>
      <c r="F18" s="8">
        <v>42143</v>
      </c>
      <c r="G18" s="8">
        <v>42142</v>
      </c>
      <c r="Y18" s="8"/>
    </row>
    <row r="19" spans="1:25" x14ac:dyDescent="0.25">
      <c r="A19" t="str">
        <f>"15-0324"</f>
        <v>15-0324</v>
      </c>
      <c r="D19" s="8">
        <v>42142</v>
      </c>
      <c r="F19" s="8">
        <v>42142</v>
      </c>
      <c r="G19" s="8">
        <v>42142</v>
      </c>
      <c r="Y19" s="8"/>
    </row>
    <row r="20" spans="1:25" x14ac:dyDescent="0.25">
      <c r="A20" t="str">
        <f>"15-0322"</f>
        <v>15-0322</v>
      </c>
      <c r="D20" s="8">
        <v>42138</v>
      </c>
      <c r="F20" s="8">
        <v>42138</v>
      </c>
      <c r="G20" s="8">
        <v>42138</v>
      </c>
      <c r="Y20" s="8"/>
    </row>
    <row r="21" spans="1:25" x14ac:dyDescent="0.25">
      <c r="A21" t="str">
        <f>"15-0315"</f>
        <v>15-0315</v>
      </c>
      <c r="D21" s="8">
        <v>42137</v>
      </c>
      <c r="F21" s="8">
        <v>42137</v>
      </c>
      <c r="G21" s="8">
        <v>42137</v>
      </c>
      <c r="Y21" s="8"/>
    </row>
    <row r="22" spans="1:25" x14ac:dyDescent="0.25">
      <c r="A22" t="str">
        <f>"15-0316"</f>
        <v>15-0316</v>
      </c>
      <c r="D22" s="8">
        <v>42137</v>
      </c>
      <c r="F22" s="8">
        <v>42137</v>
      </c>
      <c r="G22" s="8">
        <v>42137</v>
      </c>
      <c r="Y22" s="8"/>
    </row>
    <row r="23" spans="1:25" x14ac:dyDescent="0.25">
      <c r="A23" t="str">
        <f>"15-0317"</f>
        <v>15-0317</v>
      </c>
      <c r="D23" s="8">
        <v>42137</v>
      </c>
      <c r="F23" s="8">
        <v>42137</v>
      </c>
      <c r="G23" s="8">
        <v>42137</v>
      </c>
      <c r="Y23" s="8"/>
    </row>
    <row r="24" spans="1:25" x14ac:dyDescent="0.25">
      <c r="A24" t="str">
        <f>"15-0318"</f>
        <v>15-0318</v>
      </c>
      <c r="D24" s="8">
        <v>42137</v>
      </c>
      <c r="F24" s="8">
        <v>42137</v>
      </c>
      <c r="G24" s="8">
        <v>42137</v>
      </c>
      <c r="Y24" s="8"/>
    </row>
    <row r="25" spans="1:25" x14ac:dyDescent="0.25">
      <c r="A25" t="str">
        <f>"15-0319"</f>
        <v>15-0319</v>
      </c>
      <c r="D25" s="8">
        <v>42137</v>
      </c>
      <c r="F25" s="8">
        <v>42137</v>
      </c>
      <c r="G25" s="8">
        <v>42137</v>
      </c>
      <c r="Y25" s="8"/>
    </row>
    <row r="26" spans="1:25" x14ac:dyDescent="0.25">
      <c r="A26" t="str">
        <f>"15-0319B"</f>
        <v>15-0319B</v>
      </c>
      <c r="D26" s="8">
        <v>42137</v>
      </c>
      <c r="F26" s="8">
        <v>42137</v>
      </c>
      <c r="G26" s="8">
        <v>42137</v>
      </c>
      <c r="Y26" s="8"/>
    </row>
    <row r="27" spans="1:25" x14ac:dyDescent="0.25">
      <c r="A27" t="str">
        <f>"15-0320"</f>
        <v>15-0320</v>
      </c>
      <c r="D27" s="8">
        <v>42137</v>
      </c>
      <c r="F27" s="8">
        <v>42137</v>
      </c>
      <c r="G27" s="8">
        <v>42137</v>
      </c>
      <c r="Y27" s="8"/>
    </row>
    <row r="28" spans="1:25" x14ac:dyDescent="0.25">
      <c r="A28" t="str">
        <f>"15-0321"</f>
        <v>15-0321</v>
      </c>
      <c r="D28" s="8">
        <v>42137</v>
      </c>
      <c r="F28" s="8">
        <v>42137</v>
      </c>
      <c r="G28" s="8">
        <v>42137</v>
      </c>
      <c r="Y28" s="8"/>
    </row>
    <row r="29" spans="1:25" x14ac:dyDescent="0.25">
      <c r="A29" t="str">
        <f>"15-0313"</f>
        <v>15-0313</v>
      </c>
      <c r="D29" s="8">
        <v>42136</v>
      </c>
      <c r="F29" s="8">
        <v>42136</v>
      </c>
      <c r="G29" s="8">
        <v>42136</v>
      </c>
      <c r="Y29" s="8"/>
    </row>
    <row r="30" spans="1:25" x14ac:dyDescent="0.25">
      <c r="A30" t="str">
        <f>"15-0314"</f>
        <v>15-0314</v>
      </c>
      <c r="D30" s="8">
        <v>42136</v>
      </c>
      <c r="F30" s="8">
        <v>42136</v>
      </c>
      <c r="G30" s="8">
        <v>42136</v>
      </c>
      <c r="Y30" s="8"/>
    </row>
    <row r="31" spans="1:25" x14ac:dyDescent="0.25">
      <c r="A31" t="str">
        <f>"15-0311"</f>
        <v>15-0311</v>
      </c>
      <c r="D31" s="8">
        <v>42135</v>
      </c>
      <c r="F31" s="8">
        <v>42135</v>
      </c>
      <c r="G31" s="8">
        <v>42135</v>
      </c>
      <c r="Y31" s="8"/>
    </row>
    <row r="32" spans="1:25" x14ac:dyDescent="0.25">
      <c r="A32" t="str">
        <f>"15-0312"</f>
        <v>15-0312</v>
      </c>
      <c r="D32" s="8">
        <v>42135</v>
      </c>
      <c r="F32" s="8">
        <v>42135</v>
      </c>
      <c r="G32" s="8">
        <v>42135</v>
      </c>
      <c r="Y32" s="8"/>
    </row>
    <row r="33" spans="1:25" x14ac:dyDescent="0.25">
      <c r="A33" t="str">
        <f>"15-0309"</f>
        <v>15-0309</v>
      </c>
      <c r="D33" s="8">
        <v>42131</v>
      </c>
      <c r="F33" s="8">
        <v>42131</v>
      </c>
      <c r="G33" s="8">
        <v>42131</v>
      </c>
      <c r="Y33" s="8"/>
    </row>
    <row r="34" spans="1:25" x14ac:dyDescent="0.25">
      <c r="A34" t="str">
        <f>"15-0310"</f>
        <v>15-0310</v>
      </c>
      <c r="D34" s="8">
        <v>42131</v>
      </c>
      <c r="F34" s="8">
        <v>42131</v>
      </c>
      <c r="G34" s="8">
        <v>42131</v>
      </c>
      <c r="Y34" s="8"/>
    </row>
    <row r="35" spans="1:25" x14ac:dyDescent="0.25">
      <c r="A35" t="str">
        <f>"15-0305"</f>
        <v>15-0305</v>
      </c>
      <c r="D35" s="8">
        <v>42130</v>
      </c>
      <c r="F35" s="8">
        <v>42142</v>
      </c>
      <c r="G35" s="8">
        <v>42130</v>
      </c>
      <c r="Y35" s="8"/>
    </row>
    <row r="36" spans="1:25" x14ac:dyDescent="0.25">
      <c r="A36" t="str">
        <f>"15-0306"</f>
        <v>15-0306</v>
      </c>
      <c r="D36" s="8">
        <v>42130</v>
      </c>
      <c r="F36" s="8">
        <v>42130</v>
      </c>
      <c r="G36" s="8">
        <v>42130</v>
      </c>
      <c r="Y36" s="8"/>
    </row>
    <row r="37" spans="1:25" x14ac:dyDescent="0.25">
      <c r="A37" t="str">
        <f>"15-0307"</f>
        <v>15-0307</v>
      </c>
      <c r="D37" s="8">
        <v>42130</v>
      </c>
      <c r="F37" s="8">
        <v>42136</v>
      </c>
      <c r="G37" s="8">
        <v>42130</v>
      </c>
      <c r="Y37" s="8"/>
    </row>
    <row r="38" spans="1:25" x14ac:dyDescent="0.25">
      <c r="A38" t="str">
        <f>"15-0308"</f>
        <v>15-0308</v>
      </c>
      <c r="D38" s="8">
        <v>42130</v>
      </c>
      <c r="F38" s="8">
        <v>42131</v>
      </c>
      <c r="G38" s="8">
        <v>42131</v>
      </c>
      <c r="Y38" s="8"/>
    </row>
    <row r="39" spans="1:25" x14ac:dyDescent="0.25">
      <c r="A39" t="str">
        <f>"15-0302"</f>
        <v>15-0302</v>
      </c>
      <c r="D39" s="8">
        <v>42128</v>
      </c>
      <c r="F39" s="8">
        <v>42128</v>
      </c>
      <c r="G39" s="8">
        <v>42128</v>
      </c>
      <c r="Y39" s="8"/>
    </row>
    <row r="40" spans="1:25" x14ac:dyDescent="0.25">
      <c r="A40" t="str">
        <f>"15-0300"</f>
        <v>15-0300</v>
      </c>
      <c r="D40" s="8">
        <v>42124</v>
      </c>
      <c r="F40" s="8">
        <v>42124</v>
      </c>
      <c r="G40" s="8">
        <v>42124</v>
      </c>
      <c r="Y40" s="8"/>
    </row>
    <row r="41" spans="1:25" x14ac:dyDescent="0.25">
      <c r="A41" t="str">
        <f>"15-0301"</f>
        <v>15-0301</v>
      </c>
      <c r="D41" s="8">
        <v>42124</v>
      </c>
      <c r="F41" s="8">
        <v>42124</v>
      </c>
      <c r="G41" s="8">
        <v>42124</v>
      </c>
      <c r="Y41" s="8"/>
    </row>
    <row r="42" spans="1:25" x14ac:dyDescent="0.25">
      <c r="A42" t="str">
        <f>"15-0261B"</f>
        <v>15-0261B</v>
      </c>
      <c r="D42" s="8">
        <v>42123</v>
      </c>
      <c r="F42" s="8">
        <v>42123</v>
      </c>
      <c r="G42" s="8">
        <v>42123</v>
      </c>
      <c r="Y42" s="8"/>
    </row>
    <row r="43" spans="1:25" x14ac:dyDescent="0.25">
      <c r="A43" t="str">
        <f>"15-0261C"</f>
        <v>15-0261C</v>
      </c>
      <c r="D43" s="8">
        <v>42123</v>
      </c>
      <c r="F43" s="8">
        <v>42123</v>
      </c>
      <c r="G43" s="8">
        <v>42123</v>
      </c>
      <c r="Y43" s="8"/>
    </row>
    <row r="44" spans="1:25" x14ac:dyDescent="0.25">
      <c r="A44" t="str">
        <f>"15-0297"</f>
        <v>15-0297</v>
      </c>
      <c r="D44" s="8">
        <v>42123</v>
      </c>
      <c r="F44" s="8">
        <v>42123</v>
      </c>
      <c r="G44" s="8">
        <v>42123</v>
      </c>
      <c r="Y44" s="8"/>
    </row>
    <row r="45" spans="1:25" x14ac:dyDescent="0.25">
      <c r="A45" t="str">
        <f>"15-0298"</f>
        <v>15-0298</v>
      </c>
      <c r="D45" s="8">
        <v>42123</v>
      </c>
      <c r="F45" s="8">
        <v>42123</v>
      </c>
      <c r="G45" s="8">
        <v>42123</v>
      </c>
      <c r="Y45" s="8"/>
    </row>
    <row r="46" spans="1:25" x14ac:dyDescent="0.25">
      <c r="A46" t="str">
        <f>"15-0299"</f>
        <v>15-0299</v>
      </c>
      <c r="D46" s="8">
        <v>42123</v>
      </c>
      <c r="F46" s="8">
        <v>42124</v>
      </c>
      <c r="G46" s="8">
        <v>42123</v>
      </c>
      <c r="Y46" s="8"/>
    </row>
    <row r="47" spans="1:25" x14ac:dyDescent="0.25">
      <c r="A47" t="str">
        <f>"15-0294"</f>
        <v>15-0294</v>
      </c>
      <c r="D47" s="8">
        <v>42122</v>
      </c>
      <c r="F47" s="8">
        <v>42122</v>
      </c>
      <c r="G47" s="8">
        <v>42122</v>
      </c>
      <c r="Y47" s="8"/>
    </row>
    <row r="48" spans="1:25" x14ac:dyDescent="0.25">
      <c r="A48" t="str">
        <f>"15-0295"</f>
        <v>15-0295</v>
      </c>
      <c r="D48" s="8">
        <v>42122</v>
      </c>
      <c r="F48" s="8">
        <v>42122</v>
      </c>
      <c r="G48" s="8">
        <v>42122</v>
      </c>
      <c r="Y48" s="8"/>
    </row>
    <row r="49" spans="1:25" x14ac:dyDescent="0.25">
      <c r="A49" t="str">
        <f>"15-0296"</f>
        <v>15-0296</v>
      </c>
      <c r="D49" s="8">
        <v>42122</v>
      </c>
      <c r="F49" s="8">
        <v>42122</v>
      </c>
      <c r="G49" s="8">
        <v>42122</v>
      </c>
      <c r="Y49" s="8"/>
    </row>
    <row r="50" spans="1:25" x14ac:dyDescent="0.25">
      <c r="A50" t="str">
        <f>"15-0291"</f>
        <v>15-0291</v>
      </c>
      <c r="D50" s="8">
        <v>42121</v>
      </c>
      <c r="F50" s="8">
        <v>42121</v>
      </c>
      <c r="G50" s="8">
        <v>42121</v>
      </c>
      <c r="Y50" s="8"/>
    </row>
    <row r="51" spans="1:25" x14ac:dyDescent="0.25">
      <c r="A51" t="str">
        <f>"15-0292"</f>
        <v>15-0292</v>
      </c>
      <c r="D51" s="8">
        <v>42121</v>
      </c>
      <c r="F51" s="8">
        <v>42121</v>
      </c>
      <c r="G51" s="8">
        <v>42121</v>
      </c>
      <c r="Y51" s="8"/>
    </row>
    <row r="52" spans="1:25" x14ac:dyDescent="0.25">
      <c r="A52" t="str">
        <f>"15-0293"</f>
        <v>15-0293</v>
      </c>
      <c r="D52" s="8">
        <v>42121</v>
      </c>
      <c r="F52" s="8">
        <v>42121</v>
      </c>
      <c r="G52" s="8">
        <v>42121</v>
      </c>
      <c r="Y52" s="8"/>
    </row>
    <row r="53" spans="1:25" x14ac:dyDescent="0.25">
      <c r="A53" t="str">
        <f>"15-0287"</f>
        <v>15-0287</v>
      </c>
      <c r="D53" s="8">
        <v>42118</v>
      </c>
      <c r="F53" s="8">
        <v>42118</v>
      </c>
      <c r="G53" s="8">
        <v>42118</v>
      </c>
      <c r="Y53" s="8"/>
    </row>
    <row r="54" spans="1:25" x14ac:dyDescent="0.25">
      <c r="A54" t="str">
        <f>"15-0288"</f>
        <v>15-0288</v>
      </c>
      <c r="D54" s="8">
        <v>42118</v>
      </c>
      <c r="F54" s="8">
        <v>42118</v>
      </c>
      <c r="G54" s="8">
        <v>42118</v>
      </c>
      <c r="Y54" s="8"/>
    </row>
    <row r="55" spans="1:25" x14ac:dyDescent="0.25">
      <c r="A55" t="str">
        <f>"15-0289"</f>
        <v>15-0289</v>
      </c>
      <c r="D55" s="8">
        <v>42118</v>
      </c>
      <c r="F55" s="8">
        <v>42118</v>
      </c>
      <c r="G55" s="8">
        <v>42118</v>
      </c>
      <c r="Y55" s="8"/>
    </row>
    <row r="56" spans="1:25" x14ac:dyDescent="0.25">
      <c r="A56" t="str">
        <f>"15-0290"</f>
        <v>15-0290</v>
      </c>
      <c r="D56" s="8">
        <v>42118</v>
      </c>
      <c r="F56" s="8">
        <v>42144</v>
      </c>
      <c r="G56" s="8">
        <v>42118</v>
      </c>
      <c r="Y56" s="8"/>
    </row>
    <row r="57" spans="1:25" x14ac:dyDescent="0.25">
      <c r="A57" t="str">
        <f>"15-0286"</f>
        <v>15-0286</v>
      </c>
      <c r="D57" s="8">
        <v>42117</v>
      </c>
      <c r="F57" s="8">
        <v>42117</v>
      </c>
      <c r="G57" s="8">
        <v>42117</v>
      </c>
      <c r="Y57" s="8"/>
    </row>
    <row r="58" spans="1:25" x14ac:dyDescent="0.25">
      <c r="A58" t="str">
        <f>"15-0142B"</f>
        <v>15-0142B</v>
      </c>
      <c r="D58" s="8">
        <v>42116</v>
      </c>
      <c r="F58" s="8">
        <v>42116</v>
      </c>
      <c r="G58" s="8">
        <v>42116</v>
      </c>
      <c r="Y58" s="8"/>
    </row>
    <row r="59" spans="1:25" x14ac:dyDescent="0.25">
      <c r="A59" t="str">
        <f>"15-0282"</f>
        <v>15-0282</v>
      </c>
      <c r="D59" s="8">
        <v>42116</v>
      </c>
      <c r="F59" s="8">
        <v>42116</v>
      </c>
      <c r="G59" s="8">
        <v>42116</v>
      </c>
      <c r="Y59" s="8"/>
    </row>
    <row r="60" spans="1:25" x14ac:dyDescent="0.25">
      <c r="A60" t="str">
        <f>"15-0283"</f>
        <v>15-0283</v>
      </c>
      <c r="D60" s="8">
        <v>42116</v>
      </c>
      <c r="F60" s="8">
        <v>42116</v>
      </c>
      <c r="G60" s="8">
        <v>42116</v>
      </c>
      <c r="Y60" s="8"/>
    </row>
    <row r="61" spans="1:25" x14ac:dyDescent="0.25">
      <c r="A61" t="str">
        <f>"15-0284"</f>
        <v>15-0284</v>
      </c>
      <c r="D61" s="8">
        <v>42116</v>
      </c>
      <c r="F61" s="8">
        <v>42117</v>
      </c>
      <c r="G61" s="8">
        <v>42118</v>
      </c>
      <c r="Y61" s="8"/>
    </row>
    <row r="62" spans="1:25" x14ac:dyDescent="0.25">
      <c r="A62" t="str">
        <f>"15-0285"</f>
        <v>15-0285</v>
      </c>
      <c r="D62" s="8">
        <v>42116</v>
      </c>
      <c r="F62" s="8">
        <v>42116</v>
      </c>
      <c r="G62" s="8">
        <v>42116</v>
      </c>
      <c r="Y62" s="8"/>
    </row>
    <row r="63" spans="1:25" x14ac:dyDescent="0.25">
      <c r="A63" t="str">
        <f>"15-0279"</f>
        <v>15-0279</v>
      </c>
      <c r="D63" s="8">
        <v>42115</v>
      </c>
      <c r="F63" s="8">
        <v>42115</v>
      </c>
      <c r="G63" s="8">
        <v>42115</v>
      </c>
      <c r="Y63" s="8"/>
    </row>
    <row r="64" spans="1:25" x14ac:dyDescent="0.25">
      <c r="A64" t="str">
        <f>"15-0280"</f>
        <v>15-0280</v>
      </c>
      <c r="D64" s="8">
        <v>42115</v>
      </c>
      <c r="F64" s="8">
        <v>42115</v>
      </c>
      <c r="G64" s="8">
        <v>42115</v>
      </c>
      <c r="Y64" s="8"/>
    </row>
    <row r="65" spans="1:25" x14ac:dyDescent="0.25">
      <c r="A65" t="str">
        <f>"15-0281"</f>
        <v>15-0281</v>
      </c>
      <c r="D65" s="8">
        <v>42115</v>
      </c>
      <c r="F65" s="8">
        <v>42115</v>
      </c>
      <c r="G65" s="8">
        <v>42115</v>
      </c>
      <c r="Y65" s="8"/>
    </row>
    <row r="66" spans="1:25" x14ac:dyDescent="0.25">
      <c r="A66" t="str">
        <f>"15-0275"</f>
        <v>15-0275</v>
      </c>
      <c r="D66" s="8">
        <v>42114</v>
      </c>
      <c r="F66" s="8">
        <v>42114</v>
      </c>
      <c r="G66" s="8">
        <v>42114</v>
      </c>
      <c r="Y66" s="8"/>
    </row>
    <row r="67" spans="1:25" x14ac:dyDescent="0.25">
      <c r="A67" t="str">
        <f>"15-0276"</f>
        <v>15-0276</v>
      </c>
      <c r="D67" s="8">
        <v>42114</v>
      </c>
      <c r="F67" s="8">
        <v>42114</v>
      </c>
      <c r="G67" s="8">
        <v>42114</v>
      </c>
      <c r="Y67" s="8"/>
    </row>
    <row r="68" spans="1:25" x14ac:dyDescent="0.25">
      <c r="A68" t="str">
        <f>"15-0277"</f>
        <v>15-0277</v>
      </c>
      <c r="D68" s="8">
        <v>42114</v>
      </c>
      <c r="F68" s="8">
        <v>42114</v>
      </c>
      <c r="G68" s="8">
        <v>42114</v>
      </c>
      <c r="Y68" s="8"/>
    </row>
    <row r="69" spans="1:25" x14ac:dyDescent="0.25">
      <c r="A69" t="str">
        <f>"15-0278"</f>
        <v>15-0278</v>
      </c>
      <c r="D69" s="8">
        <v>42114</v>
      </c>
      <c r="F69" s="8">
        <v>42114</v>
      </c>
      <c r="G69" s="8">
        <v>42114</v>
      </c>
      <c r="Y69" s="8"/>
    </row>
    <row r="70" spans="1:25" x14ac:dyDescent="0.25">
      <c r="A70" t="str">
        <f>"15-0273"</f>
        <v>15-0273</v>
      </c>
      <c r="D70" s="8">
        <v>42111</v>
      </c>
      <c r="F70" s="8">
        <v>42111</v>
      </c>
      <c r="G70" s="8">
        <v>42111</v>
      </c>
      <c r="Y70" s="8"/>
    </row>
    <row r="71" spans="1:25" x14ac:dyDescent="0.25">
      <c r="A71" t="str">
        <f>"15-0274"</f>
        <v>15-0274</v>
      </c>
      <c r="D71" s="8">
        <v>42111</v>
      </c>
      <c r="F71" s="8">
        <v>42111</v>
      </c>
      <c r="G71" s="8">
        <v>42111</v>
      </c>
      <c r="Y71" s="8"/>
    </row>
    <row r="72" spans="1:25" x14ac:dyDescent="0.25">
      <c r="A72" t="str">
        <f>"15-0266"</f>
        <v>15-0266</v>
      </c>
      <c r="D72" s="8">
        <v>42110</v>
      </c>
      <c r="F72" s="8">
        <v>42110</v>
      </c>
      <c r="G72" s="8">
        <v>42110</v>
      </c>
      <c r="Y72" s="8"/>
    </row>
    <row r="73" spans="1:25" x14ac:dyDescent="0.25">
      <c r="A73" t="str">
        <f>"15-0267"</f>
        <v>15-0267</v>
      </c>
      <c r="D73" s="8">
        <v>42110</v>
      </c>
      <c r="F73" s="8">
        <v>42110</v>
      </c>
      <c r="G73" s="8">
        <v>42110</v>
      </c>
      <c r="Y73" s="8"/>
    </row>
    <row r="74" spans="1:25" x14ac:dyDescent="0.25">
      <c r="A74" t="str">
        <f>"15-0268"</f>
        <v>15-0268</v>
      </c>
      <c r="D74" s="8">
        <v>42110</v>
      </c>
      <c r="F74" s="8">
        <v>42110</v>
      </c>
      <c r="G74" s="8">
        <v>42110</v>
      </c>
      <c r="Y74" s="8"/>
    </row>
    <row r="75" spans="1:25" x14ac:dyDescent="0.25">
      <c r="A75" t="str">
        <f>"15-0269"</f>
        <v>15-0269</v>
      </c>
      <c r="D75" s="8">
        <v>42110</v>
      </c>
      <c r="F75" s="8">
        <v>42110</v>
      </c>
      <c r="G75" s="8">
        <v>42110</v>
      </c>
      <c r="Y75" s="8"/>
    </row>
    <row r="76" spans="1:25" x14ac:dyDescent="0.25">
      <c r="A76" t="str">
        <f>"15-0270"</f>
        <v>15-0270</v>
      </c>
      <c r="D76" s="8">
        <v>42110</v>
      </c>
      <c r="F76" s="8">
        <v>42110</v>
      </c>
      <c r="G76" s="8">
        <v>42110</v>
      </c>
      <c r="Y76" s="8"/>
    </row>
    <row r="77" spans="1:25" x14ac:dyDescent="0.25">
      <c r="A77" t="str">
        <f>"15-0271"</f>
        <v>15-0271</v>
      </c>
      <c r="D77" s="8">
        <v>42110</v>
      </c>
      <c r="F77" s="8">
        <v>42110</v>
      </c>
      <c r="G77" s="8">
        <v>42110</v>
      </c>
      <c r="Y77" s="8"/>
    </row>
    <row r="78" spans="1:25" x14ac:dyDescent="0.25">
      <c r="A78" t="str">
        <f>"15-0272"</f>
        <v>15-0272</v>
      </c>
      <c r="D78" s="8">
        <v>42110</v>
      </c>
      <c r="F78" s="8">
        <v>42110</v>
      </c>
      <c r="G78" s="8">
        <v>42110</v>
      </c>
      <c r="Y78" s="8"/>
    </row>
    <row r="79" spans="1:25" x14ac:dyDescent="0.25">
      <c r="A79" t="str">
        <f>"15-0263"</f>
        <v>15-0263</v>
      </c>
      <c r="D79" s="8">
        <v>42109</v>
      </c>
      <c r="F79" s="8">
        <v>42124</v>
      </c>
      <c r="G79" s="8">
        <v>42109</v>
      </c>
      <c r="Y79" s="8"/>
    </row>
    <row r="80" spans="1:25" x14ac:dyDescent="0.25">
      <c r="A80" t="str">
        <f>"15-0264"</f>
        <v>15-0264</v>
      </c>
      <c r="D80" s="8">
        <v>42109</v>
      </c>
      <c r="F80" s="8">
        <v>42109</v>
      </c>
      <c r="G80" s="8">
        <v>42109</v>
      </c>
      <c r="Y80" s="8"/>
    </row>
    <row r="81" spans="1:25" x14ac:dyDescent="0.25">
      <c r="A81" t="str">
        <f>"15-0265"</f>
        <v>15-0265</v>
      </c>
      <c r="D81" s="8">
        <v>42109</v>
      </c>
      <c r="F81" s="8">
        <v>42109</v>
      </c>
      <c r="G81" s="8">
        <v>42107</v>
      </c>
      <c r="Y81" s="8"/>
    </row>
    <row r="82" spans="1:25" x14ac:dyDescent="0.25">
      <c r="A82" t="str">
        <f>"15-0050B"</f>
        <v>15-0050B</v>
      </c>
      <c r="D82" s="8">
        <v>42108</v>
      </c>
      <c r="F82" s="8">
        <v>42108</v>
      </c>
      <c r="G82" s="8">
        <v>42108</v>
      </c>
      <c r="Y82" s="8"/>
    </row>
    <row r="83" spans="1:25" x14ac:dyDescent="0.25">
      <c r="A83" t="str">
        <f>"15-0192D"</f>
        <v>15-0192D</v>
      </c>
      <c r="D83" s="8">
        <v>42108</v>
      </c>
      <c r="F83" s="8">
        <v>42108</v>
      </c>
      <c r="G83" s="8">
        <v>42108</v>
      </c>
      <c r="Y83" s="8"/>
    </row>
    <row r="84" spans="1:25" x14ac:dyDescent="0.25">
      <c r="A84" t="str">
        <f>"15-0215 D"</f>
        <v>15-0215 D</v>
      </c>
      <c r="D84" s="8">
        <v>42108</v>
      </c>
      <c r="F84" s="8">
        <v>42136</v>
      </c>
      <c r="G84" s="8">
        <v>42108</v>
      </c>
      <c r="Y84" s="8"/>
    </row>
    <row r="85" spans="1:25" x14ac:dyDescent="0.25">
      <c r="A85" t="str">
        <f>"15-0254B"</f>
        <v>15-0254B</v>
      </c>
      <c r="D85" s="8">
        <v>42108</v>
      </c>
      <c r="F85" s="8">
        <v>42108</v>
      </c>
      <c r="G85" s="8">
        <v>42108</v>
      </c>
      <c r="Y85" s="8"/>
    </row>
    <row r="86" spans="1:25" x14ac:dyDescent="0.25">
      <c r="A86" t="str">
        <f>"15-0261"</f>
        <v>15-0261</v>
      </c>
      <c r="D86" s="8">
        <v>42108</v>
      </c>
      <c r="F86" s="8">
        <v>42108</v>
      </c>
      <c r="G86" s="8">
        <v>42108</v>
      </c>
      <c r="Y86" s="8"/>
    </row>
    <row r="87" spans="1:25" x14ac:dyDescent="0.25">
      <c r="A87" t="str">
        <f>"15-0262"</f>
        <v>15-0262</v>
      </c>
      <c r="D87" s="8">
        <v>42108</v>
      </c>
      <c r="F87" s="8">
        <v>42108</v>
      </c>
      <c r="G87" s="8">
        <v>42109</v>
      </c>
      <c r="Y87" s="8"/>
    </row>
    <row r="88" spans="1:25" x14ac:dyDescent="0.25">
      <c r="A88" t="str">
        <f>"15-0226B"</f>
        <v>15-0226B</v>
      </c>
      <c r="D88" s="8">
        <v>42107</v>
      </c>
      <c r="F88" s="8">
        <v>42107</v>
      </c>
      <c r="G88" s="8">
        <v>42107</v>
      </c>
      <c r="Y88" s="8"/>
    </row>
    <row r="89" spans="1:25" x14ac:dyDescent="0.25">
      <c r="A89" t="str">
        <f>"15-0258"</f>
        <v>15-0258</v>
      </c>
      <c r="D89" s="8">
        <v>42107</v>
      </c>
      <c r="F89" s="8">
        <v>42107</v>
      </c>
      <c r="G89" s="8">
        <v>42107</v>
      </c>
      <c r="Y89" s="8"/>
    </row>
    <row r="90" spans="1:25" x14ac:dyDescent="0.25">
      <c r="A90" t="str">
        <f>"15-0259"</f>
        <v>15-0259</v>
      </c>
      <c r="D90" s="8">
        <v>42107</v>
      </c>
      <c r="F90" s="8">
        <v>42107</v>
      </c>
      <c r="G90" s="8">
        <v>42107</v>
      </c>
      <c r="Y90" s="8"/>
    </row>
    <row r="91" spans="1:25" x14ac:dyDescent="0.25">
      <c r="A91" t="str">
        <f>"15-0260"</f>
        <v>15-0260</v>
      </c>
      <c r="D91" s="8">
        <v>42107</v>
      </c>
      <c r="F91" s="8">
        <v>42107</v>
      </c>
      <c r="G91" s="8">
        <v>42107</v>
      </c>
      <c r="Y91" s="8"/>
    </row>
    <row r="92" spans="1:25" x14ac:dyDescent="0.25">
      <c r="A92" t="str">
        <f>"15-0239B"</f>
        <v>15-0239B</v>
      </c>
      <c r="D92" s="8">
        <v>42104</v>
      </c>
      <c r="F92" s="8">
        <v>42104</v>
      </c>
      <c r="G92" s="8">
        <v>42104</v>
      </c>
      <c r="Y92" s="8"/>
    </row>
    <row r="93" spans="1:25" x14ac:dyDescent="0.25">
      <c r="A93" t="str">
        <f>"15-0256"</f>
        <v>15-0256</v>
      </c>
      <c r="D93" s="8">
        <v>42104</v>
      </c>
      <c r="F93" s="8">
        <v>42104</v>
      </c>
      <c r="G93" s="8">
        <v>42104</v>
      </c>
      <c r="Y93" s="8"/>
    </row>
    <row r="94" spans="1:25" x14ac:dyDescent="0.25">
      <c r="A94" t="str">
        <f>"15-0257"</f>
        <v>15-0257</v>
      </c>
      <c r="D94" s="8">
        <v>42104</v>
      </c>
      <c r="F94" s="8">
        <v>42104</v>
      </c>
      <c r="G94" s="8">
        <v>42104</v>
      </c>
      <c r="Y94" s="8"/>
    </row>
    <row r="95" spans="1:25" x14ac:dyDescent="0.25">
      <c r="A95" t="str">
        <f>"15-0253"</f>
        <v>15-0253</v>
      </c>
      <c r="D95" s="8">
        <v>42103</v>
      </c>
      <c r="F95" s="8">
        <v>42103</v>
      </c>
      <c r="G95" s="8">
        <v>42103</v>
      </c>
      <c r="Y95" s="8"/>
    </row>
    <row r="96" spans="1:25" x14ac:dyDescent="0.25">
      <c r="A96" t="str">
        <f>"15-0254"</f>
        <v>15-0254</v>
      </c>
      <c r="D96" s="8">
        <v>42103</v>
      </c>
      <c r="F96" s="8">
        <v>42107</v>
      </c>
      <c r="G96" s="8">
        <v>42104</v>
      </c>
      <c r="Y96" s="8"/>
    </row>
    <row r="97" spans="1:25" x14ac:dyDescent="0.25">
      <c r="A97" t="str">
        <f>"15-0255"</f>
        <v>15-0255</v>
      </c>
      <c r="D97" s="8">
        <v>42103</v>
      </c>
      <c r="F97" s="8">
        <v>42103</v>
      </c>
      <c r="G97" s="8">
        <v>42103</v>
      </c>
      <c r="Y97" s="8"/>
    </row>
    <row r="98" spans="1:25" x14ac:dyDescent="0.25">
      <c r="A98" t="str">
        <f>"15-0252"</f>
        <v>15-0252</v>
      </c>
      <c r="D98" s="8">
        <v>42102</v>
      </c>
      <c r="F98" s="8">
        <v>42102</v>
      </c>
      <c r="G98" s="8">
        <v>42104</v>
      </c>
      <c r="Y98" s="8"/>
    </row>
    <row r="99" spans="1:25" x14ac:dyDescent="0.25">
      <c r="A99" t="str">
        <f>"15-0248"</f>
        <v>15-0248</v>
      </c>
      <c r="D99" s="8">
        <v>42101</v>
      </c>
      <c r="F99" s="8">
        <v>42101</v>
      </c>
      <c r="G99" s="8">
        <v>42101</v>
      </c>
      <c r="Y99" s="8"/>
    </row>
    <row r="100" spans="1:25" x14ac:dyDescent="0.25">
      <c r="A100" t="str">
        <f>"15-0249"</f>
        <v>15-0249</v>
      </c>
      <c r="D100" s="8">
        <v>42101</v>
      </c>
      <c r="F100" s="8">
        <v>42101</v>
      </c>
      <c r="G100" s="8">
        <v>42101</v>
      </c>
      <c r="Y100" s="8"/>
    </row>
    <row r="101" spans="1:25" x14ac:dyDescent="0.25">
      <c r="A101" t="str">
        <f>"15-0250"</f>
        <v>15-0250</v>
      </c>
      <c r="D101" s="8">
        <v>42101</v>
      </c>
      <c r="F101" s="8">
        <v>42101</v>
      </c>
      <c r="G101" s="8">
        <v>42101</v>
      </c>
      <c r="Y101" s="8"/>
    </row>
    <row r="102" spans="1:25" x14ac:dyDescent="0.25">
      <c r="A102" t="str">
        <f>"15-0251"</f>
        <v>15-0251</v>
      </c>
      <c r="D102" s="8">
        <v>42101</v>
      </c>
      <c r="F102" s="8">
        <v>42101</v>
      </c>
      <c r="G102" s="8">
        <v>42101</v>
      </c>
      <c r="Y102" s="8"/>
    </row>
    <row r="103" spans="1:25" x14ac:dyDescent="0.25">
      <c r="A103" t="str">
        <f>"14-0397B"</f>
        <v>14-0397B</v>
      </c>
      <c r="D103" s="8">
        <v>42097</v>
      </c>
      <c r="F103" s="8">
        <v>42097</v>
      </c>
      <c r="G103" s="8">
        <v>42097</v>
      </c>
      <c r="Y103" s="8"/>
    </row>
    <row r="104" spans="1:25" x14ac:dyDescent="0.25">
      <c r="A104" t="str">
        <f>"15-0247"</f>
        <v>15-0247</v>
      </c>
      <c r="D104" s="8">
        <v>42097</v>
      </c>
      <c r="F104" s="8">
        <v>42101</v>
      </c>
      <c r="G104" s="8">
        <v>42102</v>
      </c>
      <c r="Y104" s="8"/>
    </row>
    <row r="105" spans="1:25" x14ac:dyDescent="0.25">
      <c r="A105" t="str">
        <f>"15-0200B"</f>
        <v>15-0200B</v>
      </c>
      <c r="D105" s="8">
        <v>42096</v>
      </c>
      <c r="F105" s="8">
        <v>42096</v>
      </c>
      <c r="G105" s="8">
        <v>42096</v>
      </c>
      <c r="Y105" s="8"/>
    </row>
    <row r="106" spans="1:25" x14ac:dyDescent="0.25">
      <c r="A106" t="str">
        <f>"15-0245"</f>
        <v>15-0245</v>
      </c>
      <c r="D106" s="8">
        <v>42096</v>
      </c>
      <c r="F106" s="8">
        <v>42096</v>
      </c>
      <c r="G106" s="8">
        <v>42096</v>
      </c>
      <c r="Y106" s="8"/>
    </row>
    <row r="107" spans="1:25" x14ac:dyDescent="0.25">
      <c r="A107" t="str">
        <f>"15-0246"</f>
        <v>15-0246</v>
      </c>
      <c r="D107" s="8">
        <v>42096</v>
      </c>
      <c r="F107" s="8">
        <v>42111</v>
      </c>
      <c r="G107" s="8">
        <v>42111</v>
      </c>
      <c r="Y107" s="8"/>
    </row>
    <row r="108" spans="1:25" x14ac:dyDescent="0.25">
      <c r="A108" t="str">
        <f>"15-0207B"</f>
        <v>15-0207B</v>
      </c>
      <c r="D108" s="8">
        <v>42095</v>
      </c>
      <c r="F108" s="8">
        <v>42095</v>
      </c>
      <c r="G108" s="8">
        <v>42095</v>
      </c>
      <c r="Y108" s="8"/>
    </row>
    <row r="109" spans="1:25" x14ac:dyDescent="0.25">
      <c r="A109" t="str">
        <f>"15-0239"</f>
        <v>15-0239</v>
      </c>
      <c r="D109" s="8">
        <v>42095</v>
      </c>
      <c r="F109" s="8">
        <v>42095</v>
      </c>
      <c r="G109" s="8">
        <v>42095</v>
      </c>
      <c r="Y109" s="8"/>
    </row>
    <row r="110" spans="1:25" x14ac:dyDescent="0.25">
      <c r="A110" t="str">
        <f>"15-0240"</f>
        <v>15-0240</v>
      </c>
      <c r="D110" s="8">
        <v>42095</v>
      </c>
      <c r="F110" s="8">
        <v>42095</v>
      </c>
      <c r="G110" s="8">
        <v>42095</v>
      </c>
      <c r="Y110" s="8"/>
    </row>
    <row r="111" spans="1:25" x14ac:dyDescent="0.25">
      <c r="A111" t="str">
        <f>"15-0241"</f>
        <v>15-0241</v>
      </c>
      <c r="D111" s="8">
        <v>42095</v>
      </c>
      <c r="F111" s="8">
        <v>42095</v>
      </c>
      <c r="G111" s="8">
        <v>42095</v>
      </c>
      <c r="Y111" s="8"/>
    </row>
    <row r="112" spans="1:25" x14ac:dyDescent="0.25">
      <c r="A112" t="str">
        <f>"15-0242"</f>
        <v>15-0242</v>
      </c>
      <c r="D112" s="8">
        <v>42095</v>
      </c>
      <c r="F112" s="8">
        <v>42096</v>
      </c>
      <c r="G112" s="8">
        <v>42097</v>
      </c>
      <c r="Y112" s="8"/>
    </row>
    <row r="113" spans="1:25" x14ac:dyDescent="0.25">
      <c r="A113" t="str">
        <f>"15-0243"</f>
        <v>15-0243</v>
      </c>
      <c r="D113" s="8">
        <v>42095</v>
      </c>
      <c r="F113" s="8">
        <v>42095</v>
      </c>
      <c r="G113" s="8">
        <v>42095</v>
      </c>
      <c r="Y113" s="8"/>
    </row>
    <row r="114" spans="1:25" x14ac:dyDescent="0.25">
      <c r="A114" t="str">
        <f>"15-0244"</f>
        <v>15-0244</v>
      </c>
      <c r="D114" s="8">
        <v>42095</v>
      </c>
      <c r="F114" s="8">
        <v>42096</v>
      </c>
      <c r="G114" s="8">
        <v>42095</v>
      </c>
      <c r="Y114" s="8"/>
    </row>
    <row r="115" spans="1:25" x14ac:dyDescent="0.25">
      <c r="A115" t="str">
        <f>"15-0236"</f>
        <v>15-0236</v>
      </c>
      <c r="D115" s="8">
        <v>42094</v>
      </c>
      <c r="F115" s="8">
        <v>42094</v>
      </c>
      <c r="G115" s="8">
        <v>42094</v>
      </c>
      <c r="Y115" s="8"/>
    </row>
    <row r="116" spans="1:25" x14ac:dyDescent="0.25">
      <c r="A116" t="str">
        <f>"15-0237"</f>
        <v>15-0237</v>
      </c>
      <c r="D116" s="8">
        <v>42094</v>
      </c>
      <c r="F116" s="8">
        <v>42094</v>
      </c>
      <c r="G116" s="8">
        <v>42094</v>
      </c>
      <c r="Y116" s="8"/>
    </row>
    <row r="117" spans="1:25" x14ac:dyDescent="0.25">
      <c r="A117" t="str">
        <f>"15-0238"</f>
        <v>15-0238</v>
      </c>
      <c r="D117" s="8">
        <v>42094</v>
      </c>
      <c r="F117" s="8">
        <v>42094</v>
      </c>
      <c r="G117" s="8">
        <v>42094</v>
      </c>
      <c r="Y117" s="8"/>
    </row>
    <row r="118" spans="1:25" x14ac:dyDescent="0.25">
      <c r="A118" t="str">
        <f>"15-0228"</f>
        <v>15-0228</v>
      </c>
      <c r="D118" s="8">
        <v>42093</v>
      </c>
      <c r="F118" s="8">
        <v>42093</v>
      </c>
      <c r="G118" s="8">
        <v>42093</v>
      </c>
      <c r="Y118" s="8"/>
    </row>
    <row r="119" spans="1:25" x14ac:dyDescent="0.25">
      <c r="A119" t="str">
        <f>"15-0229"</f>
        <v>15-0229</v>
      </c>
      <c r="D119" s="8">
        <v>42093</v>
      </c>
      <c r="F119" s="8">
        <v>42093</v>
      </c>
      <c r="G119" s="8">
        <v>42093</v>
      </c>
      <c r="Y119" s="8"/>
    </row>
    <row r="120" spans="1:25" x14ac:dyDescent="0.25">
      <c r="A120" t="str">
        <f>"15-0230"</f>
        <v>15-0230</v>
      </c>
      <c r="D120" s="8">
        <v>42093</v>
      </c>
      <c r="F120" s="8">
        <v>42093</v>
      </c>
      <c r="G120" s="8">
        <v>42093</v>
      </c>
      <c r="Y120" s="8"/>
    </row>
    <row r="121" spans="1:25" x14ac:dyDescent="0.25">
      <c r="A121" t="str">
        <f>"15-0231"</f>
        <v>15-0231</v>
      </c>
      <c r="D121" s="8">
        <v>42093</v>
      </c>
      <c r="F121" s="8">
        <v>42093</v>
      </c>
      <c r="G121" s="8">
        <v>42093</v>
      </c>
      <c r="Y121" s="8"/>
    </row>
    <row r="122" spans="1:25" x14ac:dyDescent="0.25">
      <c r="A122" t="str">
        <f>"15-0232"</f>
        <v>15-0232</v>
      </c>
      <c r="D122" s="8">
        <v>42093</v>
      </c>
      <c r="F122" s="8">
        <v>42093</v>
      </c>
      <c r="G122" s="8">
        <v>42093</v>
      </c>
      <c r="Y122" s="8"/>
    </row>
    <row r="123" spans="1:25" x14ac:dyDescent="0.25">
      <c r="A123" t="str">
        <f>"15-0233"</f>
        <v>15-0233</v>
      </c>
      <c r="D123" s="8">
        <v>42093</v>
      </c>
      <c r="F123" s="8">
        <v>42093</v>
      </c>
      <c r="G123" s="8">
        <v>42093</v>
      </c>
      <c r="Y123" s="8"/>
    </row>
    <row r="124" spans="1:25" x14ac:dyDescent="0.25">
      <c r="A124" t="str">
        <f>"15-0234"</f>
        <v>15-0234</v>
      </c>
      <c r="D124" s="8">
        <v>42093</v>
      </c>
      <c r="F124" s="8">
        <v>42093</v>
      </c>
      <c r="G124" s="8">
        <v>42093</v>
      </c>
      <c r="Y124" s="8"/>
    </row>
    <row r="125" spans="1:25" x14ac:dyDescent="0.25">
      <c r="A125" t="str">
        <f>"15-0235"</f>
        <v>15-0235</v>
      </c>
      <c r="D125" s="8">
        <v>42093</v>
      </c>
      <c r="F125" s="8">
        <v>42121</v>
      </c>
      <c r="G125" s="8">
        <v>42093</v>
      </c>
      <c r="Y125" s="8"/>
    </row>
    <row r="126" spans="1:25" x14ac:dyDescent="0.25">
      <c r="A126" t="str">
        <f>"15-0224"</f>
        <v>15-0224</v>
      </c>
      <c r="D126" s="8">
        <v>42090</v>
      </c>
      <c r="F126" s="8">
        <v>42090</v>
      </c>
      <c r="G126" s="8">
        <v>42090</v>
      </c>
      <c r="Y126" s="8"/>
    </row>
    <row r="127" spans="1:25" x14ac:dyDescent="0.25">
      <c r="A127" t="str">
        <f>"15-0225"</f>
        <v>15-0225</v>
      </c>
      <c r="D127" s="8">
        <v>42090</v>
      </c>
      <c r="F127" s="8">
        <v>42090</v>
      </c>
      <c r="G127" s="8">
        <v>42090</v>
      </c>
      <c r="Y127" s="8"/>
    </row>
    <row r="128" spans="1:25" x14ac:dyDescent="0.25">
      <c r="A128" t="str">
        <f>"15-0226"</f>
        <v>15-0226</v>
      </c>
      <c r="D128" s="8">
        <v>42090</v>
      </c>
      <c r="F128" s="8">
        <v>42090</v>
      </c>
      <c r="G128" s="8">
        <v>42090</v>
      </c>
      <c r="Y128" s="8"/>
    </row>
    <row r="129" spans="1:25" x14ac:dyDescent="0.25">
      <c r="A129" t="str">
        <f>"15-0227"</f>
        <v>15-0227</v>
      </c>
      <c r="D129" s="8">
        <v>42090</v>
      </c>
      <c r="F129" s="8">
        <v>42090</v>
      </c>
      <c r="G129" s="8">
        <v>42090</v>
      </c>
      <c r="Y129" s="8"/>
    </row>
    <row r="130" spans="1:25" x14ac:dyDescent="0.25">
      <c r="A130" t="str">
        <f>"15-0223"</f>
        <v>15-0223</v>
      </c>
      <c r="D130" s="8">
        <v>42089</v>
      </c>
      <c r="F130" s="8">
        <v>42089</v>
      </c>
      <c r="G130" s="8">
        <v>42089</v>
      </c>
      <c r="Y130" s="8"/>
    </row>
    <row r="131" spans="1:25" x14ac:dyDescent="0.25">
      <c r="A131" t="str">
        <f>"15-0208B"</f>
        <v>15-0208B</v>
      </c>
      <c r="D131" s="8">
        <v>42088</v>
      </c>
      <c r="F131" s="8">
        <v>42088</v>
      </c>
      <c r="G131" s="8">
        <v>42088</v>
      </c>
      <c r="Y131" s="8"/>
    </row>
    <row r="132" spans="1:25" x14ac:dyDescent="0.25">
      <c r="A132" t="str">
        <f>"15-0215 B"</f>
        <v>15-0215 B</v>
      </c>
      <c r="D132" s="8">
        <v>42088</v>
      </c>
      <c r="F132" s="8">
        <v>42108</v>
      </c>
      <c r="G132" s="8">
        <v>42088</v>
      </c>
      <c r="Y132" s="8"/>
    </row>
    <row r="133" spans="1:25" x14ac:dyDescent="0.25">
      <c r="A133" t="str">
        <f>"15-0215 C"</f>
        <v>15-0215 C</v>
      </c>
      <c r="D133" s="8">
        <v>42088</v>
      </c>
      <c r="F133" s="8">
        <v>42089</v>
      </c>
      <c r="G133" s="8">
        <v>42088</v>
      </c>
      <c r="Y133" s="8"/>
    </row>
    <row r="134" spans="1:25" x14ac:dyDescent="0.25">
      <c r="A134" t="str">
        <f>"15-0215B"</f>
        <v>15-0215B</v>
      </c>
      <c r="D134" s="8">
        <v>42088</v>
      </c>
      <c r="F134" s="8">
        <v>42088</v>
      </c>
      <c r="G134" s="8">
        <v>42088</v>
      </c>
      <c r="Y134" s="8"/>
    </row>
    <row r="135" spans="1:25" x14ac:dyDescent="0.25">
      <c r="A135" t="str">
        <f>"15-0220"</f>
        <v>15-0220</v>
      </c>
      <c r="D135" s="8">
        <v>42088</v>
      </c>
      <c r="F135" s="8">
        <v>42089</v>
      </c>
      <c r="G135" s="8">
        <v>42088</v>
      </c>
      <c r="Y135" s="8"/>
    </row>
    <row r="136" spans="1:25" x14ac:dyDescent="0.25">
      <c r="A136" t="str">
        <f>"15-0220B"</f>
        <v>15-0220B</v>
      </c>
      <c r="D136" s="8">
        <v>42088</v>
      </c>
      <c r="F136" s="8">
        <v>42108</v>
      </c>
      <c r="G136" s="8">
        <v>42088</v>
      </c>
      <c r="Y136" s="8"/>
    </row>
    <row r="137" spans="1:25" x14ac:dyDescent="0.25">
      <c r="A137" t="str">
        <f>"15-0220C"</f>
        <v>15-0220C</v>
      </c>
      <c r="D137" s="8">
        <v>42088</v>
      </c>
      <c r="F137" s="8">
        <v>42089</v>
      </c>
      <c r="G137" s="8">
        <v>42088</v>
      </c>
      <c r="Y137" s="8"/>
    </row>
    <row r="138" spans="1:25" x14ac:dyDescent="0.25">
      <c r="A138" t="str">
        <f>"15-0221"</f>
        <v>15-0221</v>
      </c>
      <c r="D138" s="8">
        <v>42088</v>
      </c>
      <c r="F138" s="8">
        <v>42088</v>
      </c>
      <c r="G138" s="8">
        <v>42088</v>
      </c>
      <c r="Y138" s="8"/>
    </row>
    <row r="139" spans="1:25" x14ac:dyDescent="0.25">
      <c r="A139" t="str">
        <f>"15-0222"</f>
        <v>15-0222</v>
      </c>
      <c r="D139" s="8">
        <v>42088</v>
      </c>
      <c r="F139" s="8">
        <v>42097</v>
      </c>
      <c r="G139" s="8">
        <v>42089</v>
      </c>
      <c r="Y139" s="8"/>
    </row>
    <row r="140" spans="1:25" x14ac:dyDescent="0.25">
      <c r="A140" t="str">
        <f>"15-0213B"</f>
        <v>15-0213B</v>
      </c>
      <c r="D140" s="8">
        <v>42087</v>
      </c>
      <c r="F140" s="8">
        <v>42087</v>
      </c>
      <c r="G140" s="8">
        <v>42086</v>
      </c>
      <c r="Y140" s="8"/>
    </row>
    <row r="141" spans="1:25" x14ac:dyDescent="0.25">
      <c r="A141" t="str">
        <f>"15-0214"</f>
        <v>15-0214</v>
      </c>
      <c r="D141" s="8">
        <v>42087</v>
      </c>
      <c r="F141" s="8">
        <v>42087</v>
      </c>
      <c r="G141" s="8">
        <v>42087</v>
      </c>
      <c r="Y141" s="8"/>
    </row>
    <row r="142" spans="1:25" x14ac:dyDescent="0.25">
      <c r="A142" t="str">
        <f>"15-0215"</f>
        <v>15-0215</v>
      </c>
      <c r="D142" s="8">
        <v>42087</v>
      </c>
      <c r="F142" s="8">
        <v>42089</v>
      </c>
      <c r="G142" s="8">
        <v>42087</v>
      </c>
      <c r="Y142" s="8"/>
    </row>
    <row r="143" spans="1:25" x14ac:dyDescent="0.25">
      <c r="A143" t="str">
        <f>"15-0216"</f>
        <v>15-0216</v>
      </c>
      <c r="D143" s="8">
        <v>42087</v>
      </c>
      <c r="F143" s="8">
        <v>42087</v>
      </c>
      <c r="G143" s="8">
        <v>42087</v>
      </c>
      <c r="Y143" s="8"/>
    </row>
    <row r="144" spans="1:25" x14ac:dyDescent="0.25">
      <c r="A144" t="str">
        <f>"15-0217"</f>
        <v>15-0217</v>
      </c>
      <c r="D144" s="8">
        <v>42087</v>
      </c>
      <c r="F144" s="8">
        <v>42087</v>
      </c>
      <c r="G144" s="8">
        <v>42087</v>
      </c>
      <c r="Y144" s="8"/>
    </row>
    <row r="145" spans="1:25" x14ac:dyDescent="0.25">
      <c r="A145" t="str">
        <f>"15-0218"</f>
        <v>15-0218</v>
      </c>
      <c r="D145" s="8">
        <v>42087</v>
      </c>
      <c r="F145" s="8">
        <v>42087</v>
      </c>
      <c r="G145" s="8">
        <v>42087</v>
      </c>
      <c r="Y145" s="8"/>
    </row>
    <row r="146" spans="1:25" x14ac:dyDescent="0.25">
      <c r="A146" t="str">
        <f>"15-0219"</f>
        <v>15-0219</v>
      </c>
      <c r="D146" s="8">
        <v>42087</v>
      </c>
      <c r="F146" s="8">
        <v>42087</v>
      </c>
      <c r="G146" s="8">
        <v>42087</v>
      </c>
      <c r="Y146" s="8"/>
    </row>
    <row r="147" spans="1:25" x14ac:dyDescent="0.25">
      <c r="A147" t="str">
        <f>"15-0192C"</f>
        <v>15-0192C</v>
      </c>
      <c r="D147" s="8">
        <v>42086</v>
      </c>
      <c r="F147" s="8">
        <v>42101</v>
      </c>
      <c r="G147" s="8">
        <v>42086</v>
      </c>
      <c r="Y147" s="8"/>
    </row>
    <row r="148" spans="1:25" x14ac:dyDescent="0.25">
      <c r="A148" t="str">
        <f>"15-0208"</f>
        <v>15-0208</v>
      </c>
      <c r="D148" s="8">
        <v>42086</v>
      </c>
      <c r="F148" s="8">
        <v>42086</v>
      </c>
      <c r="G148" s="8">
        <v>42086</v>
      </c>
      <c r="Y148" s="8"/>
    </row>
    <row r="149" spans="1:25" x14ac:dyDescent="0.25">
      <c r="A149" t="str">
        <f>"15-0209"</f>
        <v>15-0209</v>
      </c>
      <c r="D149" s="8">
        <v>42086</v>
      </c>
      <c r="F149" s="8">
        <v>42086</v>
      </c>
      <c r="G149" s="8">
        <v>42086</v>
      </c>
      <c r="Y149" s="8"/>
    </row>
    <row r="150" spans="1:25" x14ac:dyDescent="0.25">
      <c r="A150" t="str">
        <f>"15-0210"</f>
        <v>15-0210</v>
      </c>
      <c r="D150" s="8">
        <v>42086</v>
      </c>
      <c r="F150" s="8">
        <v>42086</v>
      </c>
      <c r="G150" s="8">
        <v>42086</v>
      </c>
      <c r="Y150" s="8"/>
    </row>
    <row r="151" spans="1:25" x14ac:dyDescent="0.25">
      <c r="A151" t="str">
        <f>"15-0211"</f>
        <v>15-0211</v>
      </c>
      <c r="D151" s="8">
        <v>42086</v>
      </c>
      <c r="F151" s="8">
        <v>42086</v>
      </c>
      <c r="G151" s="8">
        <v>42086</v>
      </c>
      <c r="Y151" s="8"/>
    </row>
    <row r="152" spans="1:25" x14ac:dyDescent="0.25">
      <c r="A152" t="str">
        <f>"15-0212"</f>
        <v>15-0212</v>
      </c>
      <c r="D152" s="8">
        <v>42086</v>
      </c>
      <c r="F152" s="8">
        <v>42087</v>
      </c>
      <c r="G152" s="8">
        <v>42086</v>
      </c>
      <c r="Y152" s="8"/>
    </row>
    <row r="153" spans="1:25" x14ac:dyDescent="0.25">
      <c r="A153" t="str">
        <f>"15-0213"</f>
        <v>15-0213</v>
      </c>
      <c r="D153" s="8">
        <v>42086</v>
      </c>
      <c r="F153" s="8">
        <v>42086</v>
      </c>
      <c r="G153" s="8">
        <v>42086</v>
      </c>
      <c r="Y153" s="8"/>
    </row>
    <row r="154" spans="1:25" x14ac:dyDescent="0.25">
      <c r="A154" t="str">
        <f>"15-0207"</f>
        <v>15-0207</v>
      </c>
      <c r="D154" s="8">
        <v>42083</v>
      </c>
      <c r="F154" s="8">
        <v>42083</v>
      </c>
      <c r="G154" s="8">
        <v>42083</v>
      </c>
      <c r="Y154" s="8"/>
    </row>
    <row r="155" spans="1:25" x14ac:dyDescent="0.25">
      <c r="A155" t="str">
        <f>"15-0200"</f>
        <v>15-0200</v>
      </c>
      <c r="D155" s="8">
        <v>42082</v>
      </c>
      <c r="F155" s="8">
        <v>42082</v>
      </c>
      <c r="G155" s="8">
        <v>42082</v>
      </c>
      <c r="Y155" s="8"/>
    </row>
    <row r="156" spans="1:25" x14ac:dyDescent="0.25">
      <c r="A156" t="str">
        <f>"15-0201"</f>
        <v>15-0201</v>
      </c>
      <c r="D156" s="8">
        <v>42082</v>
      </c>
      <c r="F156" s="8">
        <v>42082</v>
      </c>
      <c r="G156" s="8">
        <v>42082</v>
      </c>
      <c r="Y156" s="8"/>
    </row>
    <row r="157" spans="1:25" x14ac:dyDescent="0.25">
      <c r="A157" t="str">
        <f>"15-0202"</f>
        <v>15-0202</v>
      </c>
      <c r="D157" s="8">
        <v>42082</v>
      </c>
      <c r="F157" s="8">
        <v>42082</v>
      </c>
      <c r="G157" s="8">
        <v>42082</v>
      </c>
      <c r="Y157" s="8"/>
    </row>
    <row r="158" spans="1:25" x14ac:dyDescent="0.25">
      <c r="A158" t="str">
        <f>"15-0203"</f>
        <v>15-0203</v>
      </c>
      <c r="D158" s="8">
        <v>42082</v>
      </c>
      <c r="F158" s="8">
        <v>42082</v>
      </c>
      <c r="G158" s="8">
        <v>42082</v>
      </c>
      <c r="Y158" s="8"/>
    </row>
    <row r="159" spans="1:25" x14ac:dyDescent="0.25">
      <c r="A159" t="str">
        <f>"15-0204"</f>
        <v>15-0204</v>
      </c>
      <c r="D159" s="8">
        <v>42082</v>
      </c>
      <c r="F159" s="8">
        <v>42082</v>
      </c>
      <c r="G159" s="8">
        <v>42082</v>
      </c>
      <c r="Y159" s="8"/>
    </row>
    <row r="160" spans="1:25" x14ac:dyDescent="0.25">
      <c r="A160" t="str">
        <f>"15-0205"</f>
        <v>15-0205</v>
      </c>
      <c r="D160" s="8">
        <v>42082</v>
      </c>
      <c r="F160" s="8">
        <v>42082</v>
      </c>
      <c r="G160" s="8">
        <v>42082</v>
      </c>
      <c r="Y160" s="8"/>
    </row>
    <row r="161" spans="1:25" x14ac:dyDescent="0.25">
      <c r="A161" t="str">
        <f>"15-0206"</f>
        <v>15-0206</v>
      </c>
      <c r="D161" s="8">
        <v>42082</v>
      </c>
      <c r="F161" s="8">
        <v>42087</v>
      </c>
      <c r="G161" s="8">
        <v>42082</v>
      </c>
      <c r="Y161" s="8"/>
    </row>
    <row r="162" spans="1:25" x14ac:dyDescent="0.25">
      <c r="A162" t="str">
        <f>"15-0195"</f>
        <v>15-0195</v>
      </c>
      <c r="D162" s="8">
        <v>42081</v>
      </c>
      <c r="F162" s="8">
        <v>42081</v>
      </c>
      <c r="G162" s="8">
        <v>42081</v>
      </c>
      <c r="Y162" s="8"/>
    </row>
    <row r="163" spans="1:25" x14ac:dyDescent="0.25">
      <c r="A163" t="str">
        <f>"15-0196"</f>
        <v>15-0196</v>
      </c>
      <c r="D163" s="8">
        <v>42081</v>
      </c>
      <c r="F163" s="8">
        <v>42081</v>
      </c>
      <c r="G163" s="8">
        <v>42081</v>
      </c>
      <c r="Y163" s="8"/>
    </row>
    <row r="164" spans="1:25" x14ac:dyDescent="0.25">
      <c r="A164" t="str">
        <f>"15-0197"</f>
        <v>15-0197</v>
      </c>
      <c r="D164" s="8">
        <v>42081</v>
      </c>
      <c r="F164" s="8">
        <v>42081</v>
      </c>
      <c r="G164" s="8">
        <v>42081</v>
      </c>
      <c r="Y164" s="8"/>
    </row>
    <row r="165" spans="1:25" x14ac:dyDescent="0.25">
      <c r="A165" t="str">
        <f>"15-0197B"</f>
        <v>15-0197B</v>
      </c>
      <c r="D165" s="8">
        <v>42081</v>
      </c>
      <c r="F165" s="8">
        <v>42081</v>
      </c>
      <c r="G165" s="8">
        <v>42081</v>
      </c>
      <c r="Y165" s="8"/>
    </row>
    <row r="166" spans="1:25" x14ac:dyDescent="0.25">
      <c r="A166" t="str">
        <f>"15-0198"</f>
        <v>15-0198</v>
      </c>
      <c r="D166" s="8">
        <v>42081</v>
      </c>
      <c r="F166" s="8">
        <v>42081</v>
      </c>
      <c r="G166" s="8">
        <v>42081</v>
      </c>
      <c r="Y166" s="8"/>
    </row>
    <row r="167" spans="1:25" x14ac:dyDescent="0.25">
      <c r="A167" t="str">
        <f>"15-0199"</f>
        <v>15-0199</v>
      </c>
      <c r="D167" s="8">
        <v>42081</v>
      </c>
      <c r="F167" s="8">
        <v>42081</v>
      </c>
      <c r="G167" s="8">
        <v>42081</v>
      </c>
      <c r="Y167" s="8"/>
    </row>
    <row r="168" spans="1:25" x14ac:dyDescent="0.25">
      <c r="A168" t="str">
        <f>"14-0735B"</f>
        <v>14-0735B</v>
      </c>
      <c r="D168" s="8">
        <v>42080</v>
      </c>
      <c r="F168" s="8">
        <v>42080</v>
      </c>
      <c r="G168" s="8">
        <v>42080</v>
      </c>
      <c r="Y168" s="8"/>
    </row>
    <row r="169" spans="1:25" x14ac:dyDescent="0.25">
      <c r="A169" t="str">
        <f>"15-0096B"</f>
        <v>15-0096B</v>
      </c>
      <c r="D169" s="8">
        <v>42080</v>
      </c>
      <c r="F169" s="8">
        <v>42080</v>
      </c>
      <c r="G169" s="8">
        <v>42080</v>
      </c>
      <c r="Y169" s="8"/>
    </row>
    <row r="170" spans="1:25" x14ac:dyDescent="0.25">
      <c r="A170" t="str">
        <f>"15-0191"</f>
        <v>15-0191</v>
      </c>
      <c r="D170" s="8">
        <v>42080</v>
      </c>
      <c r="F170" s="8">
        <v>42080</v>
      </c>
      <c r="G170" s="8">
        <v>42080</v>
      </c>
      <c r="Y170" s="8"/>
    </row>
    <row r="171" spans="1:25" x14ac:dyDescent="0.25">
      <c r="A171" t="str">
        <f>"15-0192"</f>
        <v>15-0192</v>
      </c>
      <c r="D171" s="8">
        <v>42080</v>
      </c>
      <c r="F171" s="8">
        <v>42080</v>
      </c>
      <c r="G171" s="8">
        <v>42080</v>
      </c>
      <c r="Y171" s="8"/>
    </row>
    <row r="172" spans="1:25" x14ac:dyDescent="0.25">
      <c r="A172" t="str">
        <f>"15-0192B"</f>
        <v>15-0192B</v>
      </c>
      <c r="D172" s="8">
        <v>42080</v>
      </c>
      <c r="F172" s="8">
        <v>42080</v>
      </c>
      <c r="G172" s="8">
        <v>42080</v>
      </c>
      <c r="Y172" s="8"/>
    </row>
    <row r="173" spans="1:25" x14ac:dyDescent="0.25">
      <c r="A173" t="str">
        <f>"15-0193"</f>
        <v>15-0193</v>
      </c>
      <c r="D173" s="8">
        <v>42080</v>
      </c>
      <c r="F173" s="8">
        <v>42080</v>
      </c>
      <c r="G173" s="8">
        <v>42080</v>
      </c>
      <c r="Y173" s="8"/>
    </row>
    <row r="174" spans="1:25" x14ac:dyDescent="0.25">
      <c r="A174" t="str">
        <f>"15-0194"</f>
        <v>15-0194</v>
      </c>
      <c r="D174" s="8">
        <v>42080</v>
      </c>
      <c r="F174" s="8">
        <v>42080</v>
      </c>
      <c r="G174" s="8">
        <v>42080</v>
      </c>
      <c r="Y174" s="8"/>
    </row>
    <row r="175" spans="1:25" x14ac:dyDescent="0.25">
      <c r="A175" t="str">
        <f>"15-0190"</f>
        <v>15-0190</v>
      </c>
      <c r="D175" s="8">
        <v>42079</v>
      </c>
      <c r="F175" s="8">
        <v>42079</v>
      </c>
      <c r="G175" s="8">
        <v>42079</v>
      </c>
      <c r="Y175" s="8"/>
    </row>
    <row r="176" spans="1:25" x14ac:dyDescent="0.25">
      <c r="A176" t="str">
        <f>"15-0132B"</f>
        <v>15-0132B</v>
      </c>
      <c r="D176" s="8">
        <v>42076</v>
      </c>
      <c r="F176" s="8">
        <v>42110</v>
      </c>
      <c r="G176" s="8">
        <v>42076</v>
      </c>
      <c r="Y176" s="8"/>
    </row>
    <row r="177" spans="1:25" x14ac:dyDescent="0.25">
      <c r="A177" t="str">
        <f>"15-0183"</f>
        <v>15-0183</v>
      </c>
      <c r="D177" s="8">
        <v>42076</v>
      </c>
      <c r="F177" s="8">
        <v>42076</v>
      </c>
      <c r="G177" s="8">
        <v>42076</v>
      </c>
      <c r="Y177" s="8"/>
    </row>
    <row r="178" spans="1:25" x14ac:dyDescent="0.25">
      <c r="A178" t="str">
        <f>"15-0184"</f>
        <v>15-0184</v>
      </c>
      <c r="D178" s="8">
        <v>42076</v>
      </c>
      <c r="F178" s="8">
        <v>42076</v>
      </c>
      <c r="G178" s="8">
        <v>42076</v>
      </c>
      <c r="Y178" s="8"/>
    </row>
    <row r="179" spans="1:25" x14ac:dyDescent="0.25">
      <c r="A179" t="str">
        <f>"15-0185"</f>
        <v>15-0185</v>
      </c>
      <c r="D179" s="8">
        <v>42076</v>
      </c>
      <c r="F179" s="8">
        <v>42076</v>
      </c>
      <c r="G179" s="8">
        <v>42076</v>
      </c>
      <c r="Y179" s="8"/>
    </row>
    <row r="180" spans="1:25" x14ac:dyDescent="0.25">
      <c r="A180" t="str">
        <f>"15-0186"</f>
        <v>15-0186</v>
      </c>
      <c r="D180" s="8">
        <v>42076</v>
      </c>
      <c r="F180" s="8">
        <v>42076</v>
      </c>
      <c r="G180" s="8">
        <v>42076</v>
      </c>
      <c r="Y180" s="8"/>
    </row>
    <row r="181" spans="1:25" x14ac:dyDescent="0.25">
      <c r="A181" t="str">
        <f>"15-0187"</f>
        <v>15-0187</v>
      </c>
      <c r="D181" s="8">
        <v>42076</v>
      </c>
      <c r="F181" s="8">
        <v>42076</v>
      </c>
      <c r="G181" s="8">
        <v>42076</v>
      </c>
      <c r="Y181" s="8"/>
    </row>
    <row r="182" spans="1:25" x14ac:dyDescent="0.25">
      <c r="A182" t="str">
        <f>"15-0188"</f>
        <v>15-0188</v>
      </c>
      <c r="D182" s="8">
        <v>42076</v>
      </c>
      <c r="F182" s="8">
        <v>42076</v>
      </c>
      <c r="G182" s="8">
        <v>42076</v>
      </c>
      <c r="Y182" s="8"/>
    </row>
    <row r="183" spans="1:25" x14ac:dyDescent="0.25">
      <c r="A183" t="str">
        <f>"15-0189"</f>
        <v>15-0189</v>
      </c>
      <c r="D183" s="8">
        <v>42076</v>
      </c>
      <c r="F183" s="8">
        <v>42079</v>
      </c>
      <c r="G183" s="8">
        <v>42081</v>
      </c>
      <c r="Y183" s="8"/>
    </row>
    <row r="184" spans="1:25" x14ac:dyDescent="0.25">
      <c r="A184" t="str">
        <f>"15-0171C"</f>
        <v>15-0171C</v>
      </c>
      <c r="D184" s="8">
        <v>42075</v>
      </c>
      <c r="F184" s="8">
        <v>42075</v>
      </c>
      <c r="G184" s="8">
        <v>42075</v>
      </c>
      <c r="Y184" s="8"/>
    </row>
    <row r="185" spans="1:25" x14ac:dyDescent="0.25">
      <c r="A185" t="str">
        <f>"15-0177"</f>
        <v>15-0177</v>
      </c>
      <c r="D185" s="8">
        <v>42075</v>
      </c>
      <c r="F185" s="8">
        <v>42075</v>
      </c>
      <c r="G185" s="8">
        <v>42075</v>
      </c>
      <c r="Y185" s="8"/>
    </row>
    <row r="186" spans="1:25" x14ac:dyDescent="0.25">
      <c r="A186" t="str">
        <f>"15-0178"</f>
        <v>15-0178</v>
      </c>
      <c r="D186" s="8">
        <v>42075</v>
      </c>
      <c r="F186" s="8">
        <v>42075</v>
      </c>
      <c r="G186" s="8">
        <v>42075</v>
      </c>
      <c r="Y186" s="8"/>
    </row>
    <row r="187" spans="1:25" x14ac:dyDescent="0.25">
      <c r="A187" t="str">
        <f>"15-0179"</f>
        <v>15-0179</v>
      </c>
      <c r="D187" s="8">
        <v>42075</v>
      </c>
      <c r="F187" s="8">
        <v>42075</v>
      </c>
      <c r="G187" s="8">
        <v>42075</v>
      </c>
      <c r="Y187" s="8"/>
    </row>
    <row r="188" spans="1:25" x14ac:dyDescent="0.25">
      <c r="A188" t="str">
        <f>"15-0180"</f>
        <v>15-0180</v>
      </c>
      <c r="D188" s="8">
        <v>42075</v>
      </c>
      <c r="F188" s="8">
        <v>42075</v>
      </c>
      <c r="G188" s="8">
        <v>42075</v>
      </c>
      <c r="Y188" s="8"/>
    </row>
    <row r="189" spans="1:25" x14ac:dyDescent="0.25">
      <c r="A189" t="str">
        <f>"15-0181"</f>
        <v>15-0181</v>
      </c>
      <c r="D189" s="8">
        <v>42075</v>
      </c>
      <c r="F189" s="8">
        <v>42075</v>
      </c>
      <c r="G189" s="8">
        <v>42075</v>
      </c>
      <c r="Y189" s="8"/>
    </row>
    <row r="190" spans="1:25" x14ac:dyDescent="0.25">
      <c r="A190" t="str">
        <f>"15-0182"</f>
        <v>15-0182</v>
      </c>
      <c r="D190" s="8">
        <v>42075</v>
      </c>
      <c r="F190" s="8">
        <v>42080</v>
      </c>
      <c r="G190" s="8">
        <v>42076</v>
      </c>
      <c r="Y190" s="8"/>
    </row>
    <row r="191" spans="1:25" x14ac:dyDescent="0.25">
      <c r="A191" t="str">
        <f>"15-0136C"</f>
        <v>15-0136C</v>
      </c>
      <c r="D191" s="8">
        <v>42074</v>
      </c>
      <c r="F191" s="8">
        <v>42074</v>
      </c>
      <c r="G191" s="8">
        <v>42074</v>
      </c>
      <c r="Y191" s="8"/>
    </row>
    <row r="192" spans="1:25" x14ac:dyDescent="0.25">
      <c r="A192" t="str">
        <f>"15-0171"</f>
        <v>15-0171</v>
      </c>
      <c r="D192" s="8">
        <v>42074</v>
      </c>
      <c r="F192" s="8">
        <v>42074</v>
      </c>
      <c r="G192" s="8">
        <v>42074</v>
      </c>
      <c r="Y192" s="8"/>
    </row>
    <row r="193" spans="1:25" x14ac:dyDescent="0.25">
      <c r="A193" t="str">
        <f>"15-0171B"</f>
        <v>15-0171B</v>
      </c>
      <c r="D193" s="8">
        <v>42074</v>
      </c>
      <c r="F193" s="8">
        <v>42074</v>
      </c>
      <c r="G193" s="8">
        <v>42074</v>
      </c>
      <c r="Y193" s="8"/>
    </row>
    <row r="194" spans="1:25" x14ac:dyDescent="0.25">
      <c r="A194" t="str">
        <f>"15-0172"</f>
        <v>15-0172</v>
      </c>
      <c r="D194" s="8">
        <v>42074</v>
      </c>
      <c r="F194" s="8">
        <v>42074</v>
      </c>
      <c r="G194" s="8">
        <v>42074</v>
      </c>
      <c r="Y194" s="8"/>
    </row>
    <row r="195" spans="1:25" x14ac:dyDescent="0.25">
      <c r="A195" t="str">
        <f>"15-0173"</f>
        <v>15-0173</v>
      </c>
      <c r="D195" s="8">
        <v>42074</v>
      </c>
      <c r="F195" s="8">
        <v>42074</v>
      </c>
      <c r="G195" s="8">
        <v>42074</v>
      </c>
      <c r="Y195" s="8"/>
    </row>
    <row r="196" spans="1:25" x14ac:dyDescent="0.25">
      <c r="A196" t="str">
        <f>"15-0174"</f>
        <v>15-0174</v>
      </c>
      <c r="D196" s="8">
        <v>42074</v>
      </c>
      <c r="F196" s="8">
        <v>42074</v>
      </c>
      <c r="G196" s="8">
        <v>42074</v>
      </c>
      <c r="Y196" s="8"/>
    </row>
    <row r="197" spans="1:25" x14ac:dyDescent="0.25">
      <c r="A197" t="str">
        <f>"15-0174B"</f>
        <v>15-0174B</v>
      </c>
      <c r="D197" s="8">
        <v>42074</v>
      </c>
      <c r="F197" s="8">
        <v>42074</v>
      </c>
      <c r="G197" s="8">
        <v>42074</v>
      </c>
      <c r="Y197" s="8"/>
    </row>
    <row r="198" spans="1:25" x14ac:dyDescent="0.25">
      <c r="A198" t="str">
        <f>"15-0175"</f>
        <v>15-0175</v>
      </c>
      <c r="D198" s="8">
        <v>42074</v>
      </c>
      <c r="F198" s="8">
        <v>42086</v>
      </c>
      <c r="G198" s="8">
        <v>42074</v>
      </c>
      <c r="Y198" s="8"/>
    </row>
    <row r="199" spans="1:25" x14ac:dyDescent="0.25">
      <c r="A199" t="str">
        <f>"15-0176"</f>
        <v>15-0176</v>
      </c>
      <c r="D199" s="8">
        <v>42074</v>
      </c>
      <c r="F199" s="8">
        <v>42074</v>
      </c>
      <c r="G199" s="8">
        <v>42074</v>
      </c>
      <c r="Y199" s="8"/>
    </row>
    <row r="200" spans="1:25" x14ac:dyDescent="0.25">
      <c r="A200" t="str">
        <f>"15-0048B"</f>
        <v>15-0048B</v>
      </c>
      <c r="D200" s="8">
        <v>42073</v>
      </c>
      <c r="F200" s="8">
        <v>42073</v>
      </c>
      <c r="G200" s="8">
        <v>42073</v>
      </c>
      <c r="Y200" s="8"/>
    </row>
    <row r="201" spans="1:25" x14ac:dyDescent="0.25">
      <c r="A201" t="str">
        <f>"15-0141B"</f>
        <v>15-0141B</v>
      </c>
      <c r="D201" s="8">
        <v>42073</v>
      </c>
      <c r="F201" s="8">
        <v>42073</v>
      </c>
      <c r="G201" s="8">
        <v>42073</v>
      </c>
      <c r="Y201" s="8"/>
    </row>
    <row r="202" spans="1:25" x14ac:dyDescent="0.25">
      <c r="A202" t="str">
        <f>"15-0163"</f>
        <v>15-0163</v>
      </c>
      <c r="D202" s="8">
        <v>42073</v>
      </c>
      <c r="F202" s="8">
        <v>42073</v>
      </c>
      <c r="G202" s="8">
        <v>42073</v>
      </c>
      <c r="Y202" s="8"/>
    </row>
    <row r="203" spans="1:25" x14ac:dyDescent="0.25">
      <c r="A203" t="str">
        <f>"15-0163B"</f>
        <v>15-0163B</v>
      </c>
      <c r="D203" s="8">
        <v>42073</v>
      </c>
      <c r="F203" s="8">
        <v>42073</v>
      </c>
      <c r="G203" s="8">
        <v>42073</v>
      </c>
      <c r="Y203" s="8"/>
    </row>
    <row r="204" spans="1:25" x14ac:dyDescent="0.25">
      <c r="A204" t="str">
        <f>"15-0164"</f>
        <v>15-0164</v>
      </c>
      <c r="D204" s="8">
        <v>42073</v>
      </c>
      <c r="F204" s="8">
        <v>42073</v>
      </c>
      <c r="G204" s="8">
        <v>42073</v>
      </c>
      <c r="Y204" s="8"/>
    </row>
    <row r="205" spans="1:25" x14ac:dyDescent="0.25">
      <c r="A205" t="str">
        <f>"15-0165"</f>
        <v>15-0165</v>
      </c>
      <c r="D205" s="8">
        <v>42073</v>
      </c>
      <c r="F205" s="8">
        <v>42073</v>
      </c>
      <c r="G205" s="8">
        <v>42067</v>
      </c>
      <c r="Y205" s="8"/>
    </row>
    <row r="206" spans="1:25" x14ac:dyDescent="0.25">
      <c r="A206" t="str">
        <f>"15-0166"</f>
        <v>15-0166</v>
      </c>
      <c r="D206" s="8">
        <v>42073</v>
      </c>
      <c r="F206" s="8">
        <v>42073</v>
      </c>
      <c r="G206" s="8">
        <v>42066</v>
      </c>
      <c r="Y206" s="8"/>
    </row>
    <row r="207" spans="1:25" x14ac:dyDescent="0.25">
      <c r="A207" t="str">
        <f>"15-0167"</f>
        <v>15-0167</v>
      </c>
      <c r="D207" s="8">
        <v>42073</v>
      </c>
      <c r="F207" s="8">
        <v>42073</v>
      </c>
      <c r="G207" s="8">
        <v>42073</v>
      </c>
      <c r="Y207" s="8"/>
    </row>
    <row r="208" spans="1:25" x14ac:dyDescent="0.25">
      <c r="A208" t="str">
        <f>"15-0168"</f>
        <v>15-0168</v>
      </c>
      <c r="D208" s="8">
        <v>42073</v>
      </c>
      <c r="F208" s="8">
        <v>42073</v>
      </c>
      <c r="G208" s="8">
        <v>42073</v>
      </c>
      <c r="Y208" s="8"/>
    </row>
    <row r="209" spans="1:25" x14ac:dyDescent="0.25">
      <c r="A209" t="str">
        <f>"15-0169"</f>
        <v>15-0169</v>
      </c>
      <c r="D209" s="8">
        <v>42073</v>
      </c>
      <c r="F209" s="8">
        <v>42073</v>
      </c>
      <c r="G209" s="8">
        <v>42073</v>
      </c>
      <c r="Y209" s="8"/>
    </row>
    <row r="210" spans="1:25" x14ac:dyDescent="0.25">
      <c r="A210" t="str">
        <f>"15-0170"</f>
        <v>15-0170</v>
      </c>
      <c r="D210" s="8">
        <v>42073</v>
      </c>
      <c r="F210" s="8">
        <v>42073</v>
      </c>
      <c r="G210" s="8">
        <v>42073</v>
      </c>
      <c r="Y210" s="8"/>
    </row>
    <row r="211" spans="1:25" x14ac:dyDescent="0.25">
      <c r="A211" t="str">
        <f>"15-0161"</f>
        <v>15-0161</v>
      </c>
      <c r="D211" s="8">
        <v>42072</v>
      </c>
      <c r="F211" s="8">
        <v>42073</v>
      </c>
      <c r="G211" s="8">
        <v>42072</v>
      </c>
      <c r="Y211" s="8"/>
    </row>
    <row r="212" spans="1:25" x14ac:dyDescent="0.25">
      <c r="A212" t="str">
        <f>"15-0162"</f>
        <v>15-0162</v>
      </c>
      <c r="D212" s="8">
        <v>42072</v>
      </c>
      <c r="F212" s="8">
        <v>42072</v>
      </c>
      <c r="G212" s="8">
        <v>42072</v>
      </c>
      <c r="Y212" s="8"/>
    </row>
    <row r="213" spans="1:25" x14ac:dyDescent="0.25">
      <c r="A213" t="str">
        <f>"15-0123B"</f>
        <v>15-0123B</v>
      </c>
      <c r="D213" s="8">
        <v>42069</v>
      </c>
      <c r="F213" s="8">
        <v>42069</v>
      </c>
      <c r="G213" s="8">
        <v>42069</v>
      </c>
      <c r="Y213" s="8"/>
    </row>
    <row r="214" spans="1:25" x14ac:dyDescent="0.25">
      <c r="A214" t="str">
        <f>"15-0116B"</f>
        <v>15-0116B</v>
      </c>
      <c r="D214" s="8">
        <v>42068</v>
      </c>
      <c r="F214" s="8">
        <v>42068</v>
      </c>
      <c r="G214" s="8">
        <v>42068</v>
      </c>
      <c r="Y214" s="8"/>
    </row>
    <row r="215" spans="1:25" x14ac:dyDescent="0.25">
      <c r="A215" t="str">
        <f>"15-0156"</f>
        <v>15-0156</v>
      </c>
      <c r="D215" s="8">
        <v>42068</v>
      </c>
      <c r="F215" s="8">
        <v>42068</v>
      </c>
      <c r="G215" s="8">
        <v>42068</v>
      </c>
      <c r="Y215" s="8"/>
    </row>
    <row r="216" spans="1:25" x14ac:dyDescent="0.25">
      <c r="A216" t="str">
        <f>"15-0157"</f>
        <v>15-0157</v>
      </c>
      <c r="D216" s="8">
        <v>42068</v>
      </c>
      <c r="F216" s="8">
        <v>42068</v>
      </c>
      <c r="G216" s="8">
        <v>42068</v>
      </c>
      <c r="Y216" s="8"/>
    </row>
    <row r="217" spans="1:25" x14ac:dyDescent="0.25">
      <c r="A217" t="str">
        <f>"15-0158"</f>
        <v>15-0158</v>
      </c>
      <c r="D217" s="8">
        <v>42068</v>
      </c>
      <c r="F217" s="8">
        <v>42081</v>
      </c>
      <c r="G217" s="8">
        <v>42068</v>
      </c>
      <c r="Y217" s="8"/>
    </row>
    <row r="218" spans="1:25" x14ac:dyDescent="0.25">
      <c r="A218" t="str">
        <f>"15-0159"</f>
        <v>15-0159</v>
      </c>
      <c r="D218" s="8">
        <v>42068</v>
      </c>
      <c r="F218" s="8">
        <v>42068</v>
      </c>
      <c r="G218" s="8">
        <v>42068</v>
      </c>
      <c r="Y218" s="8"/>
    </row>
    <row r="219" spans="1:25" x14ac:dyDescent="0.25">
      <c r="A219" t="str">
        <f>"15-0160"</f>
        <v>15-0160</v>
      </c>
      <c r="D219" s="8">
        <v>42068</v>
      </c>
      <c r="F219" s="8">
        <v>42073</v>
      </c>
      <c r="G219" s="8">
        <v>42068</v>
      </c>
      <c r="Y219" s="8"/>
    </row>
    <row r="220" spans="1:25" x14ac:dyDescent="0.25">
      <c r="A220" t="str">
        <f>"15-0136B"</f>
        <v>15-0136B</v>
      </c>
      <c r="D220" s="8">
        <v>42067</v>
      </c>
      <c r="F220" s="8">
        <v>42067</v>
      </c>
      <c r="G220" s="8">
        <v>42067</v>
      </c>
      <c r="Y220" s="8"/>
    </row>
    <row r="221" spans="1:25" x14ac:dyDescent="0.25">
      <c r="A221" t="str">
        <f>"15-0149"</f>
        <v>15-0149</v>
      </c>
      <c r="D221" s="8">
        <v>42067</v>
      </c>
      <c r="F221" s="8">
        <v>42067</v>
      </c>
      <c r="G221" s="8">
        <v>42067</v>
      </c>
      <c r="Y221" s="8"/>
    </row>
    <row r="222" spans="1:25" x14ac:dyDescent="0.25">
      <c r="A222" t="str">
        <f>"15-0150"</f>
        <v>15-0150</v>
      </c>
      <c r="D222" s="8">
        <v>42067</v>
      </c>
      <c r="F222" s="8">
        <v>42067</v>
      </c>
      <c r="G222" s="8">
        <v>42067</v>
      </c>
      <c r="Y222" s="8"/>
    </row>
    <row r="223" spans="1:25" x14ac:dyDescent="0.25">
      <c r="A223" t="str">
        <f>"15-0151"</f>
        <v>15-0151</v>
      </c>
      <c r="D223" s="8">
        <v>42067</v>
      </c>
      <c r="F223" s="8">
        <v>42067</v>
      </c>
      <c r="G223" s="8">
        <v>42067</v>
      </c>
      <c r="Y223" s="8"/>
    </row>
    <row r="224" spans="1:25" x14ac:dyDescent="0.25">
      <c r="A224" t="str">
        <f>"15-0152"</f>
        <v>15-0152</v>
      </c>
      <c r="D224" s="8">
        <v>42067</v>
      </c>
      <c r="F224" s="8">
        <v>42067</v>
      </c>
      <c r="G224" s="8">
        <v>42067</v>
      </c>
      <c r="Y224" s="8"/>
    </row>
    <row r="225" spans="1:25" x14ac:dyDescent="0.25">
      <c r="A225" t="str">
        <f>"15-0153"</f>
        <v>15-0153</v>
      </c>
      <c r="D225" s="8">
        <v>42067</v>
      </c>
      <c r="F225" s="8">
        <v>42067</v>
      </c>
      <c r="G225" s="8">
        <v>42067</v>
      </c>
      <c r="Y225" s="8"/>
    </row>
    <row r="226" spans="1:25" x14ac:dyDescent="0.25">
      <c r="A226" t="str">
        <f>"15-0154"</f>
        <v>15-0154</v>
      </c>
      <c r="D226" s="8">
        <v>42067</v>
      </c>
      <c r="F226" s="8">
        <v>42067</v>
      </c>
      <c r="G226" s="8">
        <v>42067</v>
      </c>
      <c r="Y226" s="8"/>
    </row>
    <row r="227" spans="1:25" x14ac:dyDescent="0.25">
      <c r="A227" t="str">
        <f>"15-0155"</f>
        <v>15-0155</v>
      </c>
      <c r="D227" s="8">
        <v>42067</v>
      </c>
      <c r="F227" s="8">
        <v>42067</v>
      </c>
      <c r="G227" s="8">
        <v>42067</v>
      </c>
      <c r="Y227" s="8"/>
    </row>
    <row r="228" spans="1:25" x14ac:dyDescent="0.25">
      <c r="A228" t="str">
        <f>"15-0146"</f>
        <v>15-0146</v>
      </c>
      <c r="D228" s="8">
        <v>42066</v>
      </c>
      <c r="F228" s="8">
        <v>42066</v>
      </c>
      <c r="G228" s="8">
        <v>42066</v>
      </c>
      <c r="Y228" s="8"/>
    </row>
    <row r="229" spans="1:25" x14ac:dyDescent="0.25">
      <c r="A229" t="str">
        <f>"15-0147"</f>
        <v>15-0147</v>
      </c>
      <c r="D229" s="8">
        <v>42066</v>
      </c>
      <c r="F229" s="8">
        <v>42066</v>
      </c>
      <c r="G229" s="8">
        <v>42066</v>
      </c>
      <c r="Y229" s="8"/>
    </row>
    <row r="230" spans="1:25" x14ac:dyDescent="0.25">
      <c r="A230" t="str">
        <f>"15-0148"</f>
        <v>15-0148</v>
      </c>
      <c r="D230" s="8">
        <v>42066</v>
      </c>
      <c r="F230" s="8">
        <v>42066</v>
      </c>
      <c r="G230" s="8">
        <v>42066</v>
      </c>
      <c r="Y230" s="8"/>
    </row>
    <row r="231" spans="1:25" x14ac:dyDescent="0.25">
      <c r="A231" t="str">
        <f>"15-0065B"</f>
        <v>15-0065B</v>
      </c>
      <c r="D231" s="8">
        <v>42065</v>
      </c>
      <c r="F231" s="8">
        <v>42065</v>
      </c>
      <c r="G231" s="8">
        <v>42065</v>
      </c>
      <c r="Y231" s="8"/>
    </row>
    <row r="232" spans="1:25" x14ac:dyDescent="0.25">
      <c r="A232" t="str">
        <f>"15-0087B"</f>
        <v>15-0087B</v>
      </c>
      <c r="D232" s="8">
        <v>42065</v>
      </c>
      <c r="F232" s="8">
        <v>42073</v>
      </c>
      <c r="G232" s="8">
        <v>42065</v>
      </c>
      <c r="Y232" s="8"/>
    </row>
    <row r="233" spans="1:25" x14ac:dyDescent="0.25">
      <c r="A233" t="str">
        <f>"15-0141"</f>
        <v>15-0141</v>
      </c>
      <c r="D233" s="8">
        <v>42062</v>
      </c>
      <c r="F233" s="8">
        <v>42073</v>
      </c>
      <c r="G233" s="8">
        <v>42062</v>
      </c>
      <c r="Y233" s="8"/>
    </row>
    <row r="234" spans="1:25" x14ac:dyDescent="0.25">
      <c r="A234" t="str">
        <f>"15-0142"</f>
        <v>15-0142</v>
      </c>
      <c r="D234" s="8">
        <v>42062</v>
      </c>
      <c r="F234" s="8">
        <v>42062</v>
      </c>
      <c r="G234" s="8">
        <v>42062</v>
      </c>
      <c r="Y234" s="8"/>
    </row>
    <row r="235" spans="1:25" x14ac:dyDescent="0.25">
      <c r="A235" t="str">
        <f>"15-0143"</f>
        <v>15-0143</v>
      </c>
      <c r="D235" s="8">
        <v>42062</v>
      </c>
      <c r="F235" s="8">
        <v>42062</v>
      </c>
      <c r="G235" s="8">
        <v>42062</v>
      </c>
      <c r="Y235" s="8"/>
    </row>
    <row r="236" spans="1:25" x14ac:dyDescent="0.25">
      <c r="A236" t="str">
        <f>"15-0144"</f>
        <v>15-0144</v>
      </c>
      <c r="D236" s="8">
        <v>42062</v>
      </c>
      <c r="F236" s="8">
        <v>42062</v>
      </c>
      <c r="G236" s="8">
        <v>42062</v>
      </c>
      <c r="Y236" s="8"/>
    </row>
    <row r="237" spans="1:25" x14ac:dyDescent="0.25">
      <c r="A237" t="str">
        <f>"15-0145"</f>
        <v>15-0145</v>
      </c>
      <c r="D237" s="8">
        <v>42062</v>
      </c>
      <c r="F237" s="8">
        <v>42062</v>
      </c>
      <c r="G237" s="8">
        <v>42062</v>
      </c>
      <c r="Y237" s="8"/>
    </row>
    <row r="238" spans="1:25" x14ac:dyDescent="0.25">
      <c r="A238" t="str">
        <f>"15-0133"</f>
        <v>15-0133</v>
      </c>
      <c r="D238" s="8">
        <v>42061</v>
      </c>
      <c r="F238" s="8">
        <v>42061</v>
      </c>
      <c r="G238" s="8">
        <v>42061</v>
      </c>
      <c r="Y238" s="8"/>
    </row>
    <row r="239" spans="1:25" x14ac:dyDescent="0.25">
      <c r="A239" t="str">
        <f>"15-0134"</f>
        <v>15-0134</v>
      </c>
      <c r="D239" s="8">
        <v>42061</v>
      </c>
      <c r="F239" s="8">
        <v>42062</v>
      </c>
      <c r="G239" s="8">
        <v>42061</v>
      </c>
      <c r="Y239" s="8"/>
    </row>
    <row r="240" spans="1:25" x14ac:dyDescent="0.25">
      <c r="A240" t="str">
        <f>"15-0135"</f>
        <v>15-0135</v>
      </c>
      <c r="D240" s="8">
        <v>42061</v>
      </c>
      <c r="F240" s="8">
        <v>42061</v>
      </c>
      <c r="G240" s="8">
        <v>42061</v>
      </c>
      <c r="Y240" s="8"/>
    </row>
    <row r="241" spans="1:25" x14ac:dyDescent="0.25">
      <c r="A241" t="str">
        <f>"15-0136"</f>
        <v>15-0136</v>
      </c>
      <c r="D241" s="8">
        <v>42061</v>
      </c>
      <c r="F241" s="8">
        <v>42061</v>
      </c>
      <c r="G241" s="8">
        <v>42061</v>
      </c>
      <c r="Y241" s="8"/>
    </row>
    <row r="242" spans="1:25" x14ac:dyDescent="0.25">
      <c r="A242" t="str">
        <f>"15-0137"</f>
        <v>15-0137</v>
      </c>
      <c r="D242" s="8">
        <v>42061</v>
      </c>
      <c r="F242" s="8">
        <v>42068</v>
      </c>
      <c r="G242" s="8">
        <v>42061</v>
      </c>
      <c r="Y242" s="8"/>
    </row>
    <row r="243" spans="1:25" x14ac:dyDescent="0.25">
      <c r="A243" t="str">
        <f>"15-0138"</f>
        <v>15-0138</v>
      </c>
      <c r="D243" s="8">
        <v>42061</v>
      </c>
      <c r="F243" s="8">
        <v>42061</v>
      </c>
      <c r="G243" s="8">
        <v>42061</v>
      </c>
      <c r="Y243" s="8"/>
    </row>
    <row r="244" spans="1:25" x14ac:dyDescent="0.25">
      <c r="A244" t="str">
        <f>"15-0139"</f>
        <v>15-0139</v>
      </c>
      <c r="D244" s="8">
        <v>42061</v>
      </c>
      <c r="F244" s="8">
        <v>42061</v>
      </c>
      <c r="G244" s="8">
        <v>42061</v>
      </c>
      <c r="Y244" s="8"/>
    </row>
    <row r="245" spans="1:25" x14ac:dyDescent="0.25">
      <c r="A245" t="str">
        <f>"15-0140"</f>
        <v>15-0140</v>
      </c>
      <c r="D245" s="8">
        <v>42061</v>
      </c>
      <c r="G245" s="8">
        <v>42063</v>
      </c>
      <c r="Y245" s="8"/>
    </row>
    <row r="246" spans="1:25" x14ac:dyDescent="0.25">
      <c r="A246" t="str">
        <f>"15-0107B"</f>
        <v>15-0107B</v>
      </c>
      <c r="D246" s="8">
        <v>42060</v>
      </c>
      <c r="F246" s="8">
        <v>42060</v>
      </c>
      <c r="G246" s="8">
        <v>42060</v>
      </c>
      <c r="Y246" s="8"/>
    </row>
    <row r="247" spans="1:25" x14ac:dyDescent="0.25">
      <c r="A247" t="str">
        <f>"15-0131"</f>
        <v>15-0131</v>
      </c>
      <c r="D247" s="8">
        <v>42060</v>
      </c>
      <c r="F247" s="8">
        <v>42060</v>
      </c>
      <c r="G247" s="8">
        <v>42060</v>
      </c>
      <c r="Y247" s="8"/>
    </row>
    <row r="248" spans="1:25" x14ac:dyDescent="0.25">
      <c r="A248" t="str">
        <f>"15-0132"</f>
        <v>15-0132</v>
      </c>
      <c r="D248" s="8">
        <v>42060</v>
      </c>
      <c r="F248" s="8">
        <v>42060</v>
      </c>
      <c r="G248" s="8">
        <v>42060</v>
      </c>
      <c r="Y248" s="8"/>
    </row>
    <row r="249" spans="1:25" x14ac:dyDescent="0.25">
      <c r="A249" t="str">
        <f>"15-0128"</f>
        <v>15-0128</v>
      </c>
      <c r="D249" s="8">
        <v>42059</v>
      </c>
      <c r="F249" s="8">
        <v>42059</v>
      </c>
      <c r="G249" s="8">
        <v>42059</v>
      </c>
      <c r="Y249" s="8"/>
    </row>
    <row r="250" spans="1:25" x14ac:dyDescent="0.25">
      <c r="A250" t="str">
        <f>"15-0129"</f>
        <v>15-0129</v>
      </c>
      <c r="D250" s="8">
        <v>42059</v>
      </c>
      <c r="F250" s="8">
        <v>42059</v>
      </c>
      <c r="G250" s="8">
        <v>42059</v>
      </c>
      <c r="Y250" s="8"/>
    </row>
    <row r="251" spans="1:25" x14ac:dyDescent="0.25">
      <c r="A251" t="str">
        <f>"15-0130"</f>
        <v>15-0130</v>
      </c>
      <c r="D251" s="8">
        <v>42059</v>
      </c>
      <c r="F251" s="8">
        <v>42059</v>
      </c>
      <c r="G251" s="8">
        <v>42059</v>
      </c>
      <c r="Y251" s="8"/>
    </row>
    <row r="252" spans="1:25" x14ac:dyDescent="0.25">
      <c r="A252" t="str">
        <f>"15-0125"</f>
        <v>15-0125</v>
      </c>
      <c r="D252" s="8">
        <v>42058</v>
      </c>
      <c r="F252" s="8">
        <v>42058</v>
      </c>
      <c r="G252" s="8">
        <v>42058</v>
      </c>
      <c r="Y252" s="8"/>
    </row>
    <row r="253" spans="1:25" x14ac:dyDescent="0.25">
      <c r="A253" t="str">
        <f>"15-0126"</f>
        <v>15-0126</v>
      </c>
      <c r="D253" s="8">
        <v>42058</v>
      </c>
      <c r="F253" s="8">
        <v>42058</v>
      </c>
      <c r="G253" s="8">
        <v>42058</v>
      </c>
      <c r="Y253" s="8"/>
    </row>
    <row r="254" spans="1:25" x14ac:dyDescent="0.25">
      <c r="A254" t="str">
        <f>"15-0127"</f>
        <v>15-0127</v>
      </c>
      <c r="D254" s="8">
        <v>42058</v>
      </c>
      <c r="F254" s="8">
        <v>42058</v>
      </c>
      <c r="G254" s="8">
        <v>42058</v>
      </c>
      <c r="Y254" s="8"/>
    </row>
    <row r="255" spans="1:25" x14ac:dyDescent="0.25">
      <c r="A255" t="str">
        <f>"15-0120B"</f>
        <v>15-0120B</v>
      </c>
      <c r="D255" s="8">
        <v>42055</v>
      </c>
      <c r="F255" s="8">
        <v>42055</v>
      </c>
      <c r="G255" s="8">
        <v>42055</v>
      </c>
      <c r="Y255" s="8"/>
    </row>
    <row r="256" spans="1:25" x14ac:dyDescent="0.25">
      <c r="A256" t="str">
        <f>"15-0122"</f>
        <v>15-0122</v>
      </c>
      <c r="D256" s="8">
        <v>42055</v>
      </c>
      <c r="F256" s="8">
        <v>42055</v>
      </c>
      <c r="G256" s="8">
        <v>42055</v>
      </c>
      <c r="Y256" s="8"/>
    </row>
    <row r="257" spans="1:25" x14ac:dyDescent="0.25">
      <c r="A257" t="str">
        <f>"15-0124"</f>
        <v>15-0124</v>
      </c>
      <c r="D257" s="8">
        <v>42055</v>
      </c>
      <c r="F257" s="8">
        <v>42055</v>
      </c>
      <c r="G257" s="8">
        <v>42055</v>
      </c>
      <c r="Y257" s="8"/>
    </row>
    <row r="258" spans="1:25" x14ac:dyDescent="0.25">
      <c r="A258" t="str">
        <f>"14-0756B"</f>
        <v>14-0756B</v>
      </c>
      <c r="D258" s="8">
        <v>42054</v>
      </c>
      <c r="F258" s="8">
        <v>42054</v>
      </c>
      <c r="G258" s="8">
        <v>42054</v>
      </c>
      <c r="Y258" s="8"/>
    </row>
    <row r="259" spans="1:25" x14ac:dyDescent="0.25">
      <c r="A259" t="str">
        <f>"15-0118"</f>
        <v>15-0118</v>
      </c>
      <c r="D259" s="8">
        <v>42054</v>
      </c>
      <c r="F259" s="8">
        <v>42054</v>
      </c>
      <c r="G259" s="8">
        <v>42054</v>
      </c>
      <c r="Y259" s="8"/>
    </row>
    <row r="260" spans="1:25" x14ac:dyDescent="0.25">
      <c r="A260" t="str">
        <f>"15-0119"</f>
        <v>15-0119</v>
      </c>
      <c r="D260" s="8">
        <v>42054</v>
      </c>
      <c r="F260" s="8">
        <v>42054</v>
      </c>
      <c r="G260" s="8">
        <v>42054</v>
      </c>
      <c r="Y260" s="8"/>
    </row>
    <row r="261" spans="1:25" x14ac:dyDescent="0.25">
      <c r="A261" t="str">
        <f>"15-0120"</f>
        <v>15-0120</v>
      </c>
      <c r="D261" s="8">
        <v>42054</v>
      </c>
      <c r="F261" s="8">
        <v>42054</v>
      </c>
      <c r="G261" s="8">
        <v>42055</v>
      </c>
      <c r="Y261" s="8"/>
    </row>
    <row r="262" spans="1:25" x14ac:dyDescent="0.25">
      <c r="A262" t="str">
        <f>"15-0121"</f>
        <v>15-0121</v>
      </c>
      <c r="D262" s="8">
        <v>42054</v>
      </c>
      <c r="F262" s="8">
        <v>42054</v>
      </c>
      <c r="G262" s="8">
        <v>42054</v>
      </c>
      <c r="Y262" s="8"/>
    </row>
    <row r="263" spans="1:25" x14ac:dyDescent="0.25">
      <c r="A263" t="str">
        <f>"15-0123"</f>
        <v>15-0123</v>
      </c>
      <c r="D263" s="8">
        <v>42054</v>
      </c>
      <c r="F263" s="8">
        <v>42055</v>
      </c>
      <c r="G263" s="8">
        <v>42054</v>
      </c>
      <c r="Y263" s="8"/>
    </row>
    <row r="264" spans="1:25" x14ac:dyDescent="0.25">
      <c r="A264" t="str">
        <f>"15-0103B"</f>
        <v>15-0103B</v>
      </c>
      <c r="D264" s="8">
        <v>42053</v>
      </c>
      <c r="F264" s="8">
        <v>42053</v>
      </c>
      <c r="G264" s="8">
        <v>42053</v>
      </c>
      <c r="Y264" s="8"/>
    </row>
    <row r="265" spans="1:25" x14ac:dyDescent="0.25">
      <c r="A265" t="str">
        <f>"15-0110"</f>
        <v>15-0110</v>
      </c>
      <c r="D265" s="8">
        <v>42053</v>
      </c>
      <c r="F265" s="8">
        <v>42053</v>
      </c>
      <c r="G265" s="8">
        <v>42053</v>
      </c>
      <c r="Y265" s="8"/>
    </row>
    <row r="266" spans="1:25" x14ac:dyDescent="0.25">
      <c r="A266" t="str">
        <f>"15-0111"</f>
        <v>15-0111</v>
      </c>
      <c r="D266" s="8">
        <v>42053</v>
      </c>
      <c r="F266" s="8">
        <v>42086</v>
      </c>
      <c r="G266" s="8">
        <v>42053</v>
      </c>
      <c r="Y266" s="8"/>
    </row>
    <row r="267" spans="1:25" x14ac:dyDescent="0.25">
      <c r="A267" t="str">
        <f>"15-0112"</f>
        <v>15-0112</v>
      </c>
      <c r="D267" s="8">
        <v>42053</v>
      </c>
      <c r="F267" s="8">
        <v>42079</v>
      </c>
      <c r="G267" s="8">
        <v>42053</v>
      </c>
      <c r="Y267" s="8"/>
    </row>
    <row r="268" spans="1:25" x14ac:dyDescent="0.25">
      <c r="A268" t="str">
        <f>"15-0113"</f>
        <v>15-0113</v>
      </c>
      <c r="D268" s="8">
        <v>42053</v>
      </c>
      <c r="F268" s="8">
        <v>42053</v>
      </c>
      <c r="G268" s="8">
        <v>42053</v>
      </c>
      <c r="Y268" s="8"/>
    </row>
    <row r="269" spans="1:25" x14ac:dyDescent="0.25">
      <c r="A269" t="str">
        <f>"15-0114"</f>
        <v>15-0114</v>
      </c>
      <c r="D269" s="8">
        <v>42053</v>
      </c>
      <c r="F269" s="8">
        <v>42053</v>
      </c>
      <c r="G269" s="8">
        <v>42053</v>
      </c>
      <c r="Y269" s="8"/>
    </row>
    <row r="270" spans="1:25" x14ac:dyDescent="0.25">
      <c r="A270" t="str">
        <f>"15-0115"</f>
        <v>15-0115</v>
      </c>
      <c r="D270" s="8">
        <v>42053</v>
      </c>
      <c r="F270" s="8">
        <v>42053</v>
      </c>
      <c r="G270" s="8">
        <v>42053</v>
      </c>
      <c r="Y270" s="8"/>
    </row>
    <row r="271" spans="1:25" x14ac:dyDescent="0.25">
      <c r="A271" t="str">
        <f>"15-0116"</f>
        <v>15-0116</v>
      </c>
      <c r="D271" s="8">
        <v>42053</v>
      </c>
      <c r="F271" s="8">
        <v>42053</v>
      </c>
      <c r="G271" s="8">
        <v>42055</v>
      </c>
      <c r="Y271" s="8"/>
    </row>
    <row r="272" spans="1:25" x14ac:dyDescent="0.25">
      <c r="A272" t="str">
        <f>"15-0117"</f>
        <v>15-0117</v>
      </c>
      <c r="D272" s="8">
        <v>42053</v>
      </c>
      <c r="F272" s="8">
        <v>42053</v>
      </c>
      <c r="G272" s="8">
        <v>42053</v>
      </c>
      <c r="Y272" s="8"/>
    </row>
    <row r="273" spans="1:25" x14ac:dyDescent="0.25">
      <c r="A273" t="str">
        <f>"15-0052B"</f>
        <v>15-0052B</v>
      </c>
      <c r="D273" s="8">
        <v>42052</v>
      </c>
      <c r="F273" s="8">
        <v>42052</v>
      </c>
      <c r="G273" s="8">
        <v>42052</v>
      </c>
      <c r="Y273" s="8"/>
    </row>
    <row r="274" spans="1:25" x14ac:dyDescent="0.25">
      <c r="A274" t="str">
        <f>"15-0109"</f>
        <v>15-0109</v>
      </c>
      <c r="D274" s="8">
        <v>42052</v>
      </c>
      <c r="F274" s="8">
        <v>42052</v>
      </c>
      <c r="G274" s="8">
        <v>42052</v>
      </c>
      <c r="Y274" s="8"/>
    </row>
    <row r="275" spans="1:25" x14ac:dyDescent="0.25">
      <c r="A275" t="str">
        <f>"15-0107"</f>
        <v>15-0107</v>
      </c>
      <c r="D275" s="8">
        <v>42051</v>
      </c>
      <c r="F275" s="8">
        <v>42060</v>
      </c>
      <c r="G275" s="8">
        <v>42051</v>
      </c>
      <c r="Y275" s="8"/>
    </row>
    <row r="276" spans="1:25" x14ac:dyDescent="0.25">
      <c r="A276" t="str">
        <f>"15-0108"</f>
        <v>15-0108</v>
      </c>
      <c r="D276" s="8">
        <v>42051</v>
      </c>
      <c r="F276" s="8">
        <v>42051</v>
      </c>
      <c r="G276" s="8">
        <v>42051</v>
      </c>
      <c r="Y276" s="8"/>
    </row>
    <row r="277" spans="1:25" x14ac:dyDescent="0.25">
      <c r="A277" t="str">
        <f>"15-0103"</f>
        <v>15-0103</v>
      </c>
      <c r="D277" s="8">
        <v>42048</v>
      </c>
      <c r="F277" s="8">
        <v>42048</v>
      </c>
      <c r="G277" s="8">
        <v>42048</v>
      </c>
      <c r="Y277" s="8"/>
    </row>
    <row r="278" spans="1:25" x14ac:dyDescent="0.25">
      <c r="A278" t="str">
        <f>"15-0104"</f>
        <v>15-0104</v>
      </c>
      <c r="D278" s="8">
        <v>42048</v>
      </c>
      <c r="F278" s="8">
        <v>42048</v>
      </c>
      <c r="G278" s="8">
        <v>42048</v>
      </c>
      <c r="Y278" s="8"/>
    </row>
    <row r="279" spans="1:25" x14ac:dyDescent="0.25">
      <c r="A279" t="str">
        <f>"15-0105"</f>
        <v>15-0105</v>
      </c>
      <c r="D279" s="8">
        <v>42048</v>
      </c>
      <c r="F279" s="8">
        <v>42048</v>
      </c>
      <c r="G279" s="8">
        <v>42048</v>
      </c>
      <c r="Y279" s="8"/>
    </row>
    <row r="280" spans="1:25" x14ac:dyDescent="0.25">
      <c r="A280" t="str">
        <f>"15-0106"</f>
        <v>15-0106</v>
      </c>
      <c r="D280" s="8">
        <v>42048</v>
      </c>
      <c r="F280" s="8">
        <v>42052</v>
      </c>
      <c r="G280" s="8">
        <v>42048</v>
      </c>
      <c r="Y280" s="8"/>
    </row>
    <row r="281" spans="1:25" x14ac:dyDescent="0.25">
      <c r="A281" t="str">
        <f>"15-0101"</f>
        <v>15-0101</v>
      </c>
      <c r="D281" s="8">
        <v>42047</v>
      </c>
      <c r="F281" s="8">
        <v>42047</v>
      </c>
      <c r="G281" s="8">
        <v>42047</v>
      </c>
      <c r="Y281" s="8"/>
    </row>
    <row r="282" spans="1:25" x14ac:dyDescent="0.25">
      <c r="A282" t="str">
        <f>"15-0102"</f>
        <v>15-0102</v>
      </c>
      <c r="D282" s="8">
        <v>42047</v>
      </c>
      <c r="F282" s="8">
        <v>42047</v>
      </c>
      <c r="G282" s="8">
        <v>42047</v>
      </c>
      <c r="Y282" s="8"/>
    </row>
    <row r="283" spans="1:25" x14ac:dyDescent="0.25">
      <c r="A283" t="str">
        <f>"15-0098"</f>
        <v>15-0098</v>
      </c>
      <c r="D283" s="8">
        <v>42046</v>
      </c>
      <c r="F283" s="8">
        <v>42046</v>
      </c>
      <c r="G283" s="8">
        <v>42046</v>
      </c>
      <c r="Y283" s="8"/>
    </row>
    <row r="284" spans="1:25" x14ac:dyDescent="0.25">
      <c r="A284" t="str">
        <f>"15-0099"</f>
        <v>15-0099</v>
      </c>
      <c r="D284" s="8">
        <v>42046</v>
      </c>
      <c r="F284" s="8">
        <v>42046</v>
      </c>
      <c r="G284" s="8">
        <v>42046</v>
      </c>
      <c r="Y284" s="8"/>
    </row>
    <row r="285" spans="1:25" x14ac:dyDescent="0.25">
      <c r="A285" t="str">
        <f>"15-0100"</f>
        <v>15-0100</v>
      </c>
      <c r="D285" s="8">
        <v>42046</v>
      </c>
      <c r="F285" s="8">
        <v>42047</v>
      </c>
      <c r="G285" s="8">
        <v>42046</v>
      </c>
      <c r="Y285" s="8"/>
    </row>
    <row r="286" spans="1:25" x14ac:dyDescent="0.25">
      <c r="A286" t="str">
        <f>"15-0093B"</f>
        <v>15-0093B</v>
      </c>
      <c r="D286" s="8">
        <v>42045</v>
      </c>
      <c r="F286" s="8">
        <v>42066</v>
      </c>
      <c r="G286" s="8">
        <v>42045</v>
      </c>
      <c r="Y286" s="8"/>
    </row>
    <row r="287" spans="1:25" x14ac:dyDescent="0.25">
      <c r="A287" t="str">
        <f>"15-0094"</f>
        <v>15-0094</v>
      </c>
      <c r="D287" s="8">
        <v>42045</v>
      </c>
      <c r="F287" s="8">
        <v>42045</v>
      </c>
      <c r="G287" s="8">
        <v>42045</v>
      </c>
      <c r="Y287" s="8"/>
    </row>
    <row r="288" spans="1:25" x14ac:dyDescent="0.25">
      <c r="A288" t="str">
        <f>"15-0095"</f>
        <v>15-0095</v>
      </c>
      <c r="D288" s="8">
        <v>42045</v>
      </c>
      <c r="F288" s="8">
        <v>42046</v>
      </c>
      <c r="G288" s="8">
        <v>42045</v>
      </c>
      <c r="Y288" s="8"/>
    </row>
    <row r="289" spans="1:25" x14ac:dyDescent="0.25">
      <c r="A289" t="str">
        <f>"15-0096"</f>
        <v>15-0096</v>
      </c>
      <c r="D289" s="8">
        <v>42045</v>
      </c>
      <c r="F289" s="8">
        <v>42080</v>
      </c>
      <c r="G289" s="8">
        <v>42045</v>
      </c>
      <c r="Y289" s="8"/>
    </row>
    <row r="290" spans="1:25" x14ac:dyDescent="0.25">
      <c r="A290" t="str">
        <f>"15-0097"</f>
        <v>15-0097</v>
      </c>
      <c r="D290" s="8">
        <v>42045</v>
      </c>
      <c r="F290" s="8">
        <v>42045</v>
      </c>
      <c r="G290" s="8">
        <v>42045</v>
      </c>
      <c r="Y290" s="8"/>
    </row>
    <row r="291" spans="1:25" x14ac:dyDescent="0.25">
      <c r="A291" t="str">
        <f>"15-0092"</f>
        <v>15-0092</v>
      </c>
      <c r="D291" s="8">
        <v>42044</v>
      </c>
      <c r="F291" s="8">
        <v>42044</v>
      </c>
      <c r="G291" s="8">
        <v>42044</v>
      </c>
      <c r="Y291" s="8"/>
    </row>
    <row r="292" spans="1:25" x14ac:dyDescent="0.25">
      <c r="A292" t="str">
        <f>"15-0093"</f>
        <v>15-0093</v>
      </c>
      <c r="D292" s="8">
        <v>42044</v>
      </c>
      <c r="F292" s="8">
        <v>42044</v>
      </c>
      <c r="G292" s="8">
        <v>42044</v>
      </c>
      <c r="Y292" s="8"/>
    </row>
    <row r="293" spans="1:25" x14ac:dyDescent="0.25">
      <c r="A293" t="str">
        <f>"15-0089"</f>
        <v>15-0089</v>
      </c>
      <c r="D293" s="8">
        <v>42041</v>
      </c>
      <c r="F293" s="8">
        <v>42045</v>
      </c>
      <c r="G293" s="8">
        <v>42044</v>
      </c>
      <c r="Y293" s="8"/>
    </row>
    <row r="294" spans="1:25" x14ac:dyDescent="0.25">
      <c r="A294" t="str">
        <f>"15-0090"</f>
        <v>15-0090</v>
      </c>
      <c r="D294" s="8">
        <v>42041</v>
      </c>
      <c r="F294" s="8">
        <v>42041</v>
      </c>
      <c r="G294" s="8">
        <v>42041</v>
      </c>
      <c r="Y294" s="8"/>
    </row>
    <row r="295" spans="1:25" x14ac:dyDescent="0.25">
      <c r="A295" t="str">
        <f>"15-0091"</f>
        <v>15-0091</v>
      </c>
      <c r="D295" s="8">
        <v>42041</v>
      </c>
      <c r="F295" s="8">
        <v>42041</v>
      </c>
      <c r="G295" s="8">
        <v>42041</v>
      </c>
      <c r="Y295" s="8"/>
    </row>
    <row r="296" spans="1:25" x14ac:dyDescent="0.25">
      <c r="A296" t="str">
        <f>"15-0082"</f>
        <v>15-0082</v>
      </c>
      <c r="D296" s="8">
        <v>42040</v>
      </c>
      <c r="F296" s="8">
        <v>42040</v>
      </c>
      <c r="G296" s="8">
        <v>42040</v>
      </c>
      <c r="Y296" s="8"/>
    </row>
    <row r="297" spans="1:25" x14ac:dyDescent="0.25">
      <c r="A297" t="str">
        <f>"15-0083"</f>
        <v>15-0083</v>
      </c>
      <c r="D297" s="8">
        <v>42040</v>
      </c>
      <c r="F297" s="8">
        <v>42040</v>
      </c>
      <c r="G297" s="8">
        <v>42040</v>
      </c>
      <c r="Y297" s="8"/>
    </row>
    <row r="298" spans="1:25" x14ac:dyDescent="0.25">
      <c r="A298" t="str">
        <f>"15-0084"</f>
        <v>15-0084</v>
      </c>
      <c r="D298" s="8">
        <v>42040</v>
      </c>
      <c r="F298" s="8">
        <v>42040</v>
      </c>
      <c r="G298" s="8">
        <v>42040</v>
      </c>
      <c r="Y298" s="8"/>
    </row>
    <row r="299" spans="1:25" x14ac:dyDescent="0.25">
      <c r="A299" t="str">
        <f>"15-0085"</f>
        <v>15-0085</v>
      </c>
      <c r="D299" s="8">
        <v>42040</v>
      </c>
      <c r="F299" s="8">
        <v>42040</v>
      </c>
      <c r="G299" s="8">
        <v>42040</v>
      </c>
      <c r="Y299" s="8"/>
    </row>
    <row r="300" spans="1:25" x14ac:dyDescent="0.25">
      <c r="A300" t="str">
        <f>"15-0086"</f>
        <v>15-0086</v>
      </c>
      <c r="D300" s="8">
        <v>42040</v>
      </c>
      <c r="F300" s="8">
        <v>42040</v>
      </c>
      <c r="G300" s="8">
        <v>42040</v>
      </c>
      <c r="Y300" s="8"/>
    </row>
    <row r="301" spans="1:25" x14ac:dyDescent="0.25">
      <c r="A301" t="str">
        <f>"15-0087"</f>
        <v>15-0087</v>
      </c>
      <c r="D301" s="8">
        <v>42040</v>
      </c>
      <c r="F301" s="8">
        <v>42065</v>
      </c>
      <c r="G301" s="8">
        <v>42041</v>
      </c>
      <c r="Y301" s="8"/>
    </row>
    <row r="302" spans="1:25" x14ac:dyDescent="0.25">
      <c r="A302" t="str">
        <f>"15-0088"</f>
        <v>15-0088</v>
      </c>
      <c r="D302" s="8">
        <v>42040</v>
      </c>
      <c r="F302" s="8">
        <v>42040</v>
      </c>
      <c r="G302" s="8">
        <v>42040</v>
      </c>
      <c r="Y302" s="8"/>
    </row>
    <row r="303" spans="1:25" x14ac:dyDescent="0.25">
      <c r="A303" t="str">
        <f>"15-0032B"</f>
        <v>15-0032B</v>
      </c>
      <c r="D303" s="8">
        <v>42039</v>
      </c>
      <c r="F303" s="8">
        <v>42040</v>
      </c>
      <c r="G303" s="8">
        <v>42039</v>
      </c>
      <c r="Y303" s="8"/>
    </row>
    <row r="304" spans="1:25" x14ac:dyDescent="0.25">
      <c r="A304" t="str">
        <f>"15-0078"</f>
        <v>15-0078</v>
      </c>
      <c r="D304" s="8">
        <v>42039</v>
      </c>
      <c r="G304" s="8">
        <v>42041</v>
      </c>
      <c r="Y304" s="8"/>
    </row>
    <row r="305" spans="1:25" x14ac:dyDescent="0.25">
      <c r="A305" t="str">
        <f>"15-0079"</f>
        <v>15-0079</v>
      </c>
      <c r="D305" s="8">
        <v>42039</v>
      </c>
      <c r="F305" s="8">
        <v>42039</v>
      </c>
      <c r="G305" s="8">
        <v>42039</v>
      </c>
      <c r="Y305" s="8"/>
    </row>
    <row r="306" spans="1:25" x14ac:dyDescent="0.25">
      <c r="A306" t="str">
        <f>"15-0080"</f>
        <v>15-0080</v>
      </c>
      <c r="D306" s="8">
        <v>42039</v>
      </c>
      <c r="F306" s="8">
        <v>42039</v>
      </c>
      <c r="G306" s="8">
        <v>42039</v>
      </c>
      <c r="Y306" s="8"/>
    </row>
    <row r="307" spans="1:25" x14ac:dyDescent="0.25">
      <c r="A307" t="str">
        <f>"15-0081"</f>
        <v>15-0081</v>
      </c>
      <c r="D307" s="8">
        <v>42039</v>
      </c>
      <c r="F307" s="8">
        <v>42039</v>
      </c>
      <c r="G307" s="8">
        <v>42039</v>
      </c>
      <c r="Y307" s="8"/>
    </row>
    <row r="308" spans="1:25" x14ac:dyDescent="0.25">
      <c r="A308" t="str">
        <f>"15-0075"</f>
        <v>15-0075</v>
      </c>
      <c r="D308" s="8">
        <v>42038</v>
      </c>
      <c r="F308" s="8">
        <v>42038</v>
      </c>
      <c r="G308" s="8">
        <v>42038</v>
      </c>
      <c r="Y308" s="8"/>
    </row>
    <row r="309" spans="1:25" x14ac:dyDescent="0.25">
      <c r="A309" t="str">
        <f>"15-0076"</f>
        <v>15-0076</v>
      </c>
      <c r="D309" s="8">
        <v>42038</v>
      </c>
      <c r="F309" s="8">
        <v>42038</v>
      </c>
      <c r="G309" s="8">
        <v>42041</v>
      </c>
      <c r="Y309" s="8"/>
    </row>
    <row r="310" spans="1:25" x14ac:dyDescent="0.25">
      <c r="A310" t="str">
        <f>"15-0077"</f>
        <v>15-0077</v>
      </c>
      <c r="D310" s="8">
        <v>42038</v>
      </c>
      <c r="F310" s="8">
        <v>42038</v>
      </c>
      <c r="G310" s="8">
        <v>42038</v>
      </c>
      <c r="Y310" s="8"/>
    </row>
    <row r="311" spans="1:25" x14ac:dyDescent="0.25">
      <c r="A311" t="str">
        <f>"15-0066"</f>
        <v>15-0066</v>
      </c>
      <c r="D311" s="8">
        <v>42037</v>
      </c>
      <c r="F311" s="8">
        <v>42037</v>
      </c>
      <c r="G311" s="8">
        <v>42037</v>
      </c>
      <c r="Y311" s="8"/>
    </row>
    <row r="312" spans="1:25" x14ac:dyDescent="0.25">
      <c r="A312" t="str">
        <f>"15-0067"</f>
        <v>15-0067</v>
      </c>
      <c r="D312" s="8">
        <v>42037</v>
      </c>
      <c r="F312" s="8">
        <v>42037</v>
      </c>
      <c r="G312" s="8">
        <v>42037</v>
      </c>
      <c r="Y312" s="8"/>
    </row>
    <row r="313" spans="1:25" x14ac:dyDescent="0.25">
      <c r="A313" t="str">
        <f>"15-0068"</f>
        <v>15-0068</v>
      </c>
      <c r="D313" s="8">
        <v>42037</v>
      </c>
      <c r="F313" s="8">
        <v>42037</v>
      </c>
      <c r="G313" s="8">
        <v>42037</v>
      </c>
      <c r="Y313" s="8"/>
    </row>
    <row r="314" spans="1:25" x14ac:dyDescent="0.25">
      <c r="A314" t="str">
        <f>"15-0069"</f>
        <v>15-0069</v>
      </c>
      <c r="D314" s="8">
        <v>42037</v>
      </c>
      <c r="F314" s="8">
        <v>42037</v>
      </c>
      <c r="G314" s="8">
        <v>42037</v>
      </c>
      <c r="Y314" s="8"/>
    </row>
    <row r="315" spans="1:25" x14ac:dyDescent="0.25">
      <c r="A315" t="str">
        <f>"15-0070"</f>
        <v>15-0070</v>
      </c>
      <c r="D315" s="8">
        <v>42037</v>
      </c>
      <c r="F315" s="8">
        <v>42037</v>
      </c>
      <c r="G315" s="8">
        <v>42037</v>
      </c>
      <c r="Y315" s="8"/>
    </row>
    <row r="316" spans="1:25" x14ac:dyDescent="0.25">
      <c r="A316" t="str">
        <f>"15-0071"</f>
        <v>15-0071</v>
      </c>
      <c r="D316" s="8">
        <v>42037</v>
      </c>
      <c r="F316" s="8">
        <v>42037</v>
      </c>
      <c r="G316" s="8">
        <v>42037</v>
      </c>
      <c r="Y316" s="8"/>
    </row>
    <row r="317" spans="1:25" x14ac:dyDescent="0.25">
      <c r="A317" t="str">
        <f>"15-0072"</f>
        <v>15-0072</v>
      </c>
      <c r="D317" s="8">
        <v>42037</v>
      </c>
      <c r="F317" s="8">
        <v>42037</v>
      </c>
      <c r="G317" s="8">
        <v>42037</v>
      </c>
      <c r="Y317" s="8"/>
    </row>
    <row r="318" spans="1:25" x14ac:dyDescent="0.25">
      <c r="A318" t="str">
        <f>"15-0073"</f>
        <v>15-0073</v>
      </c>
      <c r="D318" s="8">
        <v>42037</v>
      </c>
      <c r="F318" s="8">
        <v>42038</v>
      </c>
      <c r="G318" s="8">
        <v>42037</v>
      </c>
      <c r="Y318" s="8"/>
    </row>
    <row r="319" spans="1:25" x14ac:dyDescent="0.25">
      <c r="A319" t="str">
        <f>"15-0074"</f>
        <v>15-0074</v>
      </c>
      <c r="D319" s="8">
        <v>42037</v>
      </c>
      <c r="F319" s="8">
        <v>42037</v>
      </c>
      <c r="G319" s="8">
        <v>42037</v>
      </c>
      <c r="Y319" s="8"/>
    </row>
    <row r="320" spans="1:25" x14ac:dyDescent="0.25">
      <c r="A320" t="str">
        <f>"15-0065"</f>
        <v>15-0065</v>
      </c>
      <c r="D320" s="8">
        <v>42034</v>
      </c>
      <c r="F320" s="8">
        <v>42065</v>
      </c>
      <c r="G320" s="8">
        <v>42034</v>
      </c>
      <c r="Y320" s="8"/>
    </row>
    <row r="321" spans="1:25" x14ac:dyDescent="0.25">
      <c r="A321" t="str">
        <f>"15-0062"</f>
        <v>15-0062</v>
      </c>
      <c r="D321" s="8">
        <v>42033</v>
      </c>
      <c r="F321" s="8">
        <v>42033</v>
      </c>
      <c r="G321" s="8">
        <v>42033</v>
      </c>
      <c r="Y321" s="8"/>
    </row>
    <row r="322" spans="1:25" x14ac:dyDescent="0.25">
      <c r="A322" t="str">
        <f>"15-0062B"</f>
        <v>15-0062B</v>
      </c>
      <c r="D322" s="8">
        <v>42033</v>
      </c>
      <c r="F322" s="8">
        <v>42033</v>
      </c>
      <c r="G322" s="8">
        <v>42033</v>
      </c>
      <c r="Y322" s="8"/>
    </row>
    <row r="323" spans="1:25" x14ac:dyDescent="0.25">
      <c r="A323" t="str">
        <f>"15-0063"</f>
        <v>15-0063</v>
      </c>
      <c r="D323" s="8">
        <v>42033</v>
      </c>
      <c r="F323" s="8">
        <v>42033</v>
      </c>
      <c r="G323" s="8">
        <v>42033</v>
      </c>
      <c r="Y323" s="8"/>
    </row>
    <row r="324" spans="1:25" x14ac:dyDescent="0.25">
      <c r="A324" t="str">
        <f>"15-0064"</f>
        <v>15-0064</v>
      </c>
      <c r="D324" s="8">
        <v>42033</v>
      </c>
      <c r="F324" s="8">
        <v>42033</v>
      </c>
      <c r="G324" s="8">
        <v>42037</v>
      </c>
      <c r="Y324" s="8"/>
    </row>
    <row r="325" spans="1:25" x14ac:dyDescent="0.25">
      <c r="A325" t="str">
        <f>"15-0055B"</f>
        <v>15-0055B</v>
      </c>
      <c r="D325" s="8">
        <v>42032</v>
      </c>
      <c r="F325" s="8">
        <v>42032</v>
      </c>
      <c r="G325" s="8">
        <v>42032</v>
      </c>
      <c r="Y325" s="8"/>
    </row>
    <row r="326" spans="1:25" x14ac:dyDescent="0.25">
      <c r="A326" t="str">
        <f>"15-0060"</f>
        <v>15-0060</v>
      </c>
      <c r="D326" s="8">
        <v>42032</v>
      </c>
      <c r="F326" s="8">
        <v>42032</v>
      </c>
      <c r="G326" s="8">
        <v>42032</v>
      </c>
      <c r="Y326" s="8"/>
    </row>
    <row r="327" spans="1:25" x14ac:dyDescent="0.25">
      <c r="A327" t="str">
        <f>"15-0061"</f>
        <v>15-0061</v>
      </c>
      <c r="D327" s="8">
        <v>42032</v>
      </c>
      <c r="G327" s="8">
        <v>42034</v>
      </c>
      <c r="Y327" s="8"/>
    </row>
    <row r="328" spans="1:25" x14ac:dyDescent="0.25">
      <c r="A328" t="str">
        <f>"15-0054B"</f>
        <v>15-0054B</v>
      </c>
      <c r="D328" s="8">
        <v>42031</v>
      </c>
      <c r="F328" s="8">
        <v>42031</v>
      </c>
      <c r="G328" s="8">
        <v>42031</v>
      </c>
      <c r="Y328" s="8"/>
    </row>
    <row r="329" spans="1:25" x14ac:dyDescent="0.25">
      <c r="A329" t="str">
        <f>"15-0057"</f>
        <v>15-0057</v>
      </c>
      <c r="D329" s="8">
        <v>42031</v>
      </c>
      <c r="F329" s="8">
        <v>42031</v>
      </c>
      <c r="G329" s="8">
        <v>42031</v>
      </c>
      <c r="Y329" s="8"/>
    </row>
    <row r="330" spans="1:25" x14ac:dyDescent="0.25">
      <c r="A330" t="str">
        <f>"15-0058"</f>
        <v>15-0058</v>
      </c>
      <c r="D330" s="8">
        <v>42031</v>
      </c>
      <c r="F330" s="8">
        <v>42031</v>
      </c>
      <c r="G330" s="8">
        <v>42031</v>
      </c>
      <c r="Y330" s="8"/>
    </row>
    <row r="331" spans="1:25" x14ac:dyDescent="0.25">
      <c r="A331" t="str">
        <f>"15-0059"</f>
        <v>15-0059</v>
      </c>
      <c r="D331" s="8">
        <v>42031</v>
      </c>
      <c r="F331" s="8">
        <v>42031</v>
      </c>
      <c r="G331" s="8">
        <v>42031</v>
      </c>
      <c r="Y331" s="8"/>
    </row>
    <row r="332" spans="1:25" x14ac:dyDescent="0.25">
      <c r="A332" t="str">
        <f>"15-0054"</f>
        <v>15-0054</v>
      </c>
      <c r="D332" s="8">
        <v>42030</v>
      </c>
      <c r="F332" s="8">
        <v>42030</v>
      </c>
      <c r="G332" s="8">
        <v>42030</v>
      </c>
      <c r="Y332" s="8"/>
    </row>
    <row r="333" spans="1:25" x14ac:dyDescent="0.25">
      <c r="A333" t="str">
        <f>"15-0055"</f>
        <v>15-0055</v>
      </c>
      <c r="D333" s="8">
        <v>42030</v>
      </c>
      <c r="F333" s="8">
        <v>42030</v>
      </c>
      <c r="G333" s="8">
        <v>42030</v>
      </c>
      <c r="Y333" s="8"/>
    </row>
    <row r="334" spans="1:25" x14ac:dyDescent="0.25">
      <c r="A334" t="str">
        <f>"15-0056"</f>
        <v>15-0056</v>
      </c>
      <c r="D334" s="8">
        <v>42030</v>
      </c>
      <c r="F334" s="8">
        <v>42031</v>
      </c>
      <c r="G334" s="8">
        <v>42031</v>
      </c>
      <c r="Y334" s="8"/>
    </row>
    <row r="335" spans="1:25" x14ac:dyDescent="0.25">
      <c r="A335" t="str">
        <f>"15-0051"</f>
        <v>15-0051</v>
      </c>
      <c r="D335" s="8">
        <v>42027</v>
      </c>
      <c r="F335" s="8">
        <v>42027</v>
      </c>
      <c r="G335" s="8">
        <v>42027</v>
      </c>
      <c r="Y335" s="8"/>
    </row>
    <row r="336" spans="1:25" x14ac:dyDescent="0.25">
      <c r="A336" t="str">
        <f>"15-0052"</f>
        <v>15-0052</v>
      </c>
      <c r="D336" s="8">
        <v>42027</v>
      </c>
      <c r="F336" s="8">
        <v>42030</v>
      </c>
      <c r="G336" s="8">
        <v>42030</v>
      </c>
      <c r="Y336" s="8"/>
    </row>
    <row r="337" spans="1:25" x14ac:dyDescent="0.25">
      <c r="A337" t="str">
        <f>"15-0053"</f>
        <v>15-0053</v>
      </c>
      <c r="D337" s="8">
        <v>42027</v>
      </c>
      <c r="F337" s="8">
        <v>42033</v>
      </c>
      <c r="G337" s="8">
        <v>42027</v>
      </c>
      <c r="Y337" s="8"/>
    </row>
    <row r="338" spans="1:25" x14ac:dyDescent="0.25">
      <c r="A338" t="str">
        <f>"15-0048"</f>
        <v>15-0048</v>
      </c>
      <c r="D338" s="8">
        <v>42026</v>
      </c>
      <c r="F338" s="8">
        <v>42026</v>
      </c>
      <c r="G338" s="8">
        <v>42026</v>
      </c>
      <c r="Y338" s="8"/>
    </row>
    <row r="339" spans="1:25" x14ac:dyDescent="0.25">
      <c r="A339" t="str">
        <f>"15-0049"</f>
        <v>15-0049</v>
      </c>
      <c r="D339" s="8">
        <v>42026</v>
      </c>
      <c r="F339" s="8">
        <v>42026</v>
      </c>
      <c r="G339" s="8">
        <v>42026</v>
      </c>
      <c r="Y339" s="8"/>
    </row>
    <row r="340" spans="1:25" x14ac:dyDescent="0.25">
      <c r="A340" t="str">
        <f>"15-0050"</f>
        <v>15-0050</v>
      </c>
      <c r="D340" s="8">
        <v>42026</v>
      </c>
      <c r="F340" s="8">
        <v>42026</v>
      </c>
      <c r="G340" s="8">
        <v>42026</v>
      </c>
      <c r="Y340" s="8"/>
    </row>
    <row r="341" spans="1:25" x14ac:dyDescent="0.25">
      <c r="A341" t="str">
        <f>"15-0042"</f>
        <v>15-0042</v>
      </c>
      <c r="D341" s="8">
        <v>42025</v>
      </c>
      <c r="F341" s="8">
        <v>42025</v>
      </c>
      <c r="G341" s="8">
        <v>42025</v>
      </c>
      <c r="Y341" s="8"/>
    </row>
    <row r="342" spans="1:25" x14ac:dyDescent="0.25">
      <c r="A342" t="str">
        <f>"15-0043"</f>
        <v>15-0043</v>
      </c>
      <c r="D342" s="8">
        <v>42025</v>
      </c>
      <c r="F342" s="8">
        <v>42025</v>
      </c>
      <c r="G342" s="8">
        <v>42025</v>
      </c>
      <c r="Y342" s="8"/>
    </row>
    <row r="343" spans="1:25" x14ac:dyDescent="0.25">
      <c r="A343" t="str">
        <f>"15-0044"</f>
        <v>15-0044</v>
      </c>
      <c r="D343" s="8">
        <v>42025</v>
      </c>
      <c r="F343" s="8">
        <v>42025</v>
      </c>
      <c r="G343" s="8">
        <v>42025</v>
      </c>
      <c r="Y343" s="8"/>
    </row>
    <row r="344" spans="1:25" x14ac:dyDescent="0.25">
      <c r="A344" t="str">
        <f>"15-0045"</f>
        <v>15-0045</v>
      </c>
      <c r="D344" s="8">
        <v>42025</v>
      </c>
      <c r="F344" s="8">
        <v>42025</v>
      </c>
      <c r="G344" s="8">
        <v>42025</v>
      </c>
      <c r="Y344" s="8"/>
    </row>
    <row r="345" spans="1:25" x14ac:dyDescent="0.25">
      <c r="A345" t="str">
        <f>"15-0046"</f>
        <v>15-0046</v>
      </c>
      <c r="D345" s="8">
        <v>42025</v>
      </c>
      <c r="F345" s="8">
        <v>42025</v>
      </c>
      <c r="G345" s="8">
        <v>42025</v>
      </c>
      <c r="Y345" s="8"/>
    </row>
    <row r="346" spans="1:25" x14ac:dyDescent="0.25">
      <c r="A346" t="str">
        <f>"15-0047"</f>
        <v>15-0047</v>
      </c>
      <c r="D346" s="8">
        <v>42025</v>
      </c>
      <c r="F346" s="8">
        <v>42025</v>
      </c>
      <c r="G346" s="8">
        <v>42025</v>
      </c>
      <c r="Y346" s="8"/>
    </row>
    <row r="347" spans="1:25" x14ac:dyDescent="0.25">
      <c r="A347" t="str">
        <f>"15-0039"</f>
        <v>15-0039</v>
      </c>
      <c r="D347" s="8">
        <v>42024</v>
      </c>
      <c r="F347" s="8">
        <v>42024</v>
      </c>
      <c r="G347" s="8">
        <v>42024</v>
      </c>
      <c r="Y347" s="8"/>
    </row>
    <row r="348" spans="1:25" x14ac:dyDescent="0.25">
      <c r="A348" t="str">
        <f>"15-0040"</f>
        <v>15-0040</v>
      </c>
      <c r="D348" s="8">
        <v>42024</v>
      </c>
      <c r="F348" s="8">
        <v>42030</v>
      </c>
      <c r="G348" s="8">
        <v>42024</v>
      </c>
      <c r="Y348" s="8"/>
    </row>
    <row r="349" spans="1:25" x14ac:dyDescent="0.25">
      <c r="A349" t="str">
        <f>"15-0041"</f>
        <v>15-0041</v>
      </c>
      <c r="D349" s="8">
        <v>42024</v>
      </c>
      <c r="F349" s="8">
        <v>42024</v>
      </c>
      <c r="G349" s="8">
        <v>42024</v>
      </c>
      <c r="Y349" s="8"/>
    </row>
    <row r="350" spans="1:25" x14ac:dyDescent="0.25">
      <c r="A350" t="str">
        <f>"15-0037"</f>
        <v>15-0037</v>
      </c>
      <c r="D350" s="8">
        <v>42023</v>
      </c>
      <c r="F350" s="8">
        <v>42023</v>
      </c>
      <c r="G350" s="8">
        <v>42023</v>
      </c>
      <c r="Y350" s="8"/>
    </row>
    <row r="351" spans="1:25" x14ac:dyDescent="0.25">
      <c r="A351" t="str">
        <f>"15-0038"</f>
        <v>15-0038</v>
      </c>
      <c r="D351" s="8">
        <v>42023</v>
      </c>
      <c r="F351" s="8">
        <v>42023</v>
      </c>
      <c r="G351" s="8">
        <v>42023</v>
      </c>
      <c r="Y351" s="8"/>
    </row>
    <row r="352" spans="1:25" x14ac:dyDescent="0.25">
      <c r="A352" t="str">
        <f>"15-0031"</f>
        <v>15-0031</v>
      </c>
      <c r="D352" s="8">
        <v>42020</v>
      </c>
      <c r="F352" s="8">
        <v>42020</v>
      </c>
      <c r="G352" s="8">
        <v>42020</v>
      </c>
      <c r="Y352" s="8"/>
    </row>
    <row r="353" spans="1:25" x14ac:dyDescent="0.25">
      <c r="A353" t="str">
        <f>"15-0032"</f>
        <v>15-0032</v>
      </c>
      <c r="D353" s="8">
        <v>42020</v>
      </c>
      <c r="F353" s="8">
        <v>42024</v>
      </c>
      <c r="G353" s="8">
        <v>42020</v>
      </c>
      <c r="Y353" s="8"/>
    </row>
    <row r="354" spans="1:25" x14ac:dyDescent="0.25">
      <c r="A354" t="str">
        <f>"15-0033"</f>
        <v>15-0033</v>
      </c>
      <c r="D354" s="8">
        <v>42020</v>
      </c>
      <c r="F354" s="8">
        <v>42020</v>
      </c>
      <c r="G354" s="8">
        <v>42020</v>
      </c>
      <c r="Y354" s="8"/>
    </row>
    <row r="355" spans="1:25" x14ac:dyDescent="0.25">
      <c r="A355" t="str">
        <f>"15-0034"</f>
        <v>15-0034</v>
      </c>
      <c r="D355" s="8">
        <v>42020</v>
      </c>
      <c r="F355" s="8">
        <v>42020</v>
      </c>
      <c r="G355" s="8">
        <v>42020</v>
      </c>
      <c r="Y355" s="8"/>
    </row>
    <row r="356" spans="1:25" x14ac:dyDescent="0.25">
      <c r="A356" t="str">
        <f>"15-0035"</f>
        <v>15-0035</v>
      </c>
      <c r="D356" s="8">
        <v>42020</v>
      </c>
      <c r="F356" s="8">
        <v>42020</v>
      </c>
      <c r="G356" s="8">
        <v>42020</v>
      </c>
      <c r="Y356" s="8"/>
    </row>
    <row r="357" spans="1:25" x14ac:dyDescent="0.25">
      <c r="A357" t="str">
        <f>"15-0036"</f>
        <v>15-0036</v>
      </c>
      <c r="D357" s="8">
        <v>42020</v>
      </c>
      <c r="F357" s="8">
        <v>42020</v>
      </c>
      <c r="G357" s="8">
        <v>42020</v>
      </c>
      <c r="Y357" s="8"/>
    </row>
    <row r="358" spans="1:25" x14ac:dyDescent="0.25">
      <c r="A358" t="str">
        <f>"15-0026"</f>
        <v>15-0026</v>
      </c>
      <c r="D358" s="8">
        <v>42019</v>
      </c>
      <c r="F358" s="8">
        <v>42019</v>
      </c>
      <c r="G358" s="8">
        <v>42019</v>
      </c>
      <c r="Y358" s="8"/>
    </row>
    <row r="359" spans="1:25" x14ac:dyDescent="0.25">
      <c r="A359" t="str">
        <f>"15-0027"</f>
        <v>15-0027</v>
      </c>
      <c r="D359" s="8">
        <v>42019</v>
      </c>
      <c r="F359" s="8">
        <v>42019</v>
      </c>
      <c r="G359" s="8">
        <v>42018</v>
      </c>
      <c r="Y359" s="8"/>
    </row>
    <row r="360" spans="1:25" x14ac:dyDescent="0.25">
      <c r="A360" t="str">
        <f>"15-0028"</f>
        <v>15-0028</v>
      </c>
      <c r="D360" s="8">
        <v>42019</v>
      </c>
      <c r="F360" s="8">
        <v>42019</v>
      </c>
      <c r="G360" s="8">
        <v>42019</v>
      </c>
      <c r="Y360" s="8"/>
    </row>
    <row r="361" spans="1:25" x14ac:dyDescent="0.25">
      <c r="A361" t="str">
        <f>"15-0029"</f>
        <v>15-0029</v>
      </c>
      <c r="D361" s="8">
        <v>42019</v>
      </c>
      <c r="F361" s="8">
        <v>42019</v>
      </c>
      <c r="G361" s="8">
        <v>42019</v>
      </c>
      <c r="Y361" s="8"/>
    </row>
    <row r="362" spans="1:25" x14ac:dyDescent="0.25">
      <c r="A362" t="str">
        <f>"15-0030"</f>
        <v>15-0030</v>
      </c>
      <c r="D362" s="8">
        <v>42019</v>
      </c>
      <c r="F362" s="8">
        <v>42041</v>
      </c>
      <c r="G362" s="8">
        <v>42019</v>
      </c>
      <c r="Y362" s="8"/>
    </row>
    <row r="363" spans="1:25" x14ac:dyDescent="0.25">
      <c r="A363" t="str">
        <f>"14-0745C"</f>
        <v>14-0745C</v>
      </c>
      <c r="D363" s="8">
        <v>42018</v>
      </c>
      <c r="F363" s="8">
        <v>42024</v>
      </c>
      <c r="G363" s="8">
        <v>42018</v>
      </c>
      <c r="Y363" s="8"/>
    </row>
    <row r="364" spans="1:25" x14ac:dyDescent="0.25">
      <c r="A364" t="str">
        <f>"15-0025"</f>
        <v>15-0025</v>
      </c>
      <c r="D364" s="8">
        <v>42018</v>
      </c>
      <c r="F364" s="8">
        <v>42018</v>
      </c>
      <c r="G364" s="8">
        <v>42018</v>
      </c>
      <c r="Y364" s="8"/>
    </row>
    <row r="365" spans="1:25" x14ac:dyDescent="0.25">
      <c r="A365" t="str">
        <f>"15-0023"</f>
        <v>15-0023</v>
      </c>
      <c r="D365" s="8">
        <v>42017</v>
      </c>
      <c r="F365" s="8">
        <v>42024</v>
      </c>
      <c r="G365" s="8">
        <v>42017</v>
      </c>
      <c r="Y365" s="8"/>
    </row>
    <row r="366" spans="1:25" x14ac:dyDescent="0.25">
      <c r="A366" t="str">
        <f>"15-0024"</f>
        <v>15-0024</v>
      </c>
      <c r="D366" s="8">
        <v>42017</v>
      </c>
      <c r="F366" s="8">
        <v>42017</v>
      </c>
      <c r="G366" s="8">
        <v>42017</v>
      </c>
      <c r="Y366" s="8"/>
    </row>
    <row r="367" spans="1:25" x14ac:dyDescent="0.25">
      <c r="A367" t="str">
        <f>"14-0745B"</f>
        <v>14-0745B</v>
      </c>
      <c r="D367" s="8">
        <v>42016</v>
      </c>
      <c r="F367" s="8">
        <v>42016</v>
      </c>
      <c r="G367" s="8">
        <v>42016</v>
      </c>
      <c r="Y367" s="8"/>
    </row>
    <row r="368" spans="1:25" x14ac:dyDescent="0.25">
      <c r="A368" t="str">
        <f>"14-0762B"</f>
        <v>14-0762B</v>
      </c>
      <c r="D368" s="8">
        <v>42016</v>
      </c>
      <c r="F368" s="8">
        <v>42016</v>
      </c>
      <c r="G368" s="8">
        <v>42016</v>
      </c>
      <c r="Y368" s="8"/>
    </row>
    <row r="369" spans="1:25" x14ac:dyDescent="0.25">
      <c r="A369" t="str">
        <f>"15-0019"</f>
        <v>15-0019</v>
      </c>
      <c r="D369" s="8">
        <v>42016</v>
      </c>
      <c r="F369" s="8">
        <v>42016</v>
      </c>
      <c r="G369" s="8">
        <v>42016</v>
      </c>
      <c r="Y369" s="8"/>
    </row>
    <row r="370" spans="1:25" x14ac:dyDescent="0.25">
      <c r="A370" t="str">
        <f>"15-0020"</f>
        <v>15-0020</v>
      </c>
      <c r="D370" s="8">
        <v>42016</v>
      </c>
      <c r="F370" s="8">
        <v>42016</v>
      </c>
      <c r="G370" s="8">
        <v>42016</v>
      </c>
      <c r="Y370" s="8"/>
    </row>
    <row r="371" spans="1:25" x14ac:dyDescent="0.25">
      <c r="A371" t="str">
        <f>"15-0021"</f>
        <v>15-0021</v>
      </c>
      <c r="D371" s="8">
        <v>42016</v>
      </c>
      <c r="F371" s="8">
        <v>42016</v>
      </c>
      <c r="G371" s="8">
        <v>42016</v>
      </c>
      <c r="Y371" s="8"/>
    </row>
    <row r="372" spans="1:25" x14ac:dyDescent="0.25">
      <c r="A372" t="str">
        <f>"15-0022"</f>
        <v>15-0022</v>
      </c>
      <c r="D372" s="8">
        <v>42016</v>
      </c>
      <c r="F372" s="8">
        <v>42016</v>
      </c>
      <c r="G372" s="8">
        <v>42016</v>
      </c>
      <c r="Y372" s="8"/>
    </row>
    <row r="373" spans="1:25" x14ac:dyDescent="0.25">
      <c r="A373" t="str">
        <f>"15-0017"</f>
        <v>15-0017</v>
      </c>
      <c r="D373" s="8">
        <v>42013</v>
      </c>
      <c r="F373" s="8">
        <v>42013</v>
      </c>
      <c r="G373" s="8">
        <v>42013</v>
      </c>
      <c r="Y373" s="8"/>
    </row>
    <row r="374" spans="1:25" x14ac:dyDescent="0.25">
      <c r="A374" t="str">
        <f>"15-0018"</f>
        <v>15-0018</v>
      </c>
      <c r="D374" s="8">
        <v>42013</v>
      </c>
      <c r="F374" s="8">
        <v>42013</v>
      </c>
      <c r="G374" s="8">
        <v>42013</v>
      </c>
      <c r="Y374" s="8"/>
    </row>
    <row r="375" spans="1:25" x14ac:dyDescent="0.25">
      <c r="A375" t="str">
        <f>"15-0006"</f>
        <v>15-0006</v>
      </c>
      <c r="D375" s="8">
        <v>42012</v>
      </c>
      <c r="F375" s="8">
        <v>42012</v>
      </c>
      <c r="G375" s="8">
        <v>42012</v>
      </c>
      <c r="Y375" s="8"/>
    </row>
    <row r="376" spans="1:25" x14ac:dyDescent="0.25">
      <c r="A376" t="str">
        <f>"15-0007"</f>
        <v>15-0007</v>
      </c>
      <c r="D376" s="8">
        <v>42012</v>
      </c>
      <c r="F376" s="8">
        <v>42012</v>
      </c>
      <c r="G376" s="8">
        <v>42012</v>
      </c>
      <c r="Y376" s="8"/>
    </row>
    <row r="377" spans="1:25" x14ac:dyDescent="0.25">
      <c r="A377" t="str">
        <f>"15-0008"</f>
        <v>15-0008</v>
      </c>
      <c r="D377" s="8">
        <v>42012</v>
      </c>
      <c r="F377" s="8">
        <v>42012</v>
      </c>
      <c r="G377" s="8">
        <v>42012</v>
      </c>
      <c r="Y377" s="8"/>
    </row>
    <row r="378" spans="1:25" x14ac:dyDescent="0.25">
      <c r="A378" t="str">
        <f>"15-0009"</f>
        <v>15-0009</v>
      </c>
      <c r="D378" s="8">
        <v>42012</v>
      </c>
      <c r="F378" s="8">
        <v>42030</v>
      </c>
      <c r="G378" s="8">
        <v>42012</v>
      </c>
      <c r="Y378" s="8"/>
    </row>
    <row r="379" spans="1:25" x14ac:dyDescent="0.25">
      <c r="A379" t="str">
        <f>"15-0010"</f>
        <v>15-0010</v>
      </c>
      <c r="D379" s="8">
        <v>42012</v>
      </c>
      <c r="F379" s="8">
        <v>42012</v>
      </c>
      <c r="G379" s="8">
        <v>42012</v>
      </c>
      <c r="Y379" s="8"/>
    </row>
    <row r="380" spans="1:25" x14ac:dyDescent="0.25">
      <c r="A380" t="str">
        <f>"15-0011"</f>
        <v>15-0011</v>
      </c>
      <c r="D380" s="8">
        <v>42012</v>
      </c>
      <c r="F380" s="8">
        <v>42012</v>
      </c>
      <c r="G380" s="8">
        <v>42012</v>
      </c>
      <c r="Y380" s="8"/>
    </row>
    <row r="381" spans="1:25" x14ac:dyDescent="0.25">
      <c r="A381" t="str">
        <f>"15-0012"</f>
        <v>15-0012</v>
      </c>
      <c r="D381" s="8">
        <v>42012</v>
      </c>
      <c r="F381" s="8">
        <v>42030</v>
      </c>
      <c r="G381" s="8">
        <v>42012</v>
      </c>
      <c r="Y381" s="8"/>
    </row>
    <row r="382" spans="1:25" x14ac:dyDescent="0.25">
      <c r="A382" t="str">
        <f>"15-0013"</f>
        <v>15-0013</v>
      </c>
      <c r="D382" s="8">
        <v>42012</v>
      </c>
      <c r="F382" s="8">
        <v>42012</v>
      </c>
      <c r="G382" s="8">
        <v>42012</v>
      </c>
      <c r="Y382" s="8"/>
    </row>
    <row r="383" spans="1:25" x14ac:dyDescent="0.25">
      <c r="A383" t="str">
        <f>"15-0014"</f>
        <v>15-0014</v>
      </c>
      <c r="D383" s="8">
        <v>42012</v>
      </c>
      <c r="F383" s="8">
        <v>42012</v>
      </c>
      <c r="G383" s="8">
        <v>42012</v>
      </c>
      <c r="Y383" s="8"/>
    </row>
    <row r="384" spans="1:25" x14ac:dyDescent="0.25">
      <c r="A384" t="str">
        <f>"15-0016"</f>
        <v>15-0016</v>
      </c>
      <c r="D384" s="8">
        <v>42012</v>
      </c>
      <c r="F384" s="8">
        <v>42041</v>
      </c>
      <c r="G384" s="8">
        <v>42012</v>
      </c>
      <c r="Y384" s="8"/>
    </row>
    <row r="385" spans="1:25" x14ac:dyDescent="0.25">
      <c r="A385" t="str">
        <f>"15-0005"</f>
        <v>15-0005</v>
      </c>
      <c r="D385" s="8">
        <v>42011</v>
      </c>
      <c r="F385" s="8">
        <v>42011</v>
      </c>
      <c r="G385" s="8">
        <v>42011</v>
      </c>
      <c r="Y385" s="8"/>
    </row>
    <row r="386" spans="1:25" x14ac:dyDescent="0.25">
      <c r="A386" t="str">
        <f>"14-0686B"</f>
        <v>14-0686B</v>
      </c>
      <c r="D386" s="8">
        <v>42010</v>
      </c>
      <c r="F386" s="8">
        <v>42010</v>
      </c>
      <c r="G386" s="8">
        <v>42010</v>
      </c>
      <c r="Y386" s="8"/>
    </row>
    <row r="387" spans="1:25" x14ac:dyDescent="0.25">
      <c r="A387" t="str">
        <f>"15-0004"</f>
        <v>15-0004</v>
      </c>
      <c r="D387" s="8">
        <v>42010</v>
      </c>
      <c r="F387" s="8">
        <v>42010</v>
      </c>
      <c r="G387" s="8">
        <v>42010</v>
      </c>
      <c r="Y387" s="8"/>
    </row>
    <row r="388" spans="1:25" x14ac:dyDescent="0.25">
      <c r="A388" t="str">
        <f>"15-0001"</f>
        <v>15-0001</v>
      </c>
      <c r="D388" s="8">
        <v>42009</v>
      </c>
      <c r="F388" s="8">
        <v>42009</v>
      </c>
      <c r="G388" s="8">
        <v>42009</v>
      </c>
      <c r="Y388" s="8"/>
    </row>
    <row r="389" spans="1:25" x14ac:dyDescent="0.25">
      <c r="A389" t="str">
        <f>"15-0002"</f>
        <v>15-0002</v>
      </c>
      <c r="D389" s="8">
        <v>42009</v>
      </c>
      <c r="F389" s="8">
        <v>42009</v>
      </c>
      <c r="G389" s="8">
        <v>42009</v>
      </c>
      <c r="Y389" s="8"/>
    </row>
    <row r="390" spans="1:25" x14ac:dyDescent="0.25">
      <c r="A390" t="str">
        <f>"15-0003"</f>
        <v>15-0003</v>
      </c>
      <c r="D390" s="8">
        <v>42009</v>
      </c>
      <c r="F390" s="8">
        <v>42013</v>
      </c>
      <c r="G390" s="8">
        <v>42009</v>
      </c>
      <c r="Y390" s="8"/>
    </row>
    <row r="391" spans="1:25" x14ac:dyDescent="0.25">
      <c r="A391" t="str">
        <f>"14-0768B"</f>
        <v>14-0768B</v>
      </c>
      <c r="D391" s="8">
        <v>41997</v>
      </c>
      <c r="F391" s="8">
        <v>41997</v>
      </c>
      <c r="G391" s="8">
        <v>41997</v>
      </c>
      <c r="Y391" s="8"/>
    </row>
    <row r="392" spans="1:25" x14ac:dyDescent="0.25">
      <c r="A392" t="str">
        <f>"14-0769"</f>
        <v>14-0769</v>
      </c>
      <c r="D392" s="8">
        <v>41997</v>
      </c>
      <c r="F392" s="8">
        <v>41997</v>
      </c>
      <c r="G392" s="8">
        <v>41997</v>
      </c>
      <c r="Y392" s="8"/>
    </row>
    <row r="393" spans="1:25" x14ac:dyDescent="0.25">
      <c r="A393" t="str">
        <f>"14-0770"</f>
        <v>14-0770</v>
      </c>
      <c r="D393" s="8">
        <v>41997</v>
      </c>
      <c r="F393" s="8">
        <v>41997</v>
      </c>
      <c r="G393" s="8">
        <v>41997</v>
      </c>
      <c r="Y393" s="8"/>
    </row>
    <row r="394" spans="1:25" x14ac:dyDescent="0.25">
      <c r="A394" t="str">
        <f>"14-0766"</f>
        <v>14-0766</v>
      </c>
      <c r="D394" s="8">
        <v>41996</v>
      </c>
      <c r="F394" s="8">
        <v>41996</v>
      </c>
      <c r="G394" s="8">
        <v>41996</v>
      </c>
      <c r="Y394" s="8"/>
    </row>
    <row r="395" spans="1:25" x14ac:dyDescent="0.25">
      <c r="A395" t="str">
        <f>"14-0767"</f>
        <v>14-0767</v>
      </c>
      <c r="D395" s="8">
        <v>41996</v>
      </c>
      <c r="F395" s="8">
        <v>41996</v>
      </c>
      <c r="G395" s="8">
        <v>41996</v>
      </c>
      <c r="Y395" s="8"/>
    </row>
    <row r="396" spans="1:25" x14ac:dyDescent="0.25">
      <c r="A396" t="str">
        <f>"14-0768"</f>
        <v>14-0768</v>
      </c>
      <c r="D396" s="8">
        <v>41996</v>
      </c>
      <c r="F396" s="8">
        <v>41996</v>
      </c>
      <c r="G396" s="8">
        <v>41996</v>
      </c>
      <c r="Y396" s="8"/>
    </row>
    <row r="397" spans="1:25" x14ac:dyDescent="0.25">
      <c r="A397" t="str">
        <f>"14-0727B"</f>
        <v>14-0727B</v>
      </c>
      <c r="D397" s="8">
        <v>41995</v>
      </c>
      <c r="F397" s="8">
        <v>41995</v>
      </c>
      <c r="G397" s="8">
        <v>41995</v>
      </c>
      <c r="Y397" s="8"/>
    </row>
    <row r="398" spans="1:25" x14ac:dyDescent="0.25">
      <c r="A398" t="str">
        <f>"14-0755"</f>
        <v>14-0755</v>
      </c>
      <c r="D398" s="8">
        <v>41995</v>
      </c>
      <c r="F398" s="8">
        <v>41995</v>
      </c>
      <c r="G398" s="8">
        <v>41995</v>
      </c>
      <c r="Y398" s="8"/>
    </row>
    <row r="399" spans="1:25" x14ac:dyDescent="0.25">
      <c r="A399" t="str">
        <f>"14-0756"</f>
        <v>14-0756</v>
      </c>
      <c r="D399" s="8">
        <v>41995</v>
      </c>
      <c r="F399" s="8">
        <v>41995</v>
      </c>
      <c r="G399" s="8">
        <v>41995</v>
      </c>
      <c r="Y399" s="8"/>
    </row>
    <row r="400" spans="1:25" x14ac:dyDescent="0.25">
      <c r="A400" t="str">
        <f>"14-0757"</f>
        <v>14-0757</v>
      </c>
      <c r="D400" s="8">
        <v>41995</v>
      </c>
      <c r="F400" s="8">
        <v>41995</v>
      </c>
      <c r="G400" s="8">
        <v>41995</v>
      </c>
      <c r="Y400" s="8"/>
    </row>
    <row r="401" spans="1:25" x14ac:dyDescent="0.25">
      <c r="A401" t="str">
        <f>"14-0758"</f>
        <v>14-0758</v>
      </c>
      <c r="D401" s="8">
        <v>41995</v>
      </c>
      <c r="F401" s="8">
        <v>41995</v>
      </c>
      <c r="G401" s="8">
        <v>41995</v>
      </c>
      <c r="Y401" s="8"/>
    </row>
    <row r="402" spans="1:25" x14ac:dyDescent="0.25">
      <c r="A402" t="str">
        <f>"14-0759"</f>
        <v>14-0759</v>
      </c>
      <c r="D402" s="8">
        <v>41995</v>
      </c>
      <c r="F402" s="8">
        <v>41995</v>
      </c>
      <c r="G402" s="8">
        <v>41995</v>
      </c>
      <c r="Y402" s="8"/>
    </row>
    <row r="403" spans="1:25" x14ac:dyDescent="0.25">
      <c r="A403" t="str">
        <f>"14-0760"</f>
        <v>14-0760</v>
      </c>
      <c r="D403" s="8">
        <v>41995</v>
      </c>
      <c r="F403" s="8">
        <v>41995</v>
      </c>
      <c r="G403" s="8">
        <v>41995</v>
      </c>
      <c r="Y403" s="8"/>
    </row>
    <row r="404" spans="1:25" x14ac:dyDescent="0.25">
      <c r="A404" t="str">
        <f>"14-0761"</f>
        <v>14-0761</v>
      </c>
      <c r="D404" s="8">
        <v>41995</v>
      </c>
      <c r="F404" s="8">
        <v>41995</v>
      </c>
      <c r="G404" s="8">
        <v>41995</v>
      </c>
      <c r="Y404" s="8"/>
    </row>
    <row r="405" spans="1:25" x14ac:dyDescent="0.25">
      <c r="A405" t="str">
        <f>"14-0762"</f>
        <v>14-0762</v>
      </c>
      <c r="D405" s="8">
        <v>41995</v>
      </c>
      <c r="F405" s="8">
        <v>41995</v>
      </c>
      <c r="G405" s="8">
        <v>41995</v>
      </c>
      <c r="Y405" s="8"/>
    </row>
    <row r="406" spans="1:25" x14ac:dyDescent="0.25">
      <c r="A406" t="str">
        <f>"14-0763"</f>
        <v>14-0763</v>
      </c>
      <c r="D406" s="8">
        <v>41995</v>
      </c>
      <c r="F406" s="8">
        <v>41995</v>
      </c>
      <c r="G406" s="8">
        <v>41995</v>
      </c>
      <c r="Y406" s="8"/>
    </row>
    <row r="407" spans="1:25" x14ac:dyDescent="0.25">
      <c r="A407" t="str">
        <f>"14-0764"</f>
        <v>14-0764</v>
      </c>
      <c r="D407" s="8">
        <v>41995</v>
      </c>
      <c r="F407" s="8">
        <v>41995</v>
      </c>
      <c r="G407" s="8">
        <v>41995</v>
      </c>
      <c r="Y407" s="8"/>
    </row>
    <row r="408" spans="1:25" x14ac:dyDescent="0.25">
      <c r="A408" t="str">
        <f>"14-0765"</f>
        <v>14-0765</v>
      </c>
      <c r="D408" s="8">
        <v>41995</v>
      </c>
      <c r="F408" s="8">
        <v>41995</v>
      </c>
      <c r="G408" s="8">
        <v>41995</v>
      </c>
      <c r="Y408" s="8"/>
    </row>
    <row r="409" spans="1:25" x14ac:dyDescent="0.25">
      <c r="A409" t="str">
        <f>"14-0753"</f>
        <v>14-0753</v>
      </c>
      <c r="D409" s="8">
        <v>41992</v>
      </c>
      <c r="F409" s="8">
        <v>41992</v>
      </c>
      <c r="G409" s="8">
        <v>41992</v>
      </c>
      <c r="Y409" s="8"/>
    </row>
    <row r="410" spans="1:25" x14ac:dyDescent="0.25">
      <c r="A410" t="str">
        <f>"14-0754"</f>
        <v>14-0754</v>
      </c>
      <c r="D410" s="8">
        <v>41992</v>
      </c>
      <c r="F410" s="8">
        <v>41992</v>
      </c>
      <c r="G410" s="8">
        <v>41992</v>
      </c>
      <c r="Y410" s="8"/>
    </row>
    <row r="411" spans="1:25" x14ac:dyDescent="0.25">
      <c r="A411" t="str">
        <f>"14-0745"</f>
        <v>14-0745</v>
      </c>
      <c r="D411" s="8">
        <v>41991</v>
      </c>
      <c r="F411" s="8">
        <v>41991</v>
      </c>
      <c r="G411" s="8">
        <v>41991</v>
      </c>
      <c r="Y411" s="8"/>
    </row>
    <row r="412" spans="1:25" x14ac:dyDescent="0.25">
      <c r="A412" t="str">
        <f>"14-0746"</f>
        <v>14-0746</v>
      </c>
      <c r="D412" s="8">
        <v>41991</v>
      </c>
      <c r="F412" s="8">
        <v>41991</v>
      </c>
      <c r="G412" s="8">
        <v>41991</v>
      </c>
      <c r="Y412" s="8"/>
    </row>
    <row r="413" spans="1:25" x14ac:dyDescent="0.25">
      <c r="A413" t="str">
        <f>"14-0747"</f>
        <v>14-0747</v>
      </c>
      <c r="D413" s="8">
        <v>41991</v>
      </c>
      <c r="F413" s="8">
        <v>41991</v>
      </c>
      <c r="G413" s="8">
        <v>41991</v>
      </c>
      <c r="Y413" s="8"/>
    </row>
    <row r="414" spans="1:25" x14ac:dyDescent="0.25">
      <c r="A414" t="str">
        <f>"14-0748"</f>
        <v>14-0748</v>
      </c>
      <c r="D414" s="8">
        <v>41991</v>
      </c>
      <c r="F414" s="8">
        <v>41991</v>
      </c>
      <c r="G414" s="8">
        <v>41991</v>
      </c>
      <c r="Y414" s="8"/>
    </row>
    <row r="415" spans="1:25" x14ac:dyDescent="0.25">
      <c r="A415" t="str">
        <f>"14-0749"</f>
        <v>14-0749</v>
      </c>
      <c r="D415" s="8">
        <v>41991</v>
      </c>
      <c r="F415" s="8">
        <v>41991</v>
      </c>
      <c r="G415" s="8">
        <v>41991</v>
      </c>
      <c r="Y415" s="8"/>
    </row>
    <row r="416" spans="1:25" x14ac:dyDescent="0.25">
      <c r="A416" t="str">
        <f>"14-0750"</f>
        <v>14-0750</v>
      </c>
      <c r="D416" s="8">
        <v>41991</v>
      </c>
      <c r="F416" s="8">
        <v>41995</v>
      </c>
      <c r="G416" s="8">
        <v>41995</v>
      </c>
      <c r="Y416" s="8"/>
    </row>
    <row r="417" spans="1:25" x14ac:dyDescent="0.25">
      <c r="A417" t="str">
        <f>"14-0751"</f>
        <v>14-0751</v>
      </c>
      <c r="D417" s="8">
        <v>41991</v>
      </c>
      <c r="F417" s="8">
        <v>41991</v>
      </c>
      <c r="G417" s="8">
        <v>41991</v>
      </c>
      <c r="Y417" s="8"/>
    </row>
    <row r="418" spans="1:25" x14ac:dyDescent="0.25">
      <c r="A418" t="str">
        <f>"14-0752"</f>
        <v>14-0752</v>
      </c>
      <c r="D418" s="8">
        <v>41991</v>
      </c>
      <c r="F418" s="8">
        <v>41992</v>
      </c>
      <c r="G418" s="8">
        <v>41991</v>
      </c>
      <c r="Y418" s="8"/>
    </row>
    <row r="419" spans="1:25" x14ac:dyDescent="0.25">
      <c r="A419" t="str">
        <f>"14-0732C"</f>
        <v>14-0732C</v>
      </c>
      <c r="D419" s="8">
        <v>41990</v>
      </c>
      <c r="F419" s="8">
        <v>41991</v>
      </c>
      <c r="G419" s="8">
        <v>41990</v>
      </c>
      <c r="Y419" s="8"/>
    </row>
    <row r="420" spans="1:25" x14ac:dyDescent="0.25">
      <c r="A420" t="str">
        <f>"14-0743"</f>
        <v>14-0743</v>
      </c>
      <c r="D420" s="8">
        <v>41990</v>
      </c>
      <c r="F420" s="8">
        <v>42009</v>
      </c>
      <c r="G420" s="8">
        <v>41990</v>
      </c>
      <c r="Y420" s="8"/>
    </row>
    <row r="421" spans="1:25" x14ac:dyDescent="0.25">
      <c r="A421" t="str">
        <f>"14-0744"</f>
        <v>14-0744</v>
      </c>
      <c r="D421" s="8">
        <v>41990</v>
      </c>
      <c r="F421" s="8">
        <v>41990</v>
      </c>
      <c r="G421" s="8">
        <v>41990</v>
      </c>
      <c r="Y421" s="8"/>
    </row>
    <row r="422" spans="1:25" x14ac:dyDescent="0.25">
      <c r="A422" t="str">
        <f>"14-0706B"</f>
        <v>14-0706B</v>
      </c>
      <c r="D422" s="8">
        <v>41989</v>
      </c>
      <c r="F422" s="8">
        <v>41989</v>
      </c>
      <c r="G422" s="8">
        <v>41989</v>
      </c>
      <c r="Y422" s="8"/>
    </row>
    <row r="423" spans="1:25" x14ac:dyDescent="0.25">
      <c r="A423" t="str">
        <f>"14-0732B"</f>
        <v>14-0732B</v>
      </c>
      <c r="D423" s="8">
        <v>41989</v>
      </c>
      <c r="F423" s="8">
        <v>41989</v>
      </c>
      <c r="G423" s="8">
        <v>41989</v>
      </c>
      <c r="Y423" s="8"/>
    </row>
    <row r="424" spans="1:25" x14ac:dyDescent="0.25">
      <c r="A424" t="str">
        <f>"14-0741"</f>
        <v>14-0741</v>
      </c>
      <c r="D424" s="8">
        <v>41989</v>
      </c>
      <c r="F424" s="8">
        <v>41989</v>
      </c>
      <c r="G424" s="8">
        <v>41989</v>
      </c>
      <c r="Y424" s="8"/>
    </row>
    <row r="425" spans="1:25" x14ac:dyDescent="0.25">
      <c r="A425" t="str">
        <f>"14-0742"</f>
        <v>14-0742</v>
      </c>
      <c r="D425" s="8">
        <v>41989</v>
      </c>
      <c r="F425" s="8">
        <v>41989</v>
      </c>
      <c r="G425" s="8">
        <v>41989</v>
      </c>
      <c r="Y425" s="8"/>
    </row>
    <row r="426" spans="1:25" x14ac:dyDescent="0.25">
      <c r="A426" t="str">
        <f>"14-0736"</f>
        <v>14-0736</v>
      </c>
      <c r="D426" s="8">
        <v>41988</v>
      </c>
      <c r="F426" s="8">
        <v>41988</v>
      </c>
      <c r="G426" s="8">
        <v>41988</v>
      </c>
      <c r="Y426" s="8"/>
    </row>
    <row r="427" spans="1:25" x14ac:dyDescent="0.25">
      <c r="A427" t="str">
        <f>"14-0737"</f>
        <v>14-0737</v>
      </c>
      <c r="D427" s="8">
        <v>41988</v>
      </c>
      <c r="F427" s="8">
        <v>41988</v>
      </c>
      <c r="G427" s="8">
        <v>41988</v>
      </c>
      <c r="Y427" s="8"/>
    </row>
    <row r="428" spans="1:25" x14ac:dyDescent="0.25">
      <c r="A428" t="str">
        <f>"14-0738"</f>
        <v>14-0738</v>
      </c>
      <c r="D428" s="8">
        <v>41988</v>
      </c>
      <c r="F428" s="8">
        <v>41988</v>
      </c>
      <c r="G428" s="8">
        <v>41988</v>
      </c>
      <c r="Y428" s="8"/>
    </row>
    <row r="429" spans="1:25" x14ac:dyDescent="0.25">
      <c r="A429" t="str">
        <f>"14-0739"</f>
        <v>14-0739</v>
      </c>
      <c r="D429" s="8">
        <v>41988</v>
      </c>
      <c r="F429" s="8">
        <v>41988</v>
      </c>
      <c r="G429" s="8">
        <v>41988</v>
      </c>
      <c r="Y429" s="8"/>
    </row>
    <row r="430" spans="1:25" x14ac:dyDescent="0.25">
      <c r="A430" t="str">
        <f>"14-0740"</f>
        <v>14-0740</v>
      </c>
      <c r="D430" s="8">
        <v>41988</v>
      </c>
      <c r="F430" s="8">
        <v>41988</v>
      </c>
      <c r="G430" s="8">
        <v>41988</v>
      </c>
      <c r="Y430" s="8"/>
    </row>
    <row r="431" spans="1:25" x14ac:dyDescent="0.25">
      <c r="A431" t="str">
        <f>"14-0731B"</f>
        <v>14-0731B</v>
      </c>
      <c r="D431" s="8">
        <v>41985</v>
      </c>
      <c r="F431" s="8">
        <v>42016</v>
      </c>
      <c r="G431" s="8">
        <v>41985</v>
      </c>
      <c r="Y431" s="8"/>
    </row>
    <row r="432" spans="1:25" x14ac:dyDescent="0.25">
      <c r="A432" t="str">
        <f>"14-0732"</f>
        <v>14-0732</v>
      </c>
      <c r="D432" s="8">
        <v>41985</v>
      </c>
      <c r="F432" s="8">
        <v>41985</v>
      </c>
      <c r="G432" s="8">
        <v>41985</v>
      </c>
      <c r="Y432" s="8"/>
    </row>
    <row r="433" spans="1:25" x14ac:dyDescent="0.25">
      <c r="A433" t="str">
        <f>"14-0733"</f>
        <v>14-0733</v>
      </c>
      <c r="D433" s="8">
        <v>41985</v>
      </c>
      <c r="F433" s="8">
        <v>41985</v>
      </c>
      <c r="G433" s="8">
        <v>41985</v>
      </c>
      <c r="Y433" s="8"/>
    </row>
    <row r="434" spans="1:25" x14ac:dyDescent="0.25">
      <c r="A434" t="str">
        <f>"14-0734"</f>
        <v>14-0734</v>
      </c>
      <c r="D434" s="8">
        <v>41985</v>
      </c>
      <c r="F434" s="8">
        <v>41985</v>
      </c>
      <c r="G434" s="8">
        <v>41985</v>
      </c>
      <c r="Y434" s="8"/>
    </row>
    <row r="435" spans="1:25" x14ac:dyDescent="0.25">
      <c r="A435" t="str">
        <f>"14-0735"</f>
        <v>14-0735</v>
      </c>
      <c r="D435" s="8">
        <v>41985</v>
      </c>
      <c r="F435" s="8">
        <v>41989</v>
      </c>
      <c r="G435" s="8">
        <v>41990</v>
      </c>
      <c r="Y435" s="8"/>
    </row>
    <row r="436" spans="1:25" x14ac:dyDescent="0.25">
      <c r="A436" t="str">
        <f>"14-0731"</f>
        <v>14-0731</v>
      </c>
      <c r="D436" s="8">
        <v>41984</v>
      </c>
      <c r="F436" s="8">
        <v>41984</v>
      </c>
      <c r="G436" s="8">
        <v>41984</v>
      </c>
      <c r="Y436" s="8"/>
    </row>
    <row r="437" spans="1:25" x14ac:dyDescent="0.25">
      <c r="A437" t="str">
        <f>"14-0729"</f>
        <v>14-0729</v>
      </c>
      <c r="D437" s="8">
        <v>41983</v>
      </c>
      <c r="F437" s="8">
        <v>41983</v>
      </c>
      <c r="G437" s="8">
        <v>41983</v>
      </c>
      <c r="Y437" s="8"/>
    </row>
    <row r="438" spans="1:25" x14ac:dyDescent="0.25">
      <c r="A438" t="str">
        <f>"14-0730"</f>
        <v>14-0730</v>
      </c>
      <c r="D438" s="8">
        <v>41983</v>
      </c>
      <c r="F438" s="8">
        <v>41983</v>
      </c>
      <c r="G438" s="8">
        <v>41983</v>
      </c>
      <c r="Y438" s="8"/>
    </row>
    <row r="439" spans="1:25" x14ac:dyDescent="0.25">
      <c r="A439" t="str">
        <f>"14-0724"</f>
        <v>14-0724</v>
      </c>
      <c r="D439" s="8">
        <v>41982</v>
      </c>
      <c r="F439" s="8">
        <v>41982</v>
      </c>
      <c r="G439" s="8">
        <v>41982</v>
      </c>
      <c r="Y439" s="8"/>
    </row>
    <row r="440" spans="1:25" x14ac:dyDescent="0.25">
      <c r="A440" t="str">
        <f>"14-0725"</f>
        <v>14-0725</v>
      </c>
      <c r="D440" s="8">
        <v>41982</v>
      </c>
      <c r="F440" s="8">
        <v>41982</v>
      </c>
      <c r="G440" s="8">
        <v>41982</v>
      </c>
      <c r="Y440" s="8"/>
    </row>
    <row r="441" spans="1:25" x14ac:dyDescent="0.25">
      <c r="A441" t="str">
        <f>"14-0726"</f>
        <v>14-0726</v>
      </c>
      <c r="D441" s="8">
        <v>41982</v>
      </c>
      <c r="F441" s="8">
        <v>41982</v>
      </c>
      <c r="G441" s="8">
        <v>41982</v>
      </c>
      <c r="Y441" s="8"/>
    </row>
    <row r="442" spans="1:25" x14ac:dyDescent="0.25">
      <c r="A442" t="str">
        <f>"14-0727"</f>
        <v>14-0727</v>
      </c>
      <c r="D442" s="8">
        <v>41982</v>
      </c>
      <c r="F442" s="8">
        <v>41982</v>
      </c>
      <c r="G442" s="8">
        <v>41982</v>
      </c>
      <c r="Y442" s="8"/>
    </row>
    <row r="443" spans="1:25" x14ac:dyDescent="0.25">
      <c r="A443" t="str">
        <f>"14-0728"</f>
        <v>14-0728</v>
      </c>
      <c r="D443" s="8">
        <v>41982</v>
      </c>
      <c r="F443" s="8">
        <v>41982</v>
      </c>
      <c r="G443" s="8">
        <v>41982</v>
      </c>
      <c r="Y443" s="8"/>
    </row>
    <row r="444" spans="1:25" x14ac:dyDescent="0.25">
      <c r="A444" t="str">
        <f>"14-0623B"</f>
        <v>14-0623B</v>
      </c>
      <c r="D444" s="8">
        <v>41981</v>
      </c>
      <c r="F444" s="8">
        <v>41985</v>
      </c>
      <c r="G444" s="8">
        <v>41981</v>
      </c>
      <c r="Y444" s="8"/>
    </row>
    <row r="445" spans="1:25" x14ac:dyDescent="0.25">
      <c r="A445" t="str">
        <f>"14-0719"</f>
        <v>14-0719</v>
      </c>
      <c r="D445" s="8">
        <v>41981</v>
      </c>
      <c r="F445" s="8">
        <v>41981</v>
      </c>
      <c r="G445" s="8">
        <v>41981</v>
      </c>
      <c r="Y445" s="8"/>
    </row>
    <row r="446" spans="1:25" x14ac:dyDescent="0.25">
      <c r="A446" t="str">
        <f>"14-0720"</f>
        <v>14-0720</v>
      </c>
      <c r="D446" s="8">
        <v>41981</v>
      </c>
      <c r="F446" s="8">
        <v>41981</v>
      </c>
      <c r="G446" s="8">
        <v>41981</v>
      </c>
      <c r="Y446" s="8"/>
    </row>
    <row r="447" spans="1:25" x14ac:dyDescent="0.25">
      <c r="A447" t="str">
        <f>"14-0721"</f>
        <v>14-0721</v>
      </c>
      <c r="D447" s="8">
        <v>41981</v>
      </c>
      <c r="F447" s="8">
        <v>41981</v>
      </c>
      <c r="G447" s="8">
        <v>41981</v>
      </c>
      <c r="Y447" s="8"/>
    </row>
    <row r="448" spans="1:25" x14ac:dyDescent="0.25">
      <c r="A448" t="str">
        <f>"14-0722"</f>
        <v>14-0722</v>
      </c>
      <c r="D448" s="8">
        <v>41981</v>
      </c>
      <c r="F448" s="8">
        <v>41981</v>
      </c>
      <c r="G448" s="8">
        <v>41981</v>
      </c>
      <c r="Y448" s="8"/>
    </row>
    <row r="449" spans="1:25" x14ac:dyDescent="0.25">
      <c r="A449" t="str">
        <f>"14-0723"</f>
        <v>14-0723</v>
      </c>
      <c r="D449" s="8">
        <v>41981</v>
      </c>
      <c r="F449" s="8">
        <v>41981</v>
      </c>
      <c r="G449" s="8">
        <v>41981</v>
      </c>
      <c r="Y449" s="8"/>
    </row>
    <row r="450" spans="1:25" x14ac:dyDescent="0.25">
      <c r="A450" t="str">
        <f>"14-0716"</f>
        <v>14-0716</v>
      </c>
      <c r="D450" s="8">
        <v>41978</v>
      </c>
      <c r="F450" s="8">
        <v>41978</v>
      </c>
      <c r="G450" s="8">
        <v>41978</v>
      </c>
      <c r="Y450" s="8"/>
    </row>
    <row r="451" spans="1:25" x14ac:dyDescent="0.25">
      <c r="A451" t="str">
        <f>"14-0717"</f>
        <v>14-0717</v>
      </c>
      <c r="D451" s="8">
        <v>41978</v>
      </c>
      <c r="F451" s="8">
        <v>41978</v>
      </c>
      <c r="G451" s="8">
        <v>41978</v>
      </c>
      <c r="Y451" s="8"/>
    </row>
    <row r="452" spans="1:25" x14ac:dyDescent="0.25">
      <c r="A452" t="str">
        <f>"14-0718"</f>
        <v>14-0718</v>
      </c>
      <c r="D452" s="8">
        <v>41978</v>
      </c>
      <c r="F452" s="8">
        <v>41978</v>
      </c>
      <c r="G452" s="8">
        <v>41978</v>
      </c>
      <c r="Y452" s="8"/>
    </row>
    <row r="453" spans="1:25" x14ac:dyDescent="0.25">
      <c r="A453" t="str">
        <f>"14-0708B"</f>
        <v>14-0708B</v>
      </c>
      <c r="D453" s="8">
        <v>41976</v>
      </c>
      <c r="F453" s="8">
        <v>41976</v>
      </c>
      <c r="G453" s="8">
        <v>41976</v>
      </c>
      <c r="Y453" s="8"/>
    </row>
    <row r="454" spans="1:25" x14ac:dyDescent="0.25">
      <c r="A454" t="str">
        <f>"14-0712"</f>
        <v>14-0712</v>
      </c>
      <c r="D454" s="8">
        <v>41976</v>
      </c>
      <c r="F454" s="8">
        <v>41977</v>
      </c>
      <c r="G454" s="8">
        <v>41976</v>
      </c>
      <c r="Y454" s="8"/>
    </row>
    <row r="455" spans="1:25" x14ac:dyDescent="0.25">
      <c r="A455" t="str">
        <f>"14-0713"</f>
        <v>14-0713</v>
      </c>
      <c r="D455" s="8">
        <v>41976</v>
      </c>
      <c r="F455" s="8">
        <v>41976</v>
      </c>
      <c r="G455" s="8">
        <v>41967</v>
      </c>
      <c r="Y455" s="8"/>
    </row>
    <row r="456" spans="1:25" x14ac:dyDescent="0.25">
      <c r="A456" t="str">
        <f>"14-0714"</f>
        <v>14-0714</v>
      </c>
      <c r="D456" s="8">
        <v>41976</v>
      </c>
      <c r="F456" s="8">
        <v>41976</v>
      </c>
      <c r="G456" s="8">
        <v>41978</v>
      </c>
      <c r="Y456" s="8"/>
    </row>
    <row r="457" spans="1:25" x14ac:dyDescent="0.25">
      <c r="A457" t="str">
        <f>"14-0715"</f>
        <v>14-0715</v>
      </c>
      <c r="D457" s="8">
        <v>41976</v>
      </c>
      <c r="F457" s="8">
        <v>41982</v>
      </c>
      <c r="G457" s="8">
        <v>41976</v>
      </c>
      <c r="Y457" s="8"/>
    </row>
    <row r="458" spans="1:25" x14ac:dyDescent="0.25">
      <c r="A458" t="str">
        <f>"14-0689B"</f>
        <v>14-0689B</v>
      </c>
      <c r="D458" s="8">
        <v>41975</v>
      </c>
      <c r="F458" s="8">
        <v>41975</v>
      </c>
      <c r="G458" s="8">
        <v>41975</v>
      </c>
      <c r="Y458" s="8"/>
    </row>
    <row r="459" spans="1:25" x14ac:dyDescent="0.25">
      <c r="A459" t="str">
        <f>"14-0707B"</f>
        <v>14-0707B</v>
      </c>
      <c r="D459" s="8">
        <v>41975</v>
      </c>
      <c r="F459" s="8">
        <v>41975</v>
      </c>
      <c r="G459" s="8">
        <v>41975</v>
      </c>
      <c r="Y459" s="8"/>
    </row>
    <row r="460" spans="1:25" x14ac:dyDescent="0.25">
      <c r="A460" t="str">
        <f>"14-0708"</f>
        <v>14-0708</v>
      </c>
      <c r="D460" s="8">
        <v>41975</v>
      </c>
      <c r="F460" s="8">
        <v>41975</v>
      </c>
      <c r="G460" s="8">
        <v>41975</v>
      </c>
      <c r="Y460" s="8"/>
    </row>
    <row r="461" spans="1:25" x14ac:dyDescent="0.25">
      <c r="A461" t="str">
        <f>"14-0709"</f>
        <v>14-0709</v>
      </c>
      <c r="D461" s="8">
        <v>41975</v>
      </c>
      <c r="F461" s="8">
        <v>41975</v>
      </c>
      <c r="G461" s="8">
        <v>41975</v>
      </c>
      <c r="Y461" s="8"/>
    </row>
    <row r="462" spans="1:25" x14ac:dyDescent="0.25">
      <c r="A462" t="str">
        <f>"14-0710"</f>
        <v>14-0710</v>
      </c>
      <c r="D462" s="8">
        <v>41975</v>
      </c>
      <c r="F462" s="8">
        <v>41975</v>
      </c>
      <c r="G462" s="8">
        <v>41975</v>
      </c>
      <c r="Y462" s="8"/>
    </row>
    <row r="463" spans="1:25" x14ac:dyDescent="0.25">
      <c r="A463" t="str">
        <f>"14-0711"</f>
        <v>14-0711</v>
      </c>
      <c r="D463" s="8">
        <v>41975</v>
      </c>
      <c r="F463" s="8">
        <v>41982</v>
      </c>
      <c r="G463" s="8">
        <v>41975</v>
      </c>
      <c r="Y463" s="8"/>
    </row>
    <row r="464" spans="1:25" x14ac:dyDescent="0.25">
      <c r="A464" t="str">
        <f>"14-0702B"</f>
        <v>14-0702B</v>
      </c>
      <c r="D464" s="8">
        <v>41974</v>
      </c>
      <c r="F464" s="8">
        <v>41974</v>
      </c>
      <c r="G464" s="8">
        <v>41974</v>
      </c>
      <c r="Y464" s="8"/>
    </row>
    <row r="465" spans="1:25" x14ac:dyDescent="0.25">
      <c r="A465" t="str">
        <f>"14-0703"</f>
        <v>14-0703</v>
      </c>
      <c r="D465" s="8">
        <v>41974</v>
      </c>
      <c r="F465" s="8">
        <v>41974</v>
      </c>
      <c r="G465" s="8">
        <v>41974</v>
      </c>
      <c r="Y465" s="8"/>
    </row>
    <row r="466" spans="1:25" x14ac:dyDescent="0.25">
      <c r="A466" t="str">
        <f>"14-0704"</f>
        <v>14-0704</v>
      </c>
      <c r="D466" s="8">
        <v>41974</v>
      </c>
      <c r="F466" s="8">
        <v>41974</v>
      </c>
      <c r="G466" s="8">
        <v>41974</v>
      </c>
      <c r="Y466" s="8"/>
    </row>
    <row r="467" spans="1:25" x14ac:dyDescent="0.25">
      <c r="A467" t="str">
        <f>"14-0705"</f>
        <v>14-0705</v>
      </c>
      <c r="D467" s="8">
        <v>41974</v>
      </c>
      <c r="F467" s="8">
        <v>41974</v>
      </c>
      <c r="G467" s="8">
        <v>41974</v>
      </c>
      <c r="Y467" s="8"/>
    </row>
    <row r="468" spans="1:25" x14ac:dyDescent="0.25">
      <c r="A468" t="str">
        <f>"14-0706"</f>
        <v>14-0706</v>
      </c>
      <c r="D468" s="8">
        <v>41974</v>
      </c>
      <c r="F468" s="8">
        <v>41974</v>
      </c>
      <c r="G468" s="8">
        <v>41974</v>
      </c>
      <c r="Y468" s="8"/>
    </row>
    <row r="469" spans="1:25" x14ac:dyDescent="0.25">
      <c r="A469" t="str">
        <f>"14-0707"</f>
        <v>14-0707</v>
      </c>
      <c r="D469" s="8">
        <v>41974</v>
      </c>
      <c r="F469" s="8">
        <v>41974</v>
      </c>
      <c r="G469" s="8">
        <v>41974</v>
      </c>
      <c r="Y469" s="8"/>
    </row>
    <row r="470" spans="1:25" x14ac:dyDescent="0.25">
      <c r="A470" t="str">
        <f>"14-0699"</f>
        <v>14-0699</v>
      </c>
      <c r="D470" s="8">
        <v>41971</v>
      </c>
      <c r="F470" s="8">
        <v>41971</v>
      </c>
      <c r="G470" s="8">
        <v>41971</v>
      </c>
      <c r="Y470" s="8"/>
    </row>
    <row r="471" spans="1:25" x14ac:dyDescent="0.25">
      <c r="A471" t="str">
        <f>"14-0700"</f>
        <v>14-0700</v>
      </c>
      <c r="D471" s="8">
        <v>41971</v>
      </c>
      <c r="F471" s="8">
        <v>41983</v>
      </c>
      <c r="G471" s="8">
        <v>41971</v>
      </c>
      <c r="Y471" s="8"/>
    </row>
    <row r="472" spans="1:25" x14ac:dyDescent="0.25">
      <c r="A472" t="str">
        <f>"14-0701"</f>
        <v>14-0701</v>
      </c>
      <c r="D472" s="8">
        <v>41971</v>
      </c>
      <c r="F472" s="8">
        <v>41971</v>
      </c>
      <c r="G472" s="8">
        <v>41971</v>
      </c>
      <c r="Y472" s="8"/>
    </row>
    <row r="473" spans="1:25" x14ac:dyDescent="0.25">
      <c r="A473" t="str">
        <f>"14-0702"</f>
        <v>14-0702</v>
      </c>
      <c r="D473" s="8">
        <v>41971</v>
      </c>
      <c r="F473" s="8">
        <v>41971</v>
      </c>
      <c r="G473" s="8">
        <v>41971</v>
      </c>
      <c r="Y473" s="8"/>
    </row>
    <row r="474" spans="1:25" x14ac:dyDescent="0.25">
      <c r="A474" t="str">
        <f>"14-0675B"</f>
        <v>14-0675B</v>
      </c>
      <c r="D474" s="8">
        <v>41970</v>
      </c>
      <c r="F474" s="8">
        <v>41970</v>
      </c>
      <c r="G474" s="8">
        <v>41970</v>
      </c>
      <c r="Y474" s="8"/>
    </row>
    <row r="475" spans="1:25" x14ac:dyDescent="0.25">
      <c r="A475" t="str">
        <f>"14-0692"</f>
        <v>14-0692</v>
      </c>
      <c r="D475" s="8">
        <v>41970</v>
      </c>
      <c r="F475" s="8">
        <v>41970</v>
      </c>
      <c r="G475" s="8">
        <v>41970</v>
      </c>
      <c r="Y475" s="8"/>
    </row>
    <row r="476" spans="1:25" x14ac:dyDescent="0.25">
      <c r="A476" t="str">
        <f>"14-0693"</f>
        <v>14-0693</v>
      </c>
      <c r="D476" s="8">
        <v>41970</v>
      </c>
      <c r="F476" s="8">
        <v>41970</v>
      </c>
      <c r="G476" s="8">
        <v>41970</v>
      </c>
      <c r="Y476" s="8"/>
    </row>
    <row r="477" spans="1:25" x14ac:dyDescent="0.25">
      <c r="A477" t="str">
        <f>"14-0694"</f>
        <v>14-0694</v>
      </c>
      <c r="D477" s="8">
        <v>41970</v>
      </c>
      <c r="F477" s="8">
        <v>41970</v>
      </c>
      <c r="G477" s="8">
        <v>41970</v>
      </c>
      <c r="Y477" s="8"/>
    </row>
    <row r="478" spans="1:25" x14ac:dyDescent="0.25">
      <c r="A478" t="str">
        <f>"14-0695"</f>
        <v>14-0695</v>
      </c>
      <c r="D478" s="8">
        <v>41970</v>
      </c>
      <c r="F478" s="8">
        <v>41970</v>
      </c>
      <c r="G478" s="8">
        <v>41970</v>
      </c>
      <c r="Y478" s="8"/>
    </row>
    <row r="479" spans="1:25" x14ac:dyDescent="0.25">
      <c r="A479" t="str">
        <f>"14-0696"</f>
        <v>14-0696</v>
      </c>
      <c r="D479" s="8">
        <v>41970</v>
      </c>
      <c r="F479" s="8">
        <v>41970</v>
      </c>
      <c r="G479" s="8">
        <v>41970</v>
      </c>
      <c r="Y479" s="8"/>
    </row>
    <row r="480" spans="1:25" x14ac:dyDescent="0.25">
      <c r="A480" t="str">
        <f>"14-0697"</f>
        <v>14-0697</v>
      </c>
      <c r="D480" s="8">
        <v>41970</v>
      </c>
      <c r="F480" s="8">
        <v>41970</v>
      </c>
      <c r="G480" s="8">
        <v>41970</v>
      </c>
      <c r="Y480" s="8"/>
    </row>
    <row r="481" spans="1:25" x14ac:dyDescent="0.25">
      <c r="A481" t="str">
        <f>"14-0698"</f>
        <v>14-0698</v>
      </c>
      <c r="D481" s="8">
        <v>41970</v>
      </c>
      <c r="F481" s="8">
        <v>41970</v>
      </c>
      <c r="G481" s="8">
        <v>41970</v>
      </c>
      <c r="Y481" s="8"/>
    </row>
    <row r="482" spans="1:25" x14ac:dyDescent="0.25">
      <c r="A482" t="str">
        <f>"14-0689"</f>
        <v>14-0689</v>
      </c>
      <c r="D482" s="8">
        <v>41969</v>
      </c>
      <c r="F482" s="8">
        <v>41969</v>
      </c>
      <c r="G482" s="8">
        <v>41969</v>
      </c>
      <c r="Y482" s="8"/>
    </row>
    <row r="483" spans="1:25" x14ac:dyDescent="0.25">
      <c r="A483" t="str">
        <f>"14-0690"</f>
        <v>14-0690</v>
      </c>
      <c r="D483" s="8">
        <v>41969</v>
      </c>
      <c r="F483" s="8">
        <v>41969</v>
      </c>
      <c r="G483" s="8">
        <v>41969</v>
      </c>
      <c r="Y483" s="8"/>
    </row>
    <row r="484" spans="1:25" x14ac:dyDescent="0.25">
      <c r="A484" t="str">
        <f>"14-0691"</f>
        <v>14-0691</v>
      </c>
      <c r="D484" s="8">
        <v>41969</v>
      </c>
      <c r="F484" s="8">
        <v>41969</v>
      </c>
      <c r="G484" s="8">
        <v>41969</v>
      </c>
      <c r="Y484" s="8"/>
    </row>
    <row r="485" spans="1:25" x14ac:dyDescent="0.25">
      <c r="A485" t="str">
        <f>"14-0678B"</f>
        <v>14-0678B</v>
      </c>
      <c r="D485" s="8">
        <v>41968</v>
      </c>
      <c r="F485" s="8">
        <v>41968</v>
      </c>
      <c r="G485" s="8">
        <v>41968</v>
      </c>
      <c r="Y485" s="8"/>
    </row>
    <row r="486" spans="1:25" x14ac:dyDescent="0.25">
      <c r="A486" t="str">
        <f>"14-0686"</f>
        <v>14-0686</v>
      </c>
      <c r="D486" s="8">
        <v>41968</v>
      </c>
      <c r="F486" s="8">
        <v>41991</v>
      </c>
      <c r="G486" s="8">
        <v>41976</v>
      </c>
      <c r="Y486" s="8"/>
    </row>
    <row r="487" spans="1:25" x14ac:dyDescent="0.25">
      <c r="A487" t="str">
        <f>"14-0687"</f>
        <v>14-0687</v>
      </c>
      <c r="D487" s="8">
        <v>41968</v>
      </c>
      <c r="F487" s="8">
        <v>41968</v>
      </c>
      <c r="G487" s="8">
        <v>41968</v>
      </c>
      <c r="Y487" s="8"/>
    </row>
    <row r="488" spans="1:25" x14ac:dyDescent="0.25">
      <c r="A488" t="str">
        <f>"14-0688"</f>
        <v>14-0688</v>
      </c>
      <c r="D488" s="8">
        <v>41968</v>
      </c>
      <c r="F488" s="8">
        <v>41969</v>
      </c>
      <c r="G488" s="8">
        <v>41968</v>
      </c>
      <c r="Y488" s="8"/>
    </row>
    <row r="489" spans="1:25" x14ac:dyDescent="0.25">
      <c r="A489" t="str">
        <f>"14-0626B"</f>
        <v>14-0626B</v>
      </c>
      <c r="D489" s="8">
        <v>41967</v>
      </c>
      <c r="F489" s="8">
        <v>41967</v>
      </c>
      <c r="G489" s="8">
        <v>41967</v>
      </c>
      <c r="Y489" s="8"/>
    </row>
    <row r="490" spans="1:25" x14ac:dyDescent="0.25">
      <c r="A490" t="str">
        <f>"14-0680"</f>
        <v>14-0680</v>
      </c>
      <c r="D490" s="8">
        <v>41967</v>
      </c>
      <c r="F490" s="8">
        <v>41967</v>
      </c>
      <c r="G490" s="8">
        <v>41967</v>
      </c>
      <c r="Y490" s="8"/>
    </row>
    <row r="491" spans="1:25" x14ac:dyDescent="0.25">
      <c r="A491" t="str">
        <f>"14-0681"</f>
        <v>14-0681</v>
      </c>
      <c r="D491" s="8">
        <v>41967</v>
      </c>
      <c r="F491" s="8">
        <v>41967</v>
      </c>
      <c r="G491" s="8">
        <v>41967</v>
      </c>
      <c r="Y491" s="8"/>
    </row>
    <row r="492" spans="1:25" x14ac:dyDescent="0.25">
      <c r="A492" t="str">
        <f>"14-0682"</f>
        <v>14-0682</v>
      </c>
      <c r="D492" s="8">
        <v>41967</v>
      </c>
      <c r="F492" s="8">
        <v>41967</v>
      </c>
      <c r="G492" s="8">
        <v>41967</v>
      </c>
      <c r="Y492" s="8"/>
    </row>
    <row r="493" spans="1:25" x14ac:dyDescent="0.25">
      <c r="A493" t="str">
        <f>"14-0683"</f>
        <v>14-0683</v>
      </c>
      <c r="D493" s="8">
        <v>41967</v>
      </c>
      <c r="F493" s="8">
        <v>41967</v>
      </c>
      <c r="G493" s="8">
        <v>41967</v>
      </c>
      <c r="Y493" s="8"/>
    </row>
    <row r="494" spans="1:25" x14ac:dyDescent="0.25">
      <c r="A494" t="str">
        <f>"14-0684"</f>
        <v>14-0684</v>
      </c>
      <c r="D494" s="8">
        <v>41967</v>
      </c>
      <c r="F494" s="8">
        <v>41969</v>
      </c>
      <c r="G494" s="8">
        <v>41967</v>
      </c>
      <c r="Y494" s="8"/>
    </row>
    <row r="495" spans="1:25" x14ac:dyDescent="0.25">
      <c r="A495" t="str">
        <f>"14-0685"</f>
        <v>14-0685</v>
      </c>
      <c r="D495" s="8">
        <v>41967</v>
      </c>
      <c r="F495" s="8">
        <v>41967</v>
      </c>
      <c r="G495" s="8">
        <v>41967</v>
      </c>
      <c r="Y495" s="8"/>
    </row>
    <row r="496" spans="1:25" x14ac:dyDescent="0.25">
      <c r="A496" t="str">
        <f>"14-0679"</f>
        <v>14-0679</v>
      </c>
      <c r="D496" s="8">
        <v>41964</v>
      </c>
      <c r="F496" s="8">
        <v>41964</v>
      </c>
      <c r="G496" s="8">
        <v>41964</v>
      </c>
      <c r="Y496" s="8"/>
    </row>
    <row r="497" spans="1:25" x14ac:dyDescent="0.25">
      <c r="A497" t="str">
        <f>"14-0658B"</f>
        <v>14-0658B</v>
      </c>
      <c r="D497" s="8">
        <v>41963</v>
      </c>
      <c r="F497" s="8">
        <v>41963</v>
      </c>
      <c r="G497" s="8">
        <v>41963</v>
      </c>
      <c r="Y497" s="8"/>
    </row>
    <row r="498" spans="1:25" x14ac:dyDescent="0.25">
      <c r="A498" t="str">
        <f>"14-0678"</f>
        <v>14-0678</v>
      </c>
      <c r="D498" s="8">
        <v>41963</v>
      </c>
      <c r="F498" s="8">
        <v>41963</v>
      </c>
      <c r="G498" s="8">
        <v>41963</v>
      </c>
      <c r="Y498" s="8"/>
    </row>
    <row r="499" spans="1:25" x14ac:dyDescent="0.25">
      <c r="A499" t="str">
        <f>"14-0676"</f>
        <v>14-0676</v>
      </c>
      <c r="D499" s="8">
        <v>41962</v>
      </c>
      <c r="F499" s="8">
        <v>41962</v>
      </c>
      <c r="G499" s="8">
        <v>41962</v>
      </c>
      <c r="Y499" s="8"/>
    </row>
    <row r="500" spans="1:25" x14ac:dyDescent="0.25">
      <c r="A500" t="str">
        <f>"14-0677"</f>
        <v>14-0677</v>
      </c>
      <c r="D500" s="8">
        <v>41962</v>
      </c>
      <c r="F500" s="8">
        <v>41962</v>
      </c>
      <c r="G500" s="8">
        <v>41962</v>
      </c>
      <c r="Y500" s="8"/>
    </row>
    <row r="501" spans="1:25" x14ac:dyDescent="0.25">
      <c r="A501" t="str">
        <f>"14-0674"</f>
        <v>14-0674</v>
      </c>
      <c r="D501" s="8">
        <v>41961</v>
      </c>
      <c r="F501" s="8">
        <v>41981</v>
      </c>
      <c r="G501" s="8">
        <v>41961</v>
      </c>
      <c r="Y501" s="8"/>
    </row>
    <row r="502" spans="1:25" x14ac:dyDescent="0.25">
      <c r="A502" t="str">
        <f>"14-0675"</f>
        <v>14-0675</v>
      </c>
      <c r="D502" s="8">
        <v>41961</v>
      </c>
      <c r="F502" s="8">
        <v>41961</v>
      </c>
      <c r="G502" s="8">
        <v>41961</v>
      </c>
      <c r="Y502" s="8"/>
    </row>
    <row r="503" spans="1:25" x14ac:dyDescent="0.25">
      <c r="A503" t="str">
        <f>"14-0671"</f>
        <v>14-0671</v>
      </c>
      <c r="D503" s="8">
        <v>41960</v>
      </c>
      <c r="F503" s="8">
        <v>41960</v>
      </c>
      <c r="G503" s="8">
        <v>41960</v>
      </c>
      <c r="Y503" s="8"/>
    </row>
    <row r="504" spans="1:25" x14ac:dyDescent="0.25">
      <c r="A504" t="str">
        <f>"14-0672"</f>
        <v>14-0672</v>
      </c>
      <c r="D504" s="8">
        <v>41960</v>
      </c>
      <c r="F504" s="8">
        <v>41960</v>
      </c>
      <c r="G504" s="8">
        <v>41960</v>
      </c>
      <c r="Y504" s="8"/>
    </row>
    <row r="505" spans="1:25" x14ac:dyDescent="0.25">
      <c r="A505" t="str">
        <f>"14-0673"</f>
        <v>14-0673</v>
      </c>
      <c r="D505" s="8">
        <v>41960</v>
      </c>
      <c r="F505" s="8">
        <v>41960</v>
      </c>
      <c r="G505" s="8">
        <v>41960</v>
      </c>
      <c r="Y505" s="8"/>
    </row>
    <row r="506" spans="1:25" x14ac:dyDescent="0.25">
      <c r="A506" t="str">
        <f>"14-0664"</f>
        <v>14-0664</v>
      </c>
      <c r="D506" s="8">
        <v>41956</v>
      </c>
      <c r="F506" s="8">
        <v>41956</v>
      </c>
      <c r="G506" s="8">
        <v>41956</v>
      </c>
      <c r="Y506" s="8"/>
    </row>
    <row r="507" spans="1:25" x14ac:dyDescent="0.25">
      <c r="A507" t="str">
        <f>"14-0665"</f>
        <v>14-0665</v>
      </c>
      <c r="D507" s="8">
        <v>41956</v>
      </c>
      <c r="F507" s="8">
        <v>41956</v>
      </c>
      <c r="G507" s="8">
        <v>41956</v>
      </c>
      <c r="Y507" s="8"/>
    </row>
    <row r="508" spans="1:25" x14ac:dyDescent="0.25">
      <c r="A508" t="str">
        <f>"14-0666"</f>
        <v>14-0666</v>
      </c>
      <c r="D508" s="8">
        <v>41956</v>
      </c>
      <c r="F508" s="8">
        <v>41956</v>
      </c>
      <c r="G508" s="8">
        <v>41956</v>
      </c>
      <c r="Y508" s="8"/>
    </row>
    <row r="509" spans="1:25" x14ac:dyDescent="0.25">
      <c r="A509" t="str">
        <f>"14-0667"</f>
        <v>14-0667</v>
      </c>
      <c r="D509" s="8">
        <v>41956</v>
      </c>
      <c r="F509" s="8">
        <v>41956</v>
      </c>
      <c r="G509" s="8">
        <v>41956</v>
      </c>
      <c r="Y509" s="8"/>
    </row>
    <row r="510" spans="1:25" x14ac:dyDescent="0.25">
      <c r="A510" t="str">
        <f>"14-0668"</f>
        <v>14-0668</v>
      </c>
      <c r="D510" s="8">
        <v>41956</v>
      </c>
      <c r="F510" s="8">
        <v>41956</v>
      </c>
      <c r="G510" s="8">
        <v>41956</v>
      </c>
      <c r="Y510" s="8"/>
    </row>
    <row r="511" spans="1:25" x14ac:dyDescent="0.25">
      <c r="A511" t="str">
        <f>"14-0669"</f>
        <v>14-0669</v>
      </c>
      <c r="D511" s="8">
        <v>41956</v>
      </c>
      <c r="F511" s="8">
        <v>41956</v>
      </c>
      <c r="G511" s="8">
        <v>41956</v>
      </c>
      <c r="Y511" s="8"/>
    </row>
    <row r="512" spans="1:25" x14ac:dyDescent="0.25">
      <c r="A512" t="str">
        <f>"14-0670"</f>
        <v>14-0670</v>
      </c>
      <c r="D512" s="8">
        <v>41956</v>
      </c>
      <c r="F512" s="8">
        <v>41956</v>
      </c>
      <c r="G512" s="8">
        <v>41956</v>
      </c>
      <c r="Y512" s="8"/>
    </row>
    <row r="513" spans="1:25" x14ac:dyDescent="0.25">
      <c r="A513" t="str">
        <f>"14-0663"</f>
        <v>14-0663</v>
      </c>
      <c r="D513" s="8">
        <v>41955</v>
      </c>
      <c r="F513" s="8">
        <v>41956</v>
      </c>
      <c r="G513" s="8">
        <v>41955</v>
      </c>
      <c r="Y513" s="8"/>
    </row>
    <row r="514" spans="1:25" x14ac:dyDescent="0.25">
      <c r="A514" t="str">
        <f>"14-0659"</f>
        <v>14-0659</v>
      </c>
      <c r="D514" s="8">
        <v>41950</v>
      </c>
      <c r="F514" s="8">
        <v>41950</v>
      </c>
      <c r="G514" s="8">
        <v>41950</v>
      </c>
      <c r="Y514" s="8"/>
    </row>
    <row r="515" spans="1:25" x14ac:dyDescent="0.25">
      <c r="A515" t="str">
        <f>"14-0661"</f>
        <v>14-0661</v>
      </c>
      <c r="D515" s="8">
        <v>41950</v>
      </c>
      <c r="F515" s="8">
        <v>41950</v>
      </c>
      <c r="G515" s="8">
        <v>41950</v>
      </c>
      <c r="Y515" s="8"/>
    </row>
    <row r="516" spans="1:25" x14ac:dyDescent="0.25">
      <c r="A516" t="str">
        <f>"14-0662"</f>
        <v>14-0662</v>
      </c>
      <c r="D516" s="8">
        <v>41950</v>
      </c>
      <c r="F516" s="8">
        <v>41950</v>
      </c>
      <c r="G516" s="8">
        <v>41950</v>
      </c>
      <c r="Y516" s="8"/>
    </row>
    <row r="517" spans="1:25" x14ac:dyDescent="0.25">
      <c r="A517" t="str">
        <f>"14-0605B"</f>
        <v>14-0605B</v>
      </c>
      <c r="D517" s="8">
        <v>41949</v>
      </c>
      <c r="F517" s="8">
        <v>41971</v>
      </c>
      <c r="G517" s="8">
        <v>41949</v>
      </c>
      <c r="Y517" s="8"/>
    </row>
    <row r="518" spans="1:25" x14ac:dyDescent="0.25">
      <c r="A518" t="str">
        <f>"14-0658"</f>
        <v>14-0658</v>
      </c>
      <c r="D518" s="8">
        <v>41949</v>
      </c>
      <c r="F518" s="8">
        <v>41955</v>
      </c>
      <c r="G518" s="8">
        <v>41949</v>
      </c>
      <c r="Y518" s="8"/>
    </row>
    <row r="519" spans="1:25" x14ac:dyDescent="0.25">
      <c r="A519" t="str">
        <f>"14-0660"</f>
        <v>14-0660</v>
      </c>
      <c r="D519" s="8">
        <v>41949</v>
      </c>
      <c r="F519" s="8">
        <v>41950</v>
      </c>
      <c r="G519" s="8">
        <v>41950</v>
      </c>
      <c r="Y519" s="8"/>
    </row>
    <row r="520" spans="1:25" x14ac:dyDescent="0.25">
      <c r="A520" t="str">
        <f>"14-0656"</f>
        <v>14-0656</v>
      </c>
      <c r="D520" s="8">
        <v>41948</v>
      </c>
      <c r="F520" s="8">
        <v>41976</v>
      </c>
      <c r="G520" s="8">
        <v>41948</v>
      </c>
      <c r="Y520" s="8"/>
    </row>
    <row r="521" spans="1:25" x14ac:dyDescent="0.25">
      <c r="A521" t="str">
        <f>"14-0657"</f>
        <v>14-0657</v>
      </c>
      <c r="D521" s="8">
        <v>41948</v>
      </c>
      <c r="F521" s="8">
        <v>41949</v>
      </c>
      <c r="G521" s="8">
        <v>41948</v>
      </c>
      <c r="Y521" s="8"/>
    </row>
    <row r="522" spans="1:25" x14ac:dyDescent="0.25">
      <c r="A522" t="str">
        <f>"14-0653"</f>
        <v>14-0653</v>
      </c>
      <c r="D522" s="8">
        <v>41947</v>
      </c>
      <c r="F522" s="8">
        <v>41947</v>
      </c>
      <c r="G522" s="8">
        <v>41947</v>
      </c>
      <c r="Y522" s="8"/>
    </row>
    <row r="523" spans="1:25" x14ac:dyDescent="0.25">
      <c r="A523" t="str">
        <f>"14-0654"</f>
        <v>14-0654</v>
      </c>
      <c r="D523" s="8">
        <v>41947</v>
      </c>
      <c r="F523" s="8">
        <v>41947</v>
      </c>
      <c r="G523" s="8">
        <v>41947</v>
      </c>
      <c r="Y523" s="8"/>
    </row>
    <row r="524" spans="1:25" x14ac:dyDescent="0.25">
      <c r="A524" t="str">
        <f>"14-0655"</f>
        <v>14-0655</v>
      </c>
      <c r="D524" s="8">
        <v>41947</v>
      </c>
      <c r="F524" s="8">
        <v>41977</v>
      </c>
      <c r="G524" s="8">
        <v>41947</v>
      </c>
      <c r="Y524" s="8"/>
    </row>
    <row r="525" spans="1:25" x14ac:dyDescent="0.25">
      <c r="A525" t="str">
        <f>"14-0633B"</f>
        <v>14-0633B</v>
      </c>
      <c r="D525" s="8">
        <v>41946</v>
      </c>
      <c r="F525" s="8">
        <v>41946</v>
      </c>
      <c r="G525" s="8">
        <v>41946</v>
      </c>
      <c r="Y525" s="8"/>
    </row>
    <row r="526" spans="1:25" x14ac:dyDescent="0.25">
      <c r="A526" t="str">
        <f>"14-0650"</f>
        <v>14-0650</v>
      </c>
      <c r="D526" s="8">
        <v>41943</v>
      </c>
      <c r="F526" s="8">
        <v>41943</v>
      </c>
      <c r="G526" s="8">
        <v>41943</v>
      </c>
      <c r="Y526" s="8"/>
    </row>
    <row r="527" spans="1:25" x14ac:dyDescent="0.25">
      <c r="A527" t="str">
        <f>"14-0651"</f>
        <v>14-0651</v>
      </c>
      <c r="D527" s="8">
        <v>41943</v>
      </c>
      <c r="F527" s="8">
        <v>41943</v>
      </c>
      <c r="G527" s="8">
        <v>41943</v>
      </c>
      <c r="Y527" s="8"/>
    </row>
    <row r="528" spans="1:25" x14ac:dyDescent="0.25">
      <c r="A528" t="str">
        <f>"14-0652"</f>
        <v>14-0652</v>
      </c>
      <c r="D528" s="8">
        <v>41943</v>
      </c>
      <c r="F528" s="8">
        <v>41943</v>
      </c>
      <c r="G528" s="8">
        <v>41943</v>
      </c>
      <c r="Y528" s="8"/>
    </row>
    <row r="529" spans="1:25" x14ac:dyDescent="0.25">
      <c r="A529" t="str">
        <f>"14-0647"</f>
        <v>14-0647</v>
      </c>
      <c r="D529" s="8">
        <v>41942</v>
      </c>
      <c r="F529" s="8">
        <v>41942</v>
      </c>
      <c r="G529" s="8">
        <v>41942</v>
      </c>
      <c r="Y529" s="8"/>
    </row>
    <row r="530" spans="1:25" x14ac:dyDescent="0.25">
      <c r="A530" t="str">
        <f>"14-0648"</f>
        <v>14-0648</v>
      </c>
      <c r="D530" s="8">
        <v>41942</v>
      </c>
      <c r="F530" s="8">
        <v>41942</v>
      </c>
      <c r="G530" s="8">
        <v>41942</v>
      </c>
      <c r="Y530" s="8"/>
    </row>
    <row r="531" spans="1:25" x14ac:dyDescent="0.25">
      <c r="A531" t="str">
        <f>"14-0649"</f>
        <v>14-0649</v>
      </c>
      <c r="D531" s="8">
        <v>41942</v>
      </c>
      <c r="F531" s="8">
        <v>41942</v>
      </c>
      <c r="G531" s="8">
        <v>41942</v>
      </c>
      <c r="Y531" s="8"/>
    </row>
    <row r="532" spans="1:25" x14ac:dyDescent="0.25">
      <c r="A532" t="str">
        <f>"14-0645"</f>
        <v>14-0645</v>
      </c>
      <c r="D532" s="8">
        <v>41941</v>
      </c>
      <c r="F532" s="8">
        <v>41941</v>
      </c>
      <c r="G532" s="8">
        <v>41941</v>
      </c>
      <c r="Y532" s="8"/>
    </row>
    <row r="533" spans="1:25" x14ac:dyDescent="0.25">
      <c r="A533" t="str">
        <f>"14-0646"</f>
        <v>14-0646</v>
      </c>
      <c r="D533" s="8">
        <v>41941</v>
      </c>
      <c r="F533" s="8">
        <v>41941</v>
      </c>
      <c r="G533" s="8">
        <v>41941</v>
      </c>
      <c r="Y533" s="8"/>
    </row>
    <row r="534" spans="1:25" x14ac:dyDescent="0.25">
      <c r="A534" t="str">
        <f>"14-0639"</f>
        <v>14-0639</v>
      </c>
      <c r="D534" s="8">
        <v>41940</v>
      </c>
      <c r="F534" s="8">
        <v>41940</v>
      </c>
      <c r="G534" s="8">
        <v>41940</v>
      </c>
      <c r="Y534" s="8"/>
    </row>
    <row r="535" spans="1:25" x14ac:dyDescent="0.25">
      <c r="A535" t="str">
        <f>"14-0640"</f>
        <v>14-0640</v>
      </c>
      <c r="D535" s="8">
        <v>41940</v>
      </c>
      <c r="F535" s="8">
        <v>41968</v>
      </c>
      <c r="G535" s="8">
        <v>41940</v>
      </c>
      <c r="Y535" s="8"/>
    </row>
    <row r="536" spans="1:25" x14ac:dyDescent="0.25">
      <c r="A536" t="str">
        <f>"14-0641"</f>
        <v>14-0641</v>
      </c>
      <c r="D536" s="8">
        <v>41940</v>
      </c>
      <c r="F536" s="8">
        <v>41940</v>
      </c>
      <c r="G536" s="8">
        <v>41940</v>
      </c>
      <c r="Y536" s="8"/>
    </row>
    <row r="537" spans="1:25" x14ac:dyDescent="0.25">
      <c r="A537" t="str">
        <f>"14-0642"</f>
        <v>14-0642</v>
      </c>
      <c r="D537" s="8">
        <v>41940</v>
      </c>
      <c r="F537" s="8">
        <v>41940</v>
      </c>
      <c r="G537" s="8">
        <v>41940</v>
      </c>
      <c r="Y537" s="8"/>
    </row>
    <row r="538" spans="1:25" x14ac:dyDescent="0.25">
      <c r="A538" t="str">
        <f>"14-0643"</f>
        <v>14-0643</v>
      </c>
      <c r="D538" s="8">
        <v>41940</v>
      </c>
      <c r="F538" s="8">
        <v>41940</v>
      </c>
      <c r="G538" s="8">
        <v>41940</v>
      </c>
      <c r="Y538" s="8"/>
    </row>
    <row r="539" spans="1:25" x14ac:dyDescent="0.25">
      <c r="A539" t="str">
        <f>"14-0644"</f>
        <v>14-0644</v>
      </c>
      <c r="D539" s="8">
        <v>41940</v>
      </c>
      <c r="F539" s="8">
        <v>41940</v>
      </c>
      <c r="G539" s="8">
        <v>41940</v>
      </c>
      <c r="Y539" s="8"/>
    </row>
    <row r="540" spans="1:25" x14ac:dyDescent="0.25">
      <c r="A540" t="str">
        <f>"14-0638"</f>
        <v>14-0638</v>
      </c>
      <c r="D540" s="8">
        <v>41939</v>
      </c>
      <c r="F540" s="8">
        <v>41939</v>
      </c>
      <c r="G540" s="8">
        <v>41939</v>
      </c>
      <c r="Y540" s="8"/>
    </row>
    <row r="541" spans="1:25" x14ac:dyDescent="0.25">
      <c r="A541" t="str">
        <f>"14-0530B"</f>
        <v>14-0530B</v>
      </c>
      <c r="D541" s="8">
        <v>41936</v>
      </c>
      <c r="F541" s="8">
        <v>41936</v>
      </c>
      <c r="G541" s="8">
        <v>41936</v>
      </c>
      <c r="Y541" s="8"/>
    </row>
    <row r="542" spans="1:25" x14ac:dyDescent="0.25">
      <c r="A542" t="str">
        <f>"14-0636"</f>
        <v>14-0636</v>
      </c>
      <c r="D542" s="8">
        <v>41935</v>
      </c>
      <c r="F542" s="8">
        <v>41935</v>
      </c>
      <c r="G542" s="8">
        <v>41935</v>
      </c>
      <c r="Y542" s="8"/>
    </row>
    <row r="543" spans="1:25" x14ac:dyDescent="0.25">
      <c r="A543" t="str">
        <f>"14-0637"</f>
        <v>14-0637</v>
      </c>
      <c r="D543" s="8">
        <v>41935</v>
      </c>
      <c r="F543" s="8">
        <v>41935</v>
      </c>
      <c r="G543" s="8">
        <v>41935</v>
      </c>
      <c r="Y543" s="8"/>
    </row>
    <row r="544" spans="1:25" x14ac:dyDescent="0.25">
      <c r="A544" t="str">
        <f>"14-0630"</f>
        <v>14-0630</v>
      </c>
      <c r="D544" s="8">
        <v>41934</v>
      </c>
      <c r="F544" s="8">
        <v>41934</v>
      </c>
      <c r="G544" s="8">
        <v>41934</v>
      </c>
      <c r="Y544" s="8"/>
    </row>
    <row r="545" spans="1:25" x14ac:dyDescent="0.25">
      <c r="A545" t="str">
        <f>"14-0631"</f>
        <v>14-0631</v>
      </c>
      <c r="D545" s="8">
        <v>41934</v>
      </c>
      <c r="F545" s="8">
        <v>41934</v>
      </c>
      <c r="G545" s="8">
        <v>41934</v>
      </c>
      <c r="Y545" s="8"/>
    </row>
    <row r="546" spans="1:25" x14ac:dyDescent="0.25">
      <c r="A546" t="str">
        <f>"14-0632"</f>
        <v>14-0632</v>
      </c>
      <c r="D546" s="8">
        <v>41934</v>
      </c>
      <c r="F546" s="8">
        <v>41934</v>
      </c>
      <c r="G546" s="8">
        <v>41934</v>
      </c>
      <c r="Y546" s="8"/>
    </row>
    <row r="547" spans="1:25" x14ac:dyDescent="0.25">
      <c r="A547" t="str">
        <f>"14-0633"</f>
        <v>14-0633</v>
      </c>
      <c r="D547" s="8">
        <v>41934</v>
      </c>
      <c r="F547" s="8">
        <v>41939</v>
      </c>
      <c r="G547" s="8">
        <v>41934</v>
      </c>
      <c r="Y547" s="8"/>
    </row>
    <row r="548" spans="1:25" x14ac:dyDescent="0.25">
      <c r="A548" t="str">
        <f>"14-0634"</f>
        <v>14-0634</v>
      </c>
      <c r="D548" s="8">
        <v>41934</v>
      </c>
      <c r="F548" s="8">
        <v>41934</v>
      </c>
      <c r="G548" s="8">
        <v>41934</v>
      </c>
      <c r="Y548" s="8"/>
    </row>
    <row r="549" spans="1:25" x14ac:dyDescent="0.25">
      <c r="A549" t="str">
        <f>"14-0635"</f>
        <v>14-0635</v>
      </c>
      <c r="D549" s="8">
        <v>41934</v>
      </c>
      <c r="F549" s="8">
        <v>41934</v>
      </c>
      <c r="G549" s="8">
        <v>41934</v>
      </c>
      <c r="Y549" s="8"/>
    </row>
    <row r="550" spans="1:25" x14ac:dyDescent="0.25">
      <c r="A550" t="str">
        <f>"14-0550B"</f>
        <v>14-0550B</v>
      </c>
      <c r="D550" s="8">
        <v>41933</v>
      </c>
      <c r="F550" s="8">
        <v>41977</v>
      </c>
      <c r="G550" s="8">
        <v>41933</v>
      </c>
      <c r="Y550" s="8"/>
    </row>
    <row r="551" spans="1:25" x14ac:dyDescent="0.25">
      <c r="A551" t="str">
        <f>"14-0625"</f>
        <v>14-0625</v>
      </c>
      <c r="D551" s="8">
        <v>41933</v>
      </c>
      <c r="F551" s="8">
        <v>41933</v>
      </c>
      <c r="G551" s="8">
        <v>41933</v>
      </c>
      <c r="Y551" s="8"/>
    </row>
    <row r="552" spans="1:25" x14ac:dyDescent="0.25">
      <c r="A552" t="str">
        <f>"14-0626"</f>
        <v>14-0626</v>
      </c>
      <c r="D552" s="8">
        <v>41933</v>
      </c>
      <c r="F552" s="8">
        <v>41934</v>
      </c>
      <c r="G552" s="8">
        <v>41934</v>
      </c>
      <c r="Y552" s="8"/>
    </row>
    <row r="553" spans="1:25" x14ac:dyDescent="0.25">
      <c r="A553" t="str">
        <f>"14-0627"</f>
        <v>14-0627</v>
      </c>
      <c r="D553" s="8">
        <v>41933</v>
      </c>
      <c r="F553" s="8">
        <v>41933</v>
      </c>
      <c r="G553" s="8">
        <v>41933</v>
      </c>
      <c r="Y553" s="8"/>
    </row>
    <row r="554" spans="1:25" x14ac:dyDescent="0.25">
      <c r="A554" t="str">
        <f>"14-0628"</f>
        <v>14-0628</v>
      </c>
      <c r="D554" s="8">
        <v>41933</v>
      </c>
      <c r="F554" s="8">
        <v>41933</v>
      </c>
      <c r="G554" s="8">
        <v>41933</v>
      </c>
      <c r="Y554" s="8"/>
    </row>
    <row r="555" spans="1:25" x14ac:dyDescent="0.25">
      <c r="A555" t="str">
        <f>"14-0629"</f>
        <v>14-0629</v>
      </c>
      <c r="D555" s="8">
        <v>41933</v>
      </c>
      <c r="F555" s="8">
        <v>41933</v>
      </c>
      <c r="G555" s="8">
        <v>41933</v>
      </c>
      <c r="Y555" s="8"/>
    </row>
    <row r="556" spans="1:25" x14ac:dyDescent="0.25">
      <c r="A556" t="str">
        <f>"14-0621"</f>
        <v>14-0621</v>
      </c>
      <c r="D556" s="8">
        <v>41932</v>
      </c>
      <c r="F556" s="8">
        <v>41932</v>
      </c>
      <c r="G556" s="8">
        <v>41932</v>
      </c>
      <c r="Y556" s="8"/>
    </row>
    <row r="557" spans="1:25" x14ac:dyDescent="0.25">
      <c r="A557" t="str">
        <f>"14-0622"</f>
        <v>14-0622</v>
      </c>
      <c r="D557" s="8">
        <v>41932</v>
      </c>
      <c r="F557" s="8">
        <v>41934</v>
      </c>
      <c r="G557" s="8">
        <v>41932</v>
      </c>
      <c r="Y557" s="8"/>
    </row>
    <row r="558" spans="1:25" x14ac:dyDescent="0.25">
      <c r="A558" t="str">
        <f>"14-0623"</f>
        <v>14-0623</v>
      </c>
      <c r="D558" s="8">
        <v>41932</v>
      </c>
      <c r="F558" s="8">
        <v>41935</v>
      </c>
      <c r="G558" s="8">
        <v>41932</v>
      </c>
      <c r="Y558" s="8"/>
    </row>
    <row r="559" spans="1:25" x14ac:dyDescent="0.25">
      <c r="A559" t="str">
        <f>"14-0624"</f>
        <v>14-0624</v>
      </c>
      <c r="D559" s="8">
        <v>41932</v>
      </c>
      <c r="F559" s="8">
        <v>41933</v>
      </c>
      <c r="G559" s="8">
        <v>41932</v>
      </c>
      <c r="Y559" s="8"/>
    </row>
    <row r="560" spans="1:25" x14ac:dyDescent="0.25">
      <c r="A560" t="str">
        <f>"14-0544C"</f>
        <v>14-0544C</v>
      </c>
      <c r="D560" s="8">
        <v>41929</v>
      </c>
      <c r="F560" s="8">
        <v>41929</v>
      </c>
      <c r="G560" s="8">
        <v>41929</v>
      </c>
      <c r="Y560" s="8"/>
    </row>
    <row r="561" spans="1:25" x14ac:dyDescent="0.25">
      <c r="A561" t="str">
        <f>"14-0615"</f>
        <v>14-0615</v>
      </c>
      <c r="D561" s="8">
        <v>41929</v>
      </c>
      <c r="F561" s="8">
        <v>42024</v>
      </c>
      <c r="G561" s="8">
        <v>41929</v>
      </c>
      <c r="Y561" s="8"/>
    </row>
    <row r="562" spans="1:25" x14ac:dyDescent="0.25">
      <c r="A562" t="str">
        <f>"14-0616"</f>
        <v>14-0616</v>
      </c>
      <c r="D562" s="8">
        <v>41929</v>
      </c>
      <c r="F562" s="8">
        <v>41929</v>
      </c>
      <c r="G562" s="8">
        <v>41929</v>
      </c>
      <c r="Y562" s="8"/>
    </row>
    <row r="563" spans="1:25" x14ac:dyDescent="0.25">
      <c r="A563" t="str">
        <f>"14-0617"</f>
        <v>14-0617</v>
      </c>
      <c r="D563" s="8">
        <v>41929</v>
      </c>
      <c r="F563" s="8">
        <v>41929</v>
      </c>
      <c r="G563" s="8">
        <v>41929</v>
      </c>
      <c r="Y563" s="8"/>
    </row>
    <row r="564" spans="1:25" x14ac:dyDescent="0.25">
      <c r="A564" t="str">
        <f>"14-0618"</f>
        <v>14-0618</v>
      </c>
      <c r="D564" s="8">
        <v>41929</v>
      </c>
      <c r="F564" s="8">
        <v>41929</v>
      </c>
      <c r="G564" s="8">
        <v>41929</v>
      </c>
      <c r="Y564" s="8"/>
    </row>
    <row r="565" spans="1:25" x14ac:dyDescent="0.25">
      <c r="A565" t="str">
        <f>"14-0619"</f>
        <v>14-0619</v>
      </c>
      <c r="D565" s="8">
        <v>41929</v>
      </c>
      <c r="F565" s="8">
        <v>41929</v>
      </c>
      <c r="G565" s="8">
        <v>41929</v>
      </c>
      <c r="Y565" s="8"/>
    </row>
    <row r="566" spans="1:25" x14ac:dyDescent="0.25">
      <c r="A566" t="str">
        <f>"14-0620"</f>
        <v>14-0620</v>
      </c>
      <c r="D566" s="8">
        <v>41929</v>
      </c>
      <c r="F566" s="8">
        <v>41990</v>
      </c>
      <c r="G566" s="8">
        <v>41929</v>
      </c>
      <c r="Y566" s="8"/>
    </row>
    <row r="567" spans="1:25" x14ac:dyDescent="0.25">
      <c r="A567" t="str">
        <f>"14-0610"</f>
        <v>14-0610</v>
      </c>
      <c r="D567" s="8">
        <v>41928</v>
      </c>
      <c r="F567" s="8">
        <v>41933</v>
      </c>
      <c r="G567" s="8">
        <v>41943</v>
      </c>
      <c r="Y567" s="8"/>
    </row>
    <row r="568" spans="1:25" x14ac:dyDescent="0.25">
      <c r="A568" t="str">
        <f>"14-0611"</f>
        <v>14-0611</v>
      </c>
      <c r="D568" s="8">
        <v>41928</v>
      </c>
      <c r="F568" s="8">
        <v>41946</v>
      </c>
      <c r="G568" s="8">
        <v>41928</v>
      </c>
      <c r="Y568" s="8"/>
    </row>
    <row r="569" spans="1:25" x14ac:dyDescent="0.25">
      <c r="A569" t="str">
        <f>"14-0612"</f>
        <v>14-0612</v>
      </c>
      <c r="D569" s="8">
        <v>41928</v>
      </c>
      <c r="F569" s="8">
        <v>41928</v>
      </c>
      <c r="G569" s="8">
        <v>41928</v>
      </c>
      <c r="Y569" s="8"/>
    </row>
    <row r="570" spans="1:25" x14ac:dyDescent="0.25">
      <c r="A570" t="str">
        <f>"14-0613"</f>
        <v>14-0613</v>
      </c>
      <c r="D570" s="8">
        <v>41928</v>
      </c>
      <c r="F570" s="8">
        <v>41928</v>
      </c>
      <c r="G570" s="8">
        <v>41928</v>
      </c>
      <c r="Y570" s="8"/>
    </row>
    <row r="571" spans="1:25" x14ac:dyDescent="0.25">
      <c r="A571" t="str">
        <f>"14-0614"</f>
        <v>14-0614</v>
      </c>
      <c r="D571" s="8">
        <v>41928</v>
      </c>
      <c r="F571" s="8">
        <v>41928</v>
      </c>
      <c r="G571" s="8">
        <v>41928</v>
      </c>
      <c r="Y571" s="8"/>
    </row>
    <row r="572" spans="1:25" x14ac:dyDescent="0.25">
      <c r="A572" t="str">
        <f>"14-0603"</f>
        <v>14-0603</v>
      </c>
      <c r="D572" s="8">
        <v>41927</v>
      </c>
      <c r="F572" s="8">
        <v>41927</v>
      </c>
      <c r="G572" s="8">
        <v>41927</v>
      </c>
      <c r="Y572" s="8"/>
    </row>
    <row r="573" spans="1:25" x14ac:dyDescent="0.25">
      <c r="A573" t="str">
        <f>"14-0604"</f>
        <v>14-0604</v>
      </c>
      <c r="D573" s="8">
        <v>41927</v>
      </c>
      <c r="F573" s="8">
        <v>41927</v>
      </c>
      <c r="G573" s="8">
        <v>41927</v>
      </c>
      <c r="Y573" s="8"/>
    </row>
    <row r="574" spans="1:25" x14ac:dyDescent="0.25">
      <c r="A574" t="str">
        <f>"14-0605"</f>
        <v>14-0605</v>
      </c>
      <c r="D574" s="8">
        <v>41927</v>
      </c>
      <c r="F574" s="8">
        <v>41927</v>
      </c>
      <c r="G574" s="8">
        <v>41927</v>
      </c>
      <c r="Y574" s="8"/>
    </row>
    <row r="575" spans="1:25" x14ac:dyDescent="0.25">
      <c r="A575" t="str">
        <f>"14-0606"</f>
        <v>14-0606</v>
      </c>
      <c r="D575" s="8">
        <v>41927</v>
      </c>
      <c r="F575" s="8">
        <v>41927</v>
      </c>
      <c r="G575" s="8">
        <v>41927</v>
      </c>
      <c r="Y575" s="8"/>
    </row>
    <row r="576" spans="1:25" x14ac:dyDescent="0.25">
      <c r="A576" t="str">
        <f>"14-0607"</f>
        <v>14-0607</v>
      </c>
      <c r="D576" s="8">
        <v>41927</v>
      </c>
      <c r="F576" s="8">
        <v>41927</v>
      </c>
      <c r="G576" s="8">
        <v>41927</v>
      </c>
      <c r="Y576" s="8"/>
    </row>
    <row r="577" spans="1:25" x14ac:dyDescent="0.25">
      <c r="A577" t="str">
        <f>"14-0608"</f>
        <v>14-0608</v>
      </c>
      <c r="D577" s="8">
        <v>41927</v>
      </c>
      <c r="F577" s="8">
        <v>41927</v>
      </c>
      <c r="G577" s="8">
        <v>41927</v>
      </c>
      <c r="Y577" s="8"/>
    </row>
    <row r="578" spans="1:25" x14ac:dyDescent="0.25">
      <c r="A578" t="str">
        <f>"14-0609"</f>
        <v>14-0609</v>
      </c>
      <c r="D578" s="8">
        <v>41927</v>
      </c>
      <c r="F578" s="8">
        <v>41928</v>
      </c>
      <c r="G578" s="8">
        <v>41927</v>
      </c>
      <c r="Y578" s="8"/>
    </row>
    <row r="579" spans="1:25" x14ac:dyDescent="0.25">
      <c r="A579" t="str">
        <f>"14-0599"</f>
        <v>14-0599</v>
      </c>
      <c r="D579" s="8">
        <v>41926</v>
      </c>
      <c r="F579" s="8">
        <v>41926</v>
      </c>
      <c r="G579" s="8">
        <v>41926</v>
      </c>
      <c r="Y579" s="8"/>
    </row>
    <row r="580" spans="1:25" x14ac:dyDescent="0.25">
      <c r="A580" t="str">
        <f>"14-0600"</f>
        <v>14-0600</v>
      </c>
      <c r="D580" s="8">
        <v>41926</v>
      </c>
      <c r="F580" s="8">
        <v>41926</v>
      </c>
      <c r="G580" s="8">
        <v>41926</v>
      </c>
      <c r="Y580" s="8"/>
    </row>
    <row r="581" spans="1:25" x14ac:dyDescent="0.25">
      <c r="A581" t="str">
        <f>"14-0601"</f>
        <v>14-0601</v>
      </c>
      <c r="D581" s="8">
        <v>41926</v>
      </c>
      <c r="F581" s="8">
        <v>41926</v>
      </c>
      <c r="G581" s="8">
        <v>41926</v>
      </c>
      <c r="Y581" s="8"/>
    </row>
    <row r="582" spans="1:25" x14ac:dyDescent="0.25">
      <c r="A582" t="str">
        <f>"14-0602"</f>
        <v>14-0602</v>
      </c>
      <c r="D582" s="8">
        <v>41926</v>
      </c>
      <c r="F582" s="8">
        <v>41926</v>
      </c>
      <c r="G582" s="8">
        <v>41926</v>
      </c>
      <c r="Y582" s="8"/>
    </row>
    <row r="583" spans="1:25" x14ac:dyDescent="0.25">
      <c r="A583" t="str">
        <f>"14-0555B"</f>
        <v>14-0555B</v>
      </c>
      <c r="D583" s="8">
        <v>41925</v>
      </c>
      <c r="F583" s="8">
        <v>41925</v>
      </c>
      <c r="G583" s="8">
        <v>41925</v>
      </c>
      <c r="Y583" s="8"/>
    </row>
    <row r="584" spans="1:25" x14ac:dyDescent="0.25">
      <c r="A584" t="str">
        <f>"14-0597"</f>
        <v>14-0597</v>
      </c>
      <c r="D584" s="8">
        <v>41925</v>
      </c>
      <c r="F584" s="8">
        <v>41925</v>
      </c>
      <c r="G584" s="8">
        <v>41925</v>
      </c>
      <c r="Y584" s="8"/>
    </row>
    <row r="585" spans="1:25" x14ac:dyDescent="0.25">
      <c r="A585" t="str">
        <f>"14-0598"</f>
        <v>14-0598</v>
      </c>
      <c r="D585" s="8">
        <v>41925</v>
      </c>
      <c r="F585" s="8">
        <v>41925</v>
      </c>
      <c r="G585" s="8">
        <v>41925</v>
      </c>
      <c r="Y585" s="8"/>
    </row>
    <row r="586" spans="1:25" x14ac:dyDescent="0.25">
      <c r="A586" t="str">
        <f>"14-0592"</f>
        <v>14-0592</v>
      </c>
      <c r="D586" s="8">
        <v>41922</v>
      </c>
      <c r="F586" s="8">
        <v>41922</v>
      </c>
      <c r="G586" s="8">
        <v>41922</v>
      </c>
      <c r="Y586" s="8"/>
    </row>
    <row r="587" spans="1:25" x14ac:dyDescent="0.25">
      <c r="A587" t="str">
        <f>"14-0593"</f>
        <v>14-0593</v>
      </c>
      <c r="D587" s="8">
        <v>41922</v>
      </c>
      <c r="F587" s="8">
        <v>41922</v>
      </c>
      <c r="G587" s="8">
        <v>41922</v>
      </c>
      <c r="Y587" s="8"/>
    </row>
    <row r="588" spans="1:25" x14ac:dyDescent="0.25">
      <c r="A588" t="str">
        <f>"14-0594"</f>
        <v>14-0594</v>
      </c>
      <c r="D588" s="8">
        <v>41922</v>
      </c>
      <c r="F588" s="8">
        <v>41922</v>
      </c>
      <c r="G588" s="8">
        <v>41922</v>
      </c>
      <c r="Y588" s="8"/>
    </row>
    <row r="589" spans="1:25" x14ac:dyDescent="0.25">
      <c r="A589" t="str">
        <f>"14-0595"</f>
        <v>14-0595</v>
      </c>
      <c r="D589" s="8">
        <v>41922</v>
      </c>
      <c r="F589" s="8">
        <v>41925</v>
      </c>
      <c r="G589" s="8">
        <v>41922</v>
      </c>
      <c r="Y589" s="8"/>
    </row>
    <row r="590" spans="1:25" x14ac:dyDescent="0.25">
      <c r="A590" t="str">
        <f>"14-0596"</f>
        <v>14-0596</v>
      </c>
      <c r="D590" s="8">
        <v>41922</v>
      </c>
      <c r="F590" s="8">
        <v>41922</v>
      </c>
      <c r="G590" s="8">
        <v>41922</v>
      </c>
      <c r="Y590" s="8"/>
    </row>
    <row r="591" spans="1:25" x14ac:dyDescent="0.25">
      <c r="A591" t="str">
        <f>"14-0209C"</f>
        <v>14-0209C</v>
      </c>
      <c r="D591" s="8">
        <v>41921</v>
      </c>
      <c r="F591" s="8">
        <v>41921</v>
      </c>
      <c r="G591" s="8">
        <v>41921</v>
      </c>
      <c r="Y591" s="8"/>
    </row>
    <row r="592" spans="1:25" x14ac:dyDescent="0.25">
      <c r="A592" t="str">
        <f>"14-0584B"</f>
        <v>14-0584B</v>
      </c>
      <c r="D592" s="8">
        <v>41921</v>
      </c>
      <c r="F592" s="8">
        <v>41921</v>
      </c>
      <c r="G592" s="8">
        <v>41921</v>
      </c>
      <c r="Y592" s="8"/>
    </row>
    <row r="593" spans="1:25" x14ac:dyDescent="0.25">
      <c r="A593" t="str">
        <f>"14-0589"</f>
        <v>14-0589</v>
      </c>
      <c r="D593" s="8">
        <v>41921</v>
      </c>
      <c r="F593" s="8">
        <v>41921</v>
      </c>
      <c r="G593" s="8">
        <v>41921</v>
      </c>
      <c r="Y593" s="8"/>
    </row>
    <row r="594" spans="1:25" x14ac:dyDescent="0.25">
      <c r="A594" t="str">
        <f>"14-0590"</f>
        <v>14-0590</v>
      </c>
      <c r="D594" s="8">
        <v>41921</v>
      </c>
      <c r="F594" s="8">
        <v>41921</v>
      </c>
      <c r="G594" s="8">
        <v>41921</v>
      </c>
      <c r="Y594" s="8"/>
    </row>
    <row r="595" spans="1:25" x14ac:dyDescent="0.25">
      <c r="A595" t="str">
        <f>"14-0591"</f>
        <v>14-0591</v>
      </c>
      <c r="D595" s="8">
        <v>41921</v>
      </c>
      <c r="F595" s="8">
        <v>41921</v>
      </c>
      <c r="G595" s="8">
        <v>41921</v>
      </c>
      <c r="Y595" s="8"/>
    </row>
    <row r="596" spans="1:25" x14ac:dyDescent="0.25">
      <c r="A596" t="str">
        <f>"14-0415B"</f>
        <v>14-0415B</v>
      </c>
      <c r="D596" s="8">
        <v>41920</v>
      </c>
      <c r="F596" s="8">
        <v>41957</v>
      </c>
      <c r="G596" s="8">
        <v>41920</v>
      </c>
      <c r="Y596" s="8"/>
    </row>
    <row r="597" spans="1:25" x14ac:dyDescent="0.25">
      <c r="A597" t="str">
        <f>"14-0585"</f>
        <v>14-0585</v>
      </c>
      <c r="D597" s="8">
        <v>41920</v>
      </c>
      <c r="F597" s="8">
        <v>41920</v>
      </c>
      <c r="G597" s="8">
        <v>41920</v>
      </c>
      <c r="Y597" s="8"/>
    </row>
    <row r="598" spans="1:25" x14ac:dyDescent="0.25">
      <c r="A598" t="str">
        <f>"14-0586"</f>
        <v>14-0586</v>
      </c>
      <c r="D598" s="8">
        <v>41920</v>
      </c>
      <c r="F598" s="8">
        <v>41920</v>
      </c>
      <c r="G598" s="8">
        <v>41920</v>
      </c>
      <c r="Y598" s="8"/>
    </row>
    <row r="599" spans="1:25" x14ac:dyDescent="0.25">
      <c r="A599" t="str">
        <f>"14-0587"</f>
        <v>14-0587</v>
      </c>
      <c r="D599" s="8">
        <v>41920</v>
      </c>
      <c r="F599" s="8">
        <v>41920</v>
      </c>
      <c r="G599" s="8">
        <v>41920</v>
      </c>
      <c r="Y599" s="8"/>
    </row>
    <row r="600" spans="1:25" x14ac:dyDescent="0.25">
      <c r="A600" t="str">
        <f>"14-0588"</f>
        <v>14-0588</v>
      </c>
      <c r="D600" s="8">
        <v>41920</v>
      </c>
      <c r="F600" s="8">
        <v>41922</v>
      </c>
      <c r="G600" s="8">
        <v>41920</v>
      </c>
      <c r="Y600" s="8"/>
    </row>
    <row r="601" spans="1:25" x14ac:dyDescent="0.25">
      <c r="A601" t="str">
        <f>"14-0580"</f>
        <v>14-0580</v>
      </c>
      <c r="D601" s="8">
        <v>41919</v>
      </c>
      <c r="F601" s="8">
        <v>41919</v>
      </c>
      <c r="G601" s="8">
        <v>41919</v>
      </c>
      <c r="Y601" s="8"/>
    </row>
    <row r="602" spans="1:25" x14ac:dyDescent="0.25">
      <c r="A602" t="str">
        <f>"14-0581"</f>
        <v>14-0581</v>
      </c>
      <c r="D602" s="8">
        <v>41919</v>
      </c>
      <c r="F602" s="8">
        <v>41919</v>
      </c>
      <c r="G602" s="8">
        <v>41919</v>
      </c>
      <c r="Y602" s="8"/>
    </row>
    <row r="603" spans="1:25" x14ac:dyDescent="0.25">
      <c r="A603" t="str">
        <f>"14-0582"</f>
        <v>14-0582</v>
      </c>
      <c r="D603" s="8">
        <v>41919</v>
      </c>
      <c r="F603" s="8">
        <v>41919</v>
      </c>
      <c r="G603" s="8">
        <v>41919</v>
      </c>
      <c r="Y603" s="8"/>
    </row>
    <row r="604" spans="1:25" x14ac:dyDescent="0.25">
      <c r="A604" t="str">
        <f>"14-0583"</f>
        <v>14-0583</v>
      </c>
      <c r="D604" s="8">
        <v>41919</v>
      </c>
      <c r="F604" s="8">
        <v>41919</v>
      </c>
      <c r="G604" s="8">
        <v>41919</v>
      </c>
      <c r="Y604" s="8"/>
    </row>
    <row r="605" spans="1:25" x14ac:dyDescent="0.25">
      <c r="A605" t="str">
        <f>"14-0584"</f>
        <v>14-0584</v>
      </c>
      <c r="D605" s="8">
        <v>41919</v>
      </c>
      <c r="F605" s="8">
        <v>41919</v>
      </c>
      <c r="G605" s="8">
        <v>41919</v>
      </c>
      <c r="Y605" s="8"/>
    </row>
    <row r="606" spans="1:25" x14ac:dyDescent="0.25">
      <c r="A606" t="str">
        <f>"14-0503C"</f>
        <v>14-0503C</v>
      </c>
      <c r="D606" s="8">
        <v>41918</v>
      </c>
      <c r="F606" s="8">
        <v>41955</v>
      </c>
      <c r="G606" s="8">
        <v>41918</v>
      </c>
      <c r="Y606" s="8"/>
    </row>
    <row r="607" spans="1:25" x14ac:dyDescent="0.25">
      <c r="A607" t="str">
        <f>"14-0576"</f>
        <v>14-0576</v>
      </c>
      <c r="D607" s="8">
        <v>41918</v>
      </c>
      <c r="F607" s="8">
        <v>41918</v>
      </c>
      <c r="G607" s="8">
        <v>41918</v>
      </c>
      <c r="Y607" s="8"/>
    </row>
    <row r="608" spans="1:25" x14ac:dyDescent="0.25">
      <c r="A608" t="str">
        <f>"14-0577"</f>
        <v>14-0577</v>
      </c>
      <c r="D608" s="8">
        <v>41918</v>
      </c>
      <c r="F608" s="8">
        <v>41918</v>
      </c>
      <c r="G608" s="8">
        <v>41918</v>
      </c>
      <c r="Y608" s="8"/>
    </row>
    <row r="609" spans="1:25" x14ac:dyDescent="0.25">
      <c r="A609" t="str">
        <f>"14-0578"</f>
        <v>14-0578</v>
      </c>
      <c r="D609" s="8">
        <v>41918</v>
      </c>
      <c r="F609" s="8">
        <v>41919</v>
      </c>
      <c r="G609" s="8">
        <v>41918</v>
      </c>
      <c r="Y609" s="8"/>
    </row>
    <row r="610" spans="1:25" x14ac:dyDescent="0.25">
      <c r="A610" t="str">
        <f>"14-0579"</f>
        <v>14-0579</v>
      </c>
      <c r="D610" s="8">
        <v>41918</v>
      </c>
      <c r="F610" s="8">
        <v>41918</v>
      </c>
      <c r="G610" s="8">
        <v>41918</v>
      </c>
      <c r="Y610" s="8"/>
    </row>
    <row r="611" spans="1:25" x14ac:dyDescent="0.25">
      <c r="A611" t="str">
        <f>"14-0572"</f>
        <v>14-0572</v>
      </c>
      <c r="D611" s="8">
        <v>41915</v>
      </c>
      <c r="F611" s="8">
        <v>41915</v>
      </c>
      <c r="G611" s="8">
        <v>41915</v>
      </c>
      <c r="Y611" s="8"/>
    </row>
    <row r="612" spans="1:25" x14ac:dyDescent="0.25">
      <c r="A612" t="str">
        <f>"14-0573"</f>
        <v>14-0573</v>
      </c>
      <c r="D612" s="8">
        <v>41915</v>
      </c>
      <c r="F612" s="8">
        <v>41915</v>
      </c>
      <c r="G612" s="8">
        <v>41915</v>
      </c>
      <c r="Y612" s="8"/>
    </row>
    <row r="613" spans="1:25" x14ac:dyDescent="0.25">
      <c r="A613" t="str">
        <f>"14-0574"</f>
        <v>14-0574</v>
      </c>
      <c r="D613" s="8">
        <v>41915</v>
      </c>
      <c r="F613" s="8">
        <v>41915</v>
      </c>
      <c r="G613" s="8">
        <v>41915</v>
      </c>
      <c r="Y613" s="8"/>
    </row>
    <row r="614" spans="1:25" x14ac:dyDescent="0.25">
      <c r="A614" t="str">
        <f>"14-0575"</f>
        <v>14-0575</v>
      </c>
      <c r="D614" s="8">
        <v>41915</v>
      </c>
      <c r="F614" s="8">
        <v>41915</v>
      </c>
      <c r="G614" s="8">
        <v>41915</v>
      </c>
      <c r="Y614" s="8"/>
    </row>
    <row r="615" spans="1:25" x14ac:dyDescent="0.25">
      <c r="A615" t="str">
        <f>"14-0565B"</f>
        <v>14-0565B</v>
      </c>
      <c r="D615" s="8">
        <v>41914</v>
      </c>
      <c r="F615" s="8">
        <v>41914</v>
      </c>
      <c r="G615" s="8">
        <v>41914</v>
      </c>
      <c r="Y615" s="8"/>
    </row>
    <row r="616" spans="1:25" x14ac:dyDescent="0.25">
      <c r="A616" t="str">
        <f>"14-0567"</f>
        <v>14-0567</v>
      </c>
      <c r="D616" s="8">
        <v>41914</v>
      </c>
      <c r="F616" s="8">
        <v>41914</v>
      </c>
      <c r="G616" s="8">
        <v>41914</v>
      </c>
      <c r="Y616" s="8"/>
    </row>
    <row r="617" spans="1:25" x14ac:dyDescent="0.25">
      <c r="A617" t="str">
        <f>"14-0568"</f>
        <v>14-0568</v>
      </c>
      <c r="D617" s="8">
        <v>41914</v>
      </c>
      <c r="F617" s="8">
        <v>41914</v>
      </c>
      <c r="G617" s="8">
        <v>41914</v>
      </c>
      <c r="Y617" s="8"/>
    </row>
    <row r="618" spans="1:25" x14ac:dyDescent="0.25">
      <c r="A618" t="str">
        <f>"14-0569"</f>
        <v>14-0569</v>
      </c>
      <c r="D618" s="8">
        <v>41914</v>
      </c>
      <c r="F618" s="8">
        <v>41914</v>
      </c>
      <c r="G618" s="8">
        <v>41914</v>
      </c>
      <c r="Y618" s="8"/>
    </row>
    <row r="619" spans="1:25" x14ac:dyDescent="0.25">
      <c r="A619" t="str">
        <f>"14-0570"</f>
        <v>14-0570</v>
      </c>
      <c r="D619" s="8">
        <v>41914</v>
      </c>
      <c r="F619" s="8">
        <v>41914</v>
      </c>
      <c r="G619" s="8">
        <v>41914</v>
      </c>
      <c r="Y619" s="8"/>
    </row>
    <row r="620" spans="1:25" x14ac:dyDescent="0.25">
      <c r="A620" t="str">
        <f>"14-0571"</f>
        <v>14-0571</v>
      </c>
      <c r="D620" s="8">
        <v>41914</v>
      </c>
      <c r="F620" s="8">
        <v>41915</v>
      </c>
      <c r="G620" s="8">
        <v>41915</v>
      </c>
      <c r="Y620" s="8"/>
    </row>
    <row r="621" spans="1:25" x14ac:dyDescent="0.25">
      <c r="A621" t="str">
        <f>"14-0560B"</f>
        <v>14-0560B</v>
      </c>
      <c r="D621" s="8">
        <v>41913</v>
      </c>
      <c r="F621" s="8">
        <v>41913</v>
      </c>
      <c r="G621" s="8">
        <v>41913</v>
      </c>
      <c r="Y621" s="8"/>
    </row>
    <row r="622" spans="1:25" x14ac:dyDescent="0.25">
      <c r="A622" t="str">
        <f>"14-0565"</f>
        <v>14-0565</v>
      </c>
      <c r="D622" s="8">
        <v>41913</v>
      </c>
      <c r="F622" s="8">
        <v>41913</v>
      </c>
      <c r="G622" s="8">
        <v>41913</v>
      </c>
      <c r="Y622" s="8"/>
    </row>
    <row r="623" spans="1:25" x14ac:dyDescent="0.25">
      <c r="A623" t="str">
        <f>"14-0566"</f>
        <v>14-0566</v>
      </c>
      <c r="D623" s="8">
        <v>41913</v>
      </c>
      <c r="F623" s="8">
        <v>41913</v>
      </c>
      <c r="G623" s="8">
        <v>41913</v>
      </c>
      <c r="Y623" s="8"/>
    </row>
    <row r="624" spans="1:25" x14ac:dyDescent="0.25">
      <c r="A624" t="str">
        <f>"14-0544B"</f>
        <v>14-0544B</v>
      </c>
      <c r="D624" s="8">
        <v>41912</v>
      </c>
      <c r="F624" s="8">
        <v>41912</v>
      </c>
      <c r="G624" s="8">
        <v>41912</v>
      </c>
      <c r="Y624" s="8"/>
    </row>
    <row r="625" spans="1:25" x14ac:dyDescent="0.25">
      <c r="A625" t="str">
        <f>"14-0560"</f>
        <v>14-0560</v>
      </c>
      <c r="D625" s="8">
        <v>41912</v>
      </c>
      <c r="F625" s="8">
        <v>41913</v>
      </c>
      <c r="G625" s="8">
        <v>41913</v>
      </c>
      <c r="Y625" s="8"/>
    </row>
    <row r="626" spans="1:25" x14ac:dyDescent="0.25">
      <c r="A626" t="str">
        <f>"14-0561"</f>
        <v>14-0561</v>
      </c>
      <c r="D626" s="8">
        <v>41912</v>
      </c>
      <c r="F626" s="8">
        <v>41912</v>
      </c>
      <c r="G626" s="8">
        <v>41912</v>
      </c>
      <c r="Y626" s="8"/>
    </row>
    <row r="627" spans="1:25" x14ac:dyDescent="0.25">
      <c r="A627" t="str">
        <f>"14-0562"</f>
        <v>14-0562</v>
      </c>
      <c r="D627" s="8">
        <v>41912</v>
      </c>
      <c r="F627" s="8">
        <v>41912</v>
      </c>
      <c r="G627" s="8">
        <v>41912</v>
      </c>
      <c r="Y627" s="8"/>
    </row>
    <row r="628" spans="1:25" x14ac:dyDescent="0.25">
      <c r="A628" t="str">
        <f>"14-0563"</f>
        <v>14-0563</v>
      </c>
      <c r="D628" s="8">
        <v>41912</v>
      </c>
      <c r="F628" s="8">
        <v>41912</v>
      </c>
      <c r="G628" s="8">
        <v>41912</v>
      </c>
      <c r="Y628" s="8"/>
    </row>
    <row r="629" spans="1:25" x14ac:dyDescent="0.25">
      <c r="A629" t="str">
        <f>"14-0564"</f>
        <v>14-0564</v>
      </c>
      <c r="D629" s="8">
        <v>41912</v>
      </c>
      <c r="F629" s="8">
        <v>41912</v>
      </c>
      <c r="G629" s="8">
        <v>41912</v>
      </c>
      <c r="Y629" s="8"/>
    </row>
    <row r="630" spans="1:25" x14ac:dyDescent="0.25">
      <c r="A630" t="str">
        <f>"14-0503B"</f>
        <v>14-0503B</v>
      </c>
      <c r="D630" s="8">
        <v>41911</v>
      </c>
      <c r="F630" s="8">
        <v>41911</v>
      </c>
      <c r="G630" s="8">
        <v>41911</v>
      </c>
      <c r="Y630" s="8"/>
    </row>
    <row r="631" spans="1:25" x14ac:dyDescent="0.25">
      <c r="A631" t="str">
        <f>"14-0558"</f>
        <v>14-0558</v>
      </c>
      <c r="D631" s="8">
        <v>41911</v>
      </c>
      <c r="F631" s="8">
        <v>41911</v>
      </c>
      <c r="G631" s="8">
        <v>41911</v>
      </c>
      <c r="Y631" s="8"/>
    </row>
    <row r="632" spans="1:25" x14ac:dyDescent="0.25">
      <c r="A632" t="str">
        <f>"14-0559"</f>
        <v>14-0559</v>
      </c>
      <c r="D632" s="8">
        <v>41911</v>
      </c>
      <c r="F632" s="8">
        <v>41911</v>
      </c>
      <c r="G632" s="8">
        <v>41911</v>
      </c>
      <c r="Y632" s="8"/>
    </row>
    <row r="633" spans="1:25" x14ac:dyDescent="0.25">
      <c r="A633" t="str">
        <f>"14-0554"</f>
        <v>14-0554</v>
      </c>
      <c r="D633" s="8">
        <v>41908</v>
      </c>
      <c r="F633" s="8">
        <v>41908</v>
      </c>
      <c r="G633" s="8">
        <v>41908</v>
      </c>
      <c r="Y633" s="8"/>
    </row>
    <row r="634" spans="1:25" x14ac:dyDescent="0.25">
      <c r="A634" t="str">
        <f>"14-0555"</f>
        <v>14-0555</v>
      </c>
      <c r="D634" s="8">
        <v>41908</v>
      </c>
      <c r="F634" s="8">
        <v>41981</v>
      </c>
      <c r="G634" s="8">
        <v>41908</v>
      </c>
      <c r="Y634" s="8"/>
    </row>
    <row r="635" spans="1:25" x14ac:dyDescent="0.25">
      <c r="A635" t="str">
        <f>"14-0556"</f>
        <v>14-0556</v>
      </c>
      <c r="D635" s="8">
        <v>41908</v>
      </c>
      <c r="F635" s="8">
        <v>41908</v>
      </c>
      <c r="G635" s="8">
        <v>41908</v>
      </c>
      <c r="Y635" s="8"/>
    </row>
    <row r="636" spans="1:25" x14ac:dyDescent="0.25">
      <c r="A636" t="str">
        <f>"14-0557"</f>
        <v>14-0557</v>
      </c>
      <c r="D636" s="8">
        <v>41908</v>
      </c>
      <c r="F636" s="8">
        <v>41911</v>
      </c>
      <c r="G636" s="8">
        <v>41908</v>
      </c>
      <c r="Y636" s="8"/>
    </row>
    <row r="637" spans="1:25" x14ac:dyDescent="0.25">
      <c r="A637" t="str">
        <f>"14-0548"</f>
        <v>14-0548</v>
      </c>
      <c r="D637" s="8">
        <v>41907</v>
      </c>
      <c r="F637" s="8">
        <v>41907</v>
      </c>
      <c r="G637" s="8">
        <v>41907</v>
      </c>
      <c r="Y637" s="8"/>
    </row>
    <row r="638" spans="1:25" x14ac:dyDescent="0.25">
      <c r="A638" t="str">
        <f>"14-0549"</f>
        <v>14-0549</v>
      </c>
      <c r="D638" s="8">
        <v>41907</v>
      </c>
      <c r="F638" s="8">
        <v>41907</v>
      </c>
      <c r="G638" s="8">
        <v>41907</v>
      </c>
      <c r="Y638" s="8"/>
    </row>
    <row r="639" spans="1:25" x14ac:dyDescent="0.25">
      <c r="A639" t="str">
        <f>"14-0550"</f>
        <v>14-0550</v>
      </c>
      <c r="D639" s="8">
        <v>41907</v>
      </c>
      <c r="F639" s="8">
        <v>41908</v>
      </c>
      <c r="G639" s="8">
        <v>41907</v>
      </c>
      <c r="Y639" s="8"/>
    </row>
    <row r="640" spans="1:25" x14ac:dyDescent="0.25">
      <c r="A640" t="str">
        <f>"14-0551"</f>
        <v>14-0551</v>
      </c>
      <c r="D640" s="8">
        <v>41907</v>
      </c>
      <c r="F640" s="8">
        <v>41907</v>
      </c>
      <c r="G640" s="8">
        <v>41907</v>
      </c>
      <c r="Y640" s="8"/>
    </row>
    <row r="641" spans="1:25" x14ac:dyDescent="0.25">
      <c r="A641" t="str">
        <f>"14-0552"</f>
        <v>14-0552</v>
      </c>
      <c r="D641" s="8">
        <v>41907</v>
      </c>
      <c r="F641" s="8">
        <v>41907</v>
      </c>
      <c r="G641" s="8">
        <v>41912</v>
      </c>
      <c r="Y641" s="8"/>
    </row>
    <row r="642" spans="1:25" x14ac:dyDescent="0.25">
      <c r="A642" t="str">
        <f>"14-0553"</f>
        <v>14-0553</v>
      </c>
      <c r="D642" s="8">
        <v>41907</v>
      </c>
      <c r="F642" s="8">
        <v>41907</v>
      </c>
      <c r="G642" s="8">
        <v>41907</v>
      </c>
      <c r="Y642" s="8"/>
    </row>
    <row r="643" spans="1:25" x14ac:dyDescent="0.25">
      <c r="A643" t="str">
        <f>"14-0456B"</f>
        <v>14-0456B</v>
      </c>
      <c r="D643" s="8">
        <v>41906</v>
      </c>
      <c r="F643" s="8">
        <v>41906</v>
      </c>
      <c r="G643" s="8">
        <v>41906</v>
      </c>
      <c r="Y643" s="8"/>
    </row>
    <row r="644" spans="1:25" x14ac:dyDescent="0.25">
      <c r="A644" t="str">
        <f>"14-0541"</f>
        <v>14-0541</v>
      </c>
      <c r="D644" s="8">
        <v>41906</v>
      </c>
      <c r="F644" s="8">
        <v>41918</v>
      </c>
      <c r="G644" s="8">
        <v>41906</v>
      </c>
      <c r="Y644" s="8"/>
    </row>
    <row r="645" spans="1:25" x14ac:dyDescent="0.25">
      <c r="A645" t="str">
        <f>"14-0542"</f>
        <v>14-0542</v>
      </c>
      <c r="D645" s="8">
        <v>41906</v>
      </c>
      <c r="F645" s="8">
        <v>41906</v>
      </c>
      <c r="G645" s="8">
        <v>41906</v>
      </c>
      <c r="Y645" s="8"/>
    </row>
    <row r="646" spans="1:25" x14ac:dyDescent="0.25">
      <c r="A646" t="str">
        <f>"14-0543"</f>
        <v>14-0543</v>
      </c>
      <c r="D646" s="8">
        <v>41906</v>
      </c>
      <c r="F646" s="8">
        <v>41906</v>
      </c>
      <c r="G646" s="8">
        <v>41906</v>
      </c>
      <c r="Y646" s="8"/>
    </row>
    <row r="647" spans="1:25" x14ac:dyDescent="0.25">
      <c r="A647" t="str">
        <f>"14-0544"</f>
        <v>14-0544</v>
      </c>
      <c r="D647" s="8">
        <v>41906</v>
      </c>
      <c r="F647" s="8">
        <v>41907</v>
      </c>
      <c r="G647" s="8">
        <v>41905</v>
      </c>
      <c r="Y647" s="8"/>
    </row>
    <row r="648" spans="1:25" x14ac:dyDescent="0.25">
      <c r="A648" t="str">
        <f>"14-0545"</f>
        <v>14-0545</v>
      </c>
      <c r="D648" s="8">
        <v>41906</v>
      </c>
      <c r="F648" s="8">
        <v>41906</v>
      </c>
      <c r="G648" s="8">
        <v>41906</v>
      </c>
      <c r="Y648" s="8"/>
    </row>
    <row r="649" spans="1:25" x14ac:dyDescent="0.25">
      <c r="A649" t="str">
        <f>"14-0546"</f>
        <v>14-0546</v>
      </c>
      <c r="D649" s="8">
        <v>41906</v>
      </c>
      <c r="F649" s="8">
        <v>41906</v>
      </c>
      <c r="G649" s="8">
        <v>41906</v>
      </c>
      <c r="Y649" s="8"/>
    </row>
    <row r="650" spans="1:25" x14ac:dyDescent="0.25">
      <c r="A650" t="str">
        <f>"14-0547"</f>
        <v>14-0547</v>
      </c>
      <c r="D650" s="8">
        <v>41906</v>
      </c>
      <c r="F650" s="8">
        <v>41906</v>
      </c>
      <c r="G650" s="8">
        <v>41906</v>
      </c>
      <c r="Y650" s="8"/>
    </row>
    <row r="651" spans="1:25" x14ac:dyDescent="0.25">
      <c r="A651" t="str">
        <f>"14-0467B"</f>
        <v>14-0467B</v>
      </c>
      <c r="D651" s="8">
        <v>41905</v>
      </c>
      <c r="F651" s="8">
        <v>41905</v>
      </c>
      <c r="G651" s="8">
        <v>41905</v>
      </c>
      <c r="Y651" s="8"/>
    </row>
    <row r="652" spans="1:25" x14ac:dyDescent="0.25">
      <c r="A652" t="str">
        <f>"14-0537B"</f>
        <v>14-0537B</v>
      </c>
      <c r="D652" s="8">
        <v>41905</v>
      </c>
      <c r="F652" s="8">
        <v>41905</v>
      </c>
      <c r="G652" s="8">
        <v>41905</v>
      </c>
      <c r="Y652" s="8"/>
    </row>
    <row r="653" spans="1:25" x14ac:dyDescent="0.25">
      <c r="A653" t="str">
        <f>"14-0539"</f>
        <v>14-0539</v>
      </c>
      <c r="D653" s="8">
        <v>41905</v>
      </c>
      <c r="F653" s="8">
        <v>41905</v>
      </c>
      <c r="G653" s="8">
        <v>41905</v>
      </c>
      <c r="Y653" s="8"/>
    </row>
    <row r="654" spans="1:25" x14ac:dyDescent="0.25">
      <c r="A654" t="str">
        <f>"14-0540"</f>
        <v>14-0540</v>
      </c>
      <c r="D654" s="8">
        <v>41905</v>
      </c>
      <c r="F654" s="8">
        <v>41905</v>
      </c>
      <c r="G654" s="8">
        <v>41905</v>
      </c>
      <c r="Y654" s="8"/>
    </row>
    <row r="655" spans="1:25" x14ac:dyDescent="0.25">
      <c r="A655" t="str">
        <f>"14-0534"</f>
        <v>14-0534</v>
      </c>
      <c r="D655" s="8">
        <v>41904</v>
      </c>
      <c r="F655" s="8">
        <v>41904</v>
      </c>
      <c r="G655" s="8">
        <v>41904</v>
      </c>
      <c r="Y655" s="8"/>
    </row>
    <row r="656" spans="1:25" x14ac:dyDescent="0.25">
      <c r="A656" t="str">
        <f>"14-0535"</f>
        <v>14-0535</v>
      </c>
      <c r="D656" s="8">
        <v>41904</v>
      </c>
      <c r="F656" s="8">
        <v>41904</v>
      </c>
      <c r="G656" s="8">
        <v>41904</v>
      </c>
      <c r="Y656" s="8"/>
    </row>
    <row r="657" spans="1:25" x14ac:dyDescent="0.25">
      <c r="A657" t="str">
        <f>"14-0536"</f>
        <v>14-0536</v>
      </c>
      <c r="D657" s="8">
        <v>41904</v>
      </c>
      <c r="F657" s="8">
        <v>41920</v>
      </c>
      <c r="G657" s="8">
        <v>41904</v>
      </c>
      <c r="Y657" s="8"/>
    </row>
    <row r="658" spans="1:25" x14ac:dyDescent="0.25">
      <c r="A658" t="str">
        <f>"14-0537"</f>
        <v>14-0537</v>
      </c>
      <c r="D658" s="8">
        <v>41904</v>
      </c>
      <c r="F658" s="8">
        <v>41904</v>
      </c>
      <c r="G658" s="8">
        <v>41904</v>
      </c>
      <c r="Y658" s="8"/>
    </row>
    <row r="659" spans="1:25" x14ac:dyDescent="0.25">
      <c r="A659" t="str">
        <f>"14-0538"</f>
        <v>14-0538</v>
      </c>
      <c r="D659" s="8">
        <v>41904</v>
      </c>
      <c r="F659" s="8">
        <v>41904</v>
      </c>
      <c r="G659" s="8">
        <v>41904</v>
      </c>
      <c r="Y659" s="8"/>
    </row>
    <row r="660" spans="1:25" x14ac:dyDescent="0.25">
      <c r="A660" t="str">
        <f>"14-0532"</f>
        <v>14-0532</v>
      </c>
      <c r="D660" s="8">
        <v>41901</v>
      </c>
      <c r="F660" s="8">
        <v>41901</v>
      </c>
      <c r="G660" s="8">
        <v>41901</v>
      </c>
      <c r="Y660" s="8"/>
    </row>
    <row r="661" spans="1:25" x14ac:dyDescent="0.25">
      <c r="A661" t="str">
        <f>"14-0533"</f>
        <v>14-0533</v>
      </c>
      <c r="D661" s="8">
        <v>41901</v>
      </c>
      <c r="F661" s="8">
        <v>41918</v>
      </c>
      <c r="G661" s="8">
        <v>41901</v>
      </c>
      <c r="Y661" s="8"/>
    </row>
    <row r="662" spans="1:25" x14ac:dyDescent="0.25">
      <c r="A662" t="str">
        <f>"14-0504B"</f>
        <v>14-0504B</v>
      </c>
      <c r="D662" s="8">
        <v>41900</v>
      </c>
      <c r="F662" s="8">
        <v>41900</v>
      </c>
      <c r="G662" s="8">
        <v>41900</v>
      </c>
      <c r="Y662" s="8"/>
    </row>
    <row r="663" spans="1:25" x14ac:dyDescent="0.25">
      <c r="A663" t="str">
        <f>"14-0527"</f>
        <v>14-0527</v>
      </c>
      <c r="D663" s="8">
        <v>41900</v>
      </c>
      <c r="F663" s="8">
        <v>41900</v>
      </c>
      <c r="G663" s="8">
        <v>41900</v>
      </c>
      <c r="Y663" s="8"/>
    </row>
    <row r="664" spans="1:25" x14ac:dyDescent="0.25">
      <c r="A664" t="str">
        <f>"14-0528"</f>
        <v>14-0528</v>
      </c>
      <c r="D664" s="8">
        <v>41900</v>
      </c>
      <c r="F664" s="8">
        <v>41900</v>
      </c>
      <c r="G664" s="8">
        <v>41900</v>
      </c>
      <c r="Y664" s="8"/>
    </row>
    <row r="665" spans="1:25" x14ac:dyDescent="0.25">
      <c r="A665" t="str">
        <f>"14-0529"</f>
        <v>14-0529</v>
      </c>
      <c r="D665" s="8">
        <v>41900</v>
      </c>
      <c r="F665" s="8">
        <v>41957</v>
      </c>
      <c r="G665" s="8">
        <v>41898</v>
      </c>
      <c r="Y665" s="8"/>
    </row>
    <row r="666" spans="1:25" x14ac:dyDescent="0.25">
      <c r="A666" t="str">
        <f>"14-0530"</f>
        <v>14-0530</v>
      </c>
      <c r="D666" s="8">
        <v>41900</v>
      </c>
      <c r="F666" s="8">
        <v>41907</v>
      </c>
      <c r="G666" s="8">
        <v>41900</v>
      </c>
      <c r="Y666" s="8"/>
    </row>
    <row r="667" spans="1:25" x14ac:dyDescent="0.25">
      <c r="A667" t="str">
        <f>"14-0531"</f>
        <v>14-0531</v>
      </c>
      <c r="D667" s="8">
        <v>41900</v>
      </c>
      <c r="F667" s="8">
        <v>41901</v>
      </c>
      <c r="G667" s="8">
        <v>41900</v>
      </c>
      <c r="Y667" s="8"/>
    </row>
    <row r="668" spans="1:25" x14ac:dyDescent="0.25">
      <c r="A668" t="str">
        <f>"14-0518"</f>
        <v>14-0518</v>
      </c>
      <c r="D668" s="8">
        <v>41899</v>
      </c>
      <c r="F668" s="8">
        <v>41906</v>
      </c>
      <c r="G668" s="8">
        <v>41899</v>
      </c>
      <c r="Y668" s="8"/>
    </row>
    <row r="669" spans="1:25" x14ac:dyDescent="0.25">
      <c r="A669" t="str">
        <f>"14-0519"</f>
        <v>14-0519</v>
      </c>
      <c r="D669" s="8">
        <v>41899</v>
      </c>
      <c r="F669" s="8">
        <v>41899</v>
      </c>
      <c r="G669" s="8">
        <v>41899</v>
      </c>
      <c r="Y669" s="8"/>
    </row>
    <row r="670" spans="1:25" x14ac:dyDescent="0.25">
      <c r="A670" t="str">
        <f>"14-0520"</f>
        <v>14-0520</v>
      </c>
      <c r="D670" s="8">
        <v>41899</v>
      </c>
      <c r="F670" s="8">
        <v>41899</v>
      </c>
      <c r="G670" s="8">
        <v>41899</v>
      </c>
      <c r="Y670" s="8"/>
    </row>
    <row r="671" spans="1:25" x14ac:dyDescent="0.25">
      <c r="A671" t="str">
        <f>"14-0521"</f>
        <v>14-0521</v>
      </c>
      <c r="D671" s="8">
        <v>41899</v>
      </c>
      <c r="F671" s="8">
        <v>41900</v>
      </c>
      <c r="G671" s="8">
        <v>41899</v>
      </c>
      <c r="Y671" s="8"/>
    </row>
    <row r="672" spans="1:25" x14ac:dyDescent="0.25">
      <c r="A672" t="str">
        <f>"14-0522"</f>
        <v>14-0522</v>
      </c>
      <c r="D672" s="8">
        <v>41899</v>
      </c>
      <c r="F672" s="8">
        <v>41899</v>
      </c>
      <c r="G672" s="8">
        <v>41899</v>
      </c>
      <c r="Y672" s="8"/>
    </row>
    <row r="673" spans="1:25" x14ac:dyDescent="0.25">
      <c r="A673" t="str">
        <f>"14-0523"</f>
        <v>14-0523</v>
      </c>
      <c r="D673" s="8">
        <v>41899</v>
      </c>
      <c r="F673" s="8">
        <v>41899</v>
      </c>
      <c r="G673" s="8">
        <v>41899</v>
      </c>
      <c r="Y673" s="8"/>
    </row>
    <row r="674" spans="1:25" x14ac:dyDescent="0.25">
      <c r="A674" t="str">
        <f>"14-0524"</f>
        <v>14-0524</v>
      </c>
      <c r="D674" s="8">
        <v>41899</v>
      </c>
      <c r="F674" s="8">
        <v>41899</v>
      </c>
      <c r="G674" s="8">
        <v>41899</v>
      </c>
      <c r="Y674" s="8"/>
    </row>
    <row r="675" spans="1:25" x14ac:dyDescent="0.25">
      <c r="A675" t="str">
        <f>"14-0525"</f>
        <v>14-0525</v>
      </c>
      <c r="D675" s="8">
        <v>41899</v>
      </c>
      <c r="F675" s="8">
        <v>41899</v>
      </c>
      <c r="G675" s="8">
        <v>41899</v>
      </c>
      <c r="Y675" s="8"/>
    </row>
    <row r="676" spans="1:25" x14ac:dyDescent="0.25">
      <c r="A676" t="str">
        <f>"14-0526"</f>
        <v>14-0526</v>
      </c>
      <c r="D676" s="8">
        <v>41899</v>
      </c>
      <c r="F676" s="8">
        <v>41899</v>
      </c>
      <c r="G676" s="8">
        <v>41899</v>
      </c>
      <c r="Y676" s="8"/>
    </row>
    <row r="677" spans="1:25" x14ac:dyDescent="0.25">
      <c r="A677" t="str">
        <f>"14-0511"</f>
        <v>14-0511</v>
      </c>
      <c r="D677" s="8">
        <v>41898</v>
      </c>
      <c r="F677" s="8">
        <v>41899</v>
      </c>
      <c r="G677" s="8">
        <v>41898</v>
      </c>
      <c r="Y677" s="8"/>
    </row>
    <row r="678" spans="1:25" x14ac:dyDescent="0.25">
      <c r="A678" t="str">
        <f>"14-0512"</f>
        <v>14-0512</v>
      </c>
      <c r="D678" s="8">
        <v>41898</v>
      </c>
      <c r="F678" s="8">
        <v>41898</v>
      </c>
      <c r="G678" s="8">
        <v>41898</v>
      </c>
      <c r="Y678" s="8"/>
    </row>
    <row r="679" spans="1:25" x14ac:dyDescent="0.25">
      <c r="A679" t="str">
        <f>"14-0513"</f>
        <v>14-0513</v>
      </c>
      <c r="D679" s="8">
        <v>41898</v>
      </c>
      <c r="F679" s="8">
        <v>41898</v>
      </c>
      <c r="G679" s="8">
        <v>41898</v>
      </c>
      <c r="Y679" s="8"/>
    </row>
    <row r="680" spans="1:25" x14ac:dyDescent="0.25">
      <c r="A680" t="str">
        <f>"14-0514"</f>
        <v>14-0514</v>
      </c>
      <c r="D680" s="8">
        <v>41898</v>
      </c>
      <c r="F680" s="8">
        <v>41898</v>
      </c>
      <c r="G680" s="8">
        <v>41898</v>
      </c>
      <c r="Y680" s="8"/>
    </row>
    <row r="681" spans="1:25" x14ac:dyDescent="0.25">
      <c r="A681" t="str">
        <f>"14-0515"</f>
        <v>14-0515</v>
      </c>
      <c r="D681" s="8">
        <v>41898</v>
      </c>
      <c r="F681" s="8">
        <v>41898</v>
      </c>
      <c r="G681" s="8">
        <v>41901</v>
      </c>
      <c r="Y681" s="8"/>
    </row>
    <row r="682" spans="1:25" x14ac:dyDescent="0.25">
      <c r="A682" t="str">
        <f>"14-0516"</f>
        <v>14-0516</v>
      </c>
      <c r="D682" s="8">
        <v>41898</v>
      </c>
      <c r="F682" s="8">
        <v>41898</v>
      </c>
      <c r="G682" s="8">
        <v>41901</v>
      </c>
      <c r="Y682" s="8"/>
    </row>
    <row r="683" spans="1:25" x14ac:dyDescent="0.25">
      <c r="A683" t="str">
        <f>"14-0517"</f>
        <v>14-0517</v>
      </c>
      <c r="D683" s="8">
        <v>41898</v>
      </c>
      <c r="F683" s="8">
        <v>41898</v>
      </c>
      <c r="G683" s="8">
        <v>41898</v>
      </c>
      <c r="Y683" s="8"/>
    </row>
    <row r="684" spans="1:25" x14ac:dyDescent="0.25">
      <c r="A684" t="str">
        <f>"14-0505"</f>
        <v>14-0505</v>
      </c>
      <c r="D684" s="8">
        <v>41897</v>
      </c>
      <c r="F684" s="8">
        <v>41897</v>
      </c>
      <c r="G684" s="8">
        <v>41897</v>
      </c>
      <c r="Y684" s="8"/>
    </row>
    <row r="685" spans="1:25" x14ac:dyDescent="0.25">
      <c r="A685" t="str">
        <f>"14-0506"</f>
        <v>14-0506</v>
      </c>
      <c r="D685" s="8">
        <v>41897</v>
      </c>
      <c r="F685" s="8">
        <v>41897</v>
      </c>
      <c r="G685" s="8">
        <v>41897</v>
      </c>
      <c r="Y685" s="8"/>
    </row>
    <row r="686" spans="1:25" x14ac:dyDescent="0.25">
      <c r="A686" t="str">
        <f>"14-0507"</f>
        <v>14-0507</v>
      </c>
      <c r="D686" s="8">
        <v>41897</v>
      </c>
      <c r="F686" s="8">
        <v>41897</v>
      </c>
      <c r="G686" s="8">
        <v>41897</v>
      </c>
      <c r="Y686" s="8"/>
    </row>
    <row r="687" spans="1:25" x14ac:dyDescent="0.25">
      <c r="A687" t="str">
        <f>"14-0508"</f>
        <v>14-0508</v>
      </c>
      <c r="D687" s="8">
        <v>41897</v>
      </c>
      <c r="F687" s="8">
        <v>41906</v>
      </c>
      <c r="G687" s="8">
        <v>41897</v>
      </c>
      <c r="Y687" s="8"/>
    </row>
    <row r="688" spans="1:25" x14ac:dyDescent="0.25">
      <c r="A688" t="str">
        <f>"14-0509"</f>
        <v>14-0509</v>
      </c>
      <c r="D688" s="8">
        <v>41897</v>
      </c>
      <c r="F688" s="8">
        <v>41897</v>
      </c>
      <c r="G688" s="8">
        <v>41897</v>
      </c>
      <c r="Y688" s="8"/>
    </row>
    <row r="689" spans="1:25" x14ac:dyDescent="0.25">
      <c r="A689" t="str">
        <f>"14-0510"</f>
        <v>14-0510</v>
      </c>
      <c r="D689" s="8">
        <v>41897</v>
      </c>
      <c r="F689" s="8">
        <v>41897</v>
      </c>
      <c r="G689" s="8">
        <v>41897</v>
      </c>
      <c r="Y689" s="8"/>
    </row>
    <row r="690" spans="1:25" x14ac:dyDescent="0.25">
      <c r="A690" t="str">
        <f>"14-0494B"</f>
        <v>14-0494B</v>
      </c>
      <c r="D690" s="8">
        <v>41894</v>
      </c>
      <c r="F690" s="8">
        <v>41907</v>
      </c>
      <c r="G690" s="8">
        <v>41894</v>
      </c>
      <c r="Y690" s="8"/>
    </row>
    <row r="691" spans="1:25" x14ac:dyDescent="0.25">
      <c r="A691" t="str">
        <f>"14-0503"</f>
        <v>14-0503</v>
      </c>
      <c r="D691" s="8">
        <v>41894</v>
      </c>
      <c r="F691" s="8">
        <v>41955</v>
      </c>
      <c r="G691" s="8">
        <v>41894</v>
      </c>
      <c r="Y691" s="8"/>
    </row>
    <row r="692" spans="1:25" x14ac:dyDescent="0.25">
      <c r="A692" t="str">
        <f>"14-0504"</f>
        <v>14-0504</v>
      </c>
      <c r="D692" s="8">
        <v>41894</v>
      </c>
      <c r="F692" s="8">
        <v>41894</v>
      </c>
      <c r="G692" s="8">
        <v>41894</v>
      </c>
      <c r="Y692" s="8"/>
    </row>
    <row r="693" spans="1:25" x14ac:dyDescent="0.25">
      <c r="A693" t="str">
        <f>"14-0500"</f>
        <v>14-0500</v>
      </c>
      <c r="D693" s="8">
        <v>41893</v>
      </c>
      <c r="F693" s="8">
        <v>41893</v>
      </c>
      <c r="G693" s="8">
        <v>41893</v>
      </c>
      <c r="Y693" s="8"/>
    </row>
    <row r="694" spans="1:25" x14ac:dyDescent="0.25">
      <c r="A694" t="str">
        <f>"14-0501"</f>
        <v>14-0501</v>
      </c>
      <c r="D694" s="8">
        <v>41893</v>
      </c>
      <c r="F694" s="8">
        <v>41893</v>
      </c>
      <c r="G694" s="8">
        <v>41892</v>
      </c>
      <c r="Y694" s="8"/>
    </row>
    <row r="695" spans="1:25" x14ac:dyDescent="0.25">
      <c r="A695" t="str">
        <f>"14-0502"</f>
        <v>14-0502</v>
      </c>
      <c r="D695" s="8">
        <v>41893</v>
      </c>
      <c r="F695" s="8">
        <v>41905</v>
      </c>
      <c r="G695" s="8">
        <v>41893</v>
      </c>
      <c r="Y695" s="8"/>
    </row>
    <row r="696" spans="1:25" x14ac:dyDescent="0.25">
      <c r="A696" t="str">
        <f>"14-0498"</f>
        <v>14-0498</v>
      </c>
      <c r="D696" s="8">
        <v>41892</v>
      </c>
      <c r="F696" s="8">
        <v>41892</v>
      </c>
      <c r="G696" s="8">
        <v>41892</v>
      </c>
      <c r="Y696" s="8"/>
    </row>
    <row r="697" spans="1:25" x14ac:dyDescent="0.25">
      <c r="A697" t="str">
        <f>"14-0499"</f>
        <v>14-0499</v>
      </c>
      <c r="D697" s="8">
        <v>41892</v>
      </c>
      <c r="F697" s="8">
        <v>41892</v>
      </c>
      <c r="G697" s="8">
        <v>41892</v>
      </c>
      <c r="Y697" s="8"/>
    </row>
    <row r="698" spans="1:25" x14ac:dyDescent="0.25">
      <c r="A698" t="str">
        <f>"14-0497"</f>
        <v>14-0497</v>
      </c>
      <c r="D698" s="8">
        <v>41890</v>
      </c>
      <c r="F698" s="8">
        <v>41890</v>
      </c>
      <c r="G698" s="8">
        <v>41890</v>
      </c>
      <c r="Y698" s="8"/>
    </row>
    <row r="699" spans="1:25" x14ac:dyDescent="0.25">
      <c r="A699" t="str">
        <f>"14-0494"</f>
        <v>14-0494</v>
      </c>
      <c r="D699" s="8">
        <v>41887</v>
      </c>
      <c r="F699" s="8">
        <v>41894</v>
      </c>
      <c r="G699" s="8">
        <v>41894</v>
      </c>
      <c r="Y699" s="8"/>
    </row>
    <row r="700" spans="1:25" x14ac:dyDescent="0.25">
      <c r="A700" t="str">
        <f>"14-0495"</f>
        <v>14-0495</v>
      </c>
      <c r="D700" s="8">
        <v>41887</v>
      </c>
      <c r="F700" s="8">
        <v>41905</v>
      </c>
      <c r="G700" s="8">
        <v>41887</v>
      </c>
      <c r="Y700" s="8"/>
    </row>
    <row r="701" spans="1:25" x14ac:dyDescent="0.25">
      <c r="A701" t="str">
        <f>"14-0496"</f>
        <v>14-0496</v>
      </c>
      <c r="D701" s="8">
        <v>41887</v>
      </c>
      <c r="F701" s="8">
        <v>41887</v>
      </c>
      <c r="G701" s="8">
        <v>41887</v>
      </c>
      <c r="Y701" s="8"/>
    </row>
    <row r="702" spans="1:25" x14ac:dyDescent="0.25">
      <c r="A702" t="str">
        <f>"14-0492"</f>
        <v>14-0492</v>
      </c>
      <c r="D702" s="8">
        <v>41886</v>
      </c>
      <c r="F702" s="8">
        <v>41886</v>
      </c>
      <c r="G702" s="8">
        <v>41886</v>
      </c>
      <c r="Y702" s="8"/>
    </row>
    <row r="703" spans="1:25" x14ac:dyDescent="0.25">
      <c r="A703" t="str">
        <f>"14-0493"</f>
        <v>14-0493</v>
      </c>
      <c r="D703" s="8">
        <v>41886</v>
      </c>
      <c r="F703" s="8">
        <v>41893</v>
      </c>
      <c r="G703" s="8">
        <v>41886</v>
      </c>
      <c r="Y703" s="8"/>
    </row>
    <row r="704" spans="1:25" x14ac:dyDescent="0.25">
      <c r="A704" t="str">
        <f>"14-0490"</f>
        <v>14-0490</v>
      </c>
      <c r="D704" s="8">
        <v>41884</v>
      </c>
      <c r="F704" s="8">
        <v>41884</v>
      </c>
      <c r="G704" s="8">
        <v>41884</v>
      </c>
      <c r="Y704" s="8"/>
    </row>
    <row r="705" spans="1:25" x14ac:dyDescent="0.25">
      <c r="A705" t="str">
        <f>"14-0491"</f>
        <v>14-0491</v>
      </c>
      <c r="D705" s="8">
        <v>41884</v>
      </c>
      <c r="F705" s="8">
        <v>41886</v>
      </c>
      <c r="G705" s="8">
        <v>41884</v>
      </c>
      <c r="Y705" s="8"/>
    </row>
    <row r="706" spans="1:25" x14ac:dyDescent="0.25">
      <c r="A706" t="str">
        <f>"14-0487"</f>
        <v>14-0487</v>
      </c>
      <c r="D706" s="8">
        <v>41883</v>
      </c>
      <c r="F706" s="8">
        <v>41883</v>
      </c>
      <c r="G706" s="8">
        <v>41884</v>
      </c>
      <c r="Y706" s="8"/>
    </row>
    <row r="707" spans="1:25" x14ac:dyDescent="0.25">
      <c r="A707" t="str">
        <f>"14-0488"</f>
        <v>14-0488</v>
      </c>
      <c r="D707" s="8">
        <v>41883</v>
      </c>
      <c r="F707" s="8">
        <v>41883</v>
      </c>
      <c r="G707" s="8">
        <v>41883</v>
      </c>
      <c r="Y707" s="8"/>
    </row>
    <row r="708" spans="1:25" x14ac:dyDescent="0.25">
      <c r="A708" t="str">
        <f>"14-0489"</f>
        <v>14-0489</v>
      </c>
      <c r="D708" s="8">
        <v>41883</v>
      </c>
      <c r="F708" s="8">
        <v>41883</v>
      </c>
      <c r="G708" s="8">
        <v>41883</v>
      </c>
      <c r="Y708" s="8"/>
    </row>
    <row r="709" spans="1:25" x14ac:dyDescent="0.25">
      <c r="A709" t="str">
        <f>"14-0486"</f>
        <v>14-0486</v>
      </c>
      <c r="D709" s="8">
        <v>41880</v>
      </c>
      <c r="F709" s="8">
        <v>41960</v>
      </c>
      <c r="G709" s="8">
        <v>41880</v>
      </c>
      <c r="Y709" s="8"/>
    </row>
    <row r="710" spans="1:25" x14ac:dyDescent="0.25">
      <c r="A710" t="str">
        <f>"14-0484"</f>
        <v>14-0484</v>
      </c>
      <c r="D710" s="8">
        <v>41879</v>
      </c>
      <c r="F710" s="8">
        <v>41879</v>
      </c>
      <c r="G710" s="8">
        <v>41879</v>
      </c>
      <c r="Y710" s="8"/>
    </row>
    <row r="711" spans="1:25" x14ac:dyDescent="0.25">
      <c r="A711" t="str">
        <f>"14-0485"</f>
        <v>14-0485</v>
      </c>
      <c r="D711" s="8">
        <v>41879</v>
      </c>
      <c r="F711" s="8">
        <v>41879</v>
      </c>
      <c r="G711" s="8">
        <v>41879</v>
      </c>
      <c r="Y711" s="8"/>
    </row>
    <row r="712" spans="1:25" x14ac:dyDescent="0.25">
      <c r="A712" t="str">
        <f>"14-0478"</f>
        <v>14-0478</v>
      </c>
      <c r="D712" s="8">
        <v>41877</v>
      </c>
      <c r="F712" s="8">
        <v>41877</v>
      </c>
      <c r="G712" s="8">
        <v>41877</v>
      </c>
      <c r="Y712" s="8"/>
    </row>
    <row r="713" spans="1:25" x14ac:dyDescent="0.25">
      <c r="A713" t="str">
        <f>"14-0479"</f>
        <v>14-0479</v>
      </c>
      <c r="D713" s="8">
        <v>41877</v>
      </c>
      <c r="F713" s="8">
        <v>41877</v>
      </c>
      <c r="G713" s="8">
        <v>41877</v>
      </c>
      <c r="Y713" s="8"/>
    </row>
    <row r="714" spans="1:25" x14ac:dyDescent="0.25">
      <c r="A714" t="str">
        <f>"14-0480"</f>
        <v>14-0480</v>
      </c>
      <c r="D714" s="8">
        <v>41877</v>
      </c>
      <c r="F714" s="8">
        <v>41877</v>
      </c>
      <c r="G714" s="8">
        <v>41877</v>
      </c>
      <c r="Y714" s="8"/>
    </row>
    <row r="715" spans="1:25" x14ac:dyDescent="0.25">
      <c r="A715" t="str">
        <f>"14-0481"</f>
        <v>14-0481</v>
      </c>
      <c r="D715" s="8">
        <v>41877</v>
      </c>
      <c r="F715" s="8">
        <v>41877</v>
      </c>
      <c r="G715" s="8">
        <v>41877</v>
      </c>
      <c r="Y715" s="8"/>
    </row>
    <row r="716" spans="1:25" x14ac:dyDescent="0.25">
      <c r="A716" t="str">
        <f>"14-0482"</f>
        <v>14-0482</v>
      </c>
      <c r="D716" s="8">
        <v>41877</v>
      </c>
      <c r="F716" s="8">
        <v>41877</v>
      </c>
      <c r="G716" s="8">
        <v>41877</v>
      </c>
      <c r="Y716" s="8"/>
    </row>
    <row r="717" spans="1:25" x14ac:dyDescent="0.25">
      <c r="A717" t="str">
        <f>"14-0483"</f>
        <v>14-0483</v>
      </c>
      <c r="D717" s="8">
        <v>41877</v>
      </c>
      <c r="F717" s="8">
        <v>41877</v>
      </c>
      <c r="G717" s="8">
        <v>41877</v>
      </c>
      <c r="Y717" s="8"/>
    </row>
    <row r="718" spans="1:25" x14ac:dyDescent="0.25">
      <c r="A718" t="str">
        <f>"14-0474"</f>
        <v>14-0474</v>
      </c>
      <c r="D718" s="8">
        <v>41876</v>
      </c>
      <c r="F718" s="8">
        <v>41876</v>
      </c>
      <c r="G718" s="8">
        <v>41876</v>
      </c>
      <c r="Y718" s="8"/>
    </row>
    <row r="719" spans="1:25" x14ac:dyDescent="0.25">
      <c r="A719" t="str">
        <f>"14-0475"</f>
        <v>14-0475</v>
      </c>
      <c r="D719" s="8">
        <v>41876</v>
      </c>
      <c r="F719" s="8">
        <v>41876</v>
      </c>
      <c r="G719" s="8">
        <v>41876</v>
      </c>
      <c r="Y719" s="8"/>
    </row>
    <row r="720" spans="1:25" x14ac:dyDescent="0.25">
      <c r="A720" t="str">
        <f>"14-0476"</f>
        <v>14-0476</v>
      </c>
      <c r="D720" s="8">
        <v>41876</v>
      </c>
      <c r="F720" s="8">
        <v>41876</v>
      </c>
      <c r="G720" s="8">
        <v>41876</v>
      </c>
      <c r="Y720" s="8"/>
    </row>
    <row r="721" spans="1:25" x14ac:dyDescent="0.25">
      <c r="A721" t="str">
        <f>"14-0477"</f>
        <v>14-0477</v>
      </c>
      <c r="D721" s="8">
        <v>41876</v>
      </c>
      <c r="F721" s="8">
        <v>41876</v>
      </c>
      <c r="G721" s="8">
        <v>41876</v>
      </c>
      <c r="Y721" s="8"/>
    </row>
    <row r="722" spans="1:25" x14ac:dyDescent="0.25">
      <c r="A722" t="str">
        <f>"14-0470"</f>
        <v>14-0470</v>
      </c>
      <c r="D722" s="8">
        <v>41873</v>
      </c>
      <c r="F722" s="8">
        <v>41873</v>
      </c>
      <c r="G722" s="8">
        <v>41885</v>
      </c>
      <c r="Y722" s="8"/>
    </row>
    <row r="723" spans="1:25" x14ac:dyDescent="0.25">
      <c r="A723" t="str">
        <f>"14-0471"</f>
        <v>14-0471</v>
      </c>
      <c r="D723" s="8">
        <v>41873</v>
      </c>
      <c r="F723" s="8">
        <v>41873</v>
      </c>
      <c r="G723" s="8">
        <v>41873</v>
      </c>
      <c r="Y723" s="8"/>
    </row>
    <row r="724" spans="1:25" x14ac:dyDescent="0.25">
      <c r="A724" t="str">
        <f>"14-0472"</f>
        <v>14-0472</v>
      </c>
      <c r="D724" s="8">
        <v>41873</v>
      </c>
      <c r="F724" s="8">
        <v>41873</v>
      </c>
      <c r="G724" s="8">
        <v>41873</v>
      </c>
      <c r="Y724" s="8"/>
    </row>
    <row r="725" spans="1:25" x14ac:dyDescent="0.25">
      <c r="A725" t="str">
        <f>"14-0473"</f>
        <v>14-0473</v>
      </c>
      <c r="D725" s="8">
        <v>41873</v>
      </c>
      <c r="F725" s="8">
        <v>41873</v>
      </c>
      <c r="G725" s="8">
        <v>41873</v>
      </c>
      <c r="Y725" s="8"/>
    </row>
    <row r="726" spans="1:25" x14ac:dyDescent="0.25">
      <c r="A726" t="str">
        <f>"14-0467"</f>
        <v>14-0467</v>
      </c>
      <c r="D726" s="8">
        <v>41872</v>
      </c>
      <c r="F726" s="8">
        <v>41872</v>
      </c>
      <c r="G726" s="8">
        <v>41872</v>
      </c>
      <c r="Y726" s="8"/>
    </row>
    <row r="727" spans="1:25" x14ac:dyDescent="0.25">
      <c r="A727" t="str">
        <f>"14-0468"</f>
        <v>14-0468</v>
      </c>
      <c r="D727" s="8">
        <v>41872</v>
      </c>
      <c r="F727" s="8">
        <v>41872</v>
      </c>
      <c r="G727" s="8">
        <v>41873</v>
      </c>
      <c r="Y727" s="8"/>
    </row>
    <row r="728" spans="1:25" x14ac:dyDescent="0.25">
      <c r="A728" t="str">
        <f>"14-0469"</f>
        <v>14-0469</v>
      </c>
      <c r="D728" s="8">
        <v>41872</v>
      </c>
      <c r="F728" s="8">
        <v>41872</v>
      </c>
      <c r="G728" s="8">
        <v>41872</v>
      </c>
      <c r="Y728" s="8"/>
    </row>
    <row r="729" spans="1:25" x14ac:dyDescent="0.25">
      <c r="A729" t="str">
        <f>"14-0466"</f>
        <v>14-0466</v>
      </c>
      <c r="D729" s="8">
        <v>41865</v>
      </c>
      <c r="F729" s="8">
        <v>41865</v>
      </c>
      <c r="G729" s="8">
        <v>41865</v>
      </c>
      <c r="Y729" s="8"/>
    </row>
    <row r="730" spans="1:25" x14ac:dyDescent="0.25">
      <c r="A730" t="str">
        <f>"14-0457B"</f>
        <v>14-0457B</v>
      </c>
      <c r="D730" s="8">
        <v>41864</v>
      </c>
      <c r="F730" s="8">
        <v>41864</v>
      </c>
      <c r="G730" s="8">
        <v>41864</v>
      </c>
      <c r="Y730" s="8"/>
    </row>
    <row r="731" spans="1:25" x14ac:dyDescent="0.25">
      <c r="A731" t="str">
        <f>"14-0465"</f>
        <v>14-0465</v>
      </c>
      <c r="D731" s="8">
        <v>41864</v>
      </c>
      <c r="F731" s="8">
        <v>41864</v>
      </c>
      <c r="G731" s="8">
        <v>41864</v>
      </c>
      <c r="Y731" s="8"/>
    </row>
    <row r="732" spans="1:25" x14ac:dyDescent="0.25">
      <c r="A732" t="str">
        <f>"14-0464"</f>
        <v>14-0464</v>
      </c>
      <c r="D732" s="8">
        <v>41862</v>
      </c>
      <c r="F732" s="8">
        <v>41862</v>
      </c>
      <c r="G732" s="8">
        <v>41862</v>
      </c>
      <c r="Y732" s="8"/>
    </row>
    <row r="733" spans="1:25" x14ac:dyDescent="0.25">
      <c r="A733" t="str">
        <f>"14-0460"</f>
        <v>14-0460</v>
      </c>
      <c r="D733" s="8">
        <v>41858</v>
      </c>
      <c r="F733" s="8">
        <v>41858</v>
      </c>
      <c r="G733" s="8">
        <v>41858</v>
      </c>
      <c r="Y733" s="8"/>
    </row>
    <row r="734" spans="1:25" x14ac:dyDescent="0.25">
      <c r="A734" t="str">
        <f>"14-0461"</f>
        <v>14-0461</v>
      </c>
      <c r="D734" s="8">
        <v>41858</v>
      </c>
      <c r="F734" s="8">
        <v>41858</v>
      </c>
      <c r="G734" s="8">
        <v>41858</v>
      </c>
      <c r="Y734" s="8"/>
    </row>
    <row r="735" spans="1:25" x14ac:dyDescent="0.25">
      <c r="A735" t="str">
        <f>"14-0462"</f>
        <v>14-0462</v>
      </c>
      <c r="D735" s="8">
        <v>41858</v>
      </c>
      <c r="F735" s="8">
        <v>41858</v>
      </c>
      <c r="G735" s="8">
        <v>41858</v>
      </c>
      <c r="Y735" s="8"/>
    </row>
    <row r="736" spans="1:25" x14ac:dyDescent="0.25">
      <c r="A736" t="str">
        <f>"14-0463"</f>
        <v>14-0463</v>
      </c>
      <c r="D736" s="8">
        <v>41858</v>
      </c>
      <c r="F736" s="8">
        <v>41859</v>
      </c>
      <c r="G736" s="8">
        <v>41858</v>
      </c>
      <c r="Y736" s="8"/>
    </row>
    <row r="737" spans="1:25" x14ac:dyDescent="0.25">
      <c r="A737" t="str">
        <f>"14-0459"</f>
        <v>14-0459</v>
      </c>
      <c r="D737" s="8">
        <v>41857</v>
      </c>
      <c r="F737" s="8">
        <v>41857</v>
      </c>
      <c r="G737" s="8">
        <v>41857</v>
      </c>
      <c r="Y737" s="8"/>
    </row>
    <row r="738" spans="1:25" x14ac:dyDescent="0.25">
      <c r="A738" t="str">
        <f>"14-0439B"</f>
        <v>14-0439B</v>
      </c>
      <c r="D738" s="8">
        <v>41855</v>
      </c>
      <c r="F738" s="8">
        <v>41855</v>
      </c>
      <c r="G738" s="8">
        <v>41855</v>
      </c>
      <c r="Y738" s="8"/>
    </row>
    <row r="739" spans="1:25" x14ac:dyDescent="0.25">
      <c r="A739" t="str">
        <f>"14-0456"</f>
        <v>14-0456</v>
      </c>
      <c r="D739" s="8">
        <v>41855</v>
      </c>
      <c r="F739" s="8">
        <v>41855</v>
      </c>
      <c r="G739" s="8">
        <v>41855</v>
      </c>
      <c r="Y739" s="8"/>
    </row>
    <row r="740" spans="1:25" x14ac:dyDescent="0.25">
      <c r="A740" t="str">
        <f>"14-0457"</f>
        <v>14-0457</v>
      </c>
      <c r="D740" s="8">
        <v>41855</v>
      </c>
      <c r="F740" s="8">
        <v>41855</v>
      </c>
      <c r="G740" s="8">
        <v>41855</v>
      </c>
      <c r="Y740" s="8"/>
    </row>
    <row r="741" spans="1:25" x14ac:dyDescent="0.25">
      <c r="A741" t="str">
        <f>"14-0458"</f>
        <v>14-0458</v>
      </c>
      <c r="D741" s="8">
        <v>41855</v>
      </c>
      <c r="F741" s="8">
        <v>41855</v>
      </c>
      <c r="G741" s="8">
        <v>41855</v>
      </c>
      <c r="Y741" s="8"/>
    </row>
    <row r="742" spans="1:25" x14ac:dyDescent="0.25">
      <c r="A742" t="str">
        <f>"14-0454"</f>
        <v>14-0454</v>
      </c>
      <c r="D742" s="8">
        <v>41852</v>
      </c>
      <c r="F742" s="8">
        <v>41852</v>
      </c>
      <c r="G742" s="8">
        <v>41852</v>
      </c>
      <c r="Y742" s="8"/>
    </row>
    <row r="743" spans="1:25" x14ac:dyDescent="0.25">
      <c r="A743" t="str">
        <f>"14-0455"</f>
        <v>14-0455</v>
      </c>
      <c r="D743" s="8">
        <v>41852</v>
      </c>
      <c r="F743" s="8">
        <v>41852</v>
      </c>
      <c r="G743" s="8">
        <v>41852</v>
      </c>
      <c r="Y743" s="8"/>
    </row>
    <row r="744" spans="1:25" x14ac:dyDescent="0.25">
      <c r="A744" t="str">
        <f>"14-0451"</f>
        <v>14-0451</v>
      </c>
      <c r="D744" s="8">
        <v>41851</v>
      </c>
      <c r="F744" s="8">
        <v>41851</v>
      </c>
      <c r="G744" s="8">
        <v>41851</v>
      </c>
      <c r="Y744" s="8"/>
    </row>
    <row r="745" spans="1:25" x14ac:dyDescent="0.25">
      <c r="A745" t="str">
        <f>"14-0451B"</f>
        <v>14-0451B</v>
      </c>
      <c r="D745" s="8">
        <v>41851</v>
      </c>
      <c r="F745" s="8">
        <v>41851</v>
      </c>
      <c r="G745" s="8">
        <v>41851</v>
      </c>
      <c r="Y745" s="8"/>
    </row>
    <row r="746" spans="1:25" x14ac:dyDescent="0.25">
      <c r="A746" t="str">
        <f>"14-0452"</f>
        <v>14-0452</v>
      </c>
      <c r="D746" s="8">
        <v>41851</v>
      </c>
      <c r="F746" s="8">
        <v>41851</v>
      </c>
      <c r="G746" s="8">
        <v>41851</v>
      </c>
      <c r="Y746" s="8"/>
    </row>
    <row r="747" spans="1:25" x14ac:dyDescent="0.25">
      <c r="A747" t="str">
        <f>"14-0453"</f>
        <v>14-0453</v>
      </c>
      <c r="D747" s="8">
        <v>41851</v>
      </c>
      <c r="F747" s="8">
        <v>41851</v>
      </c>
      <c r="G747" s="8">
        <v>41851</v>
      </c>
      <c r="Y747" s="8"/>
    </row>
    <row r="748" spans="1:25" x14ac:dyDescent="0.25">
      <c r="A748" t="str">
        <f>"14-0444B"</f>
        <v>14-0444B</v>
      </c>
      <c r="D748" s="8">
        <v>41850</v>
      </c>
      <c r="F748" s="8">
        <v>41850</v>
      </c>
      <c r="G748" s="8">
        <v>41850</v>
      </c>
      <c r="Y748" s="8"/>
    </row>
    <row r="749" spans="1:25" x14ac:dyDescent="0.25">
      <c r="A749" t="str">
        <f>"14-0448"</f>
        <v>14-0448</v>
      </c>
      <c r="D749" s="8">
        <v>41850</v>
      </c>
      <c r="F749" s="8">
        <v>41850</v>
      </c>
      <c r="G749" s="8">
        <v>41850</v>
      </c>
      <c r="Y749" s="8"/>
    </row>
    <row r="750" spans="1:25" x14ac:dyDescent="0.25">
      <c r="A750" t="str">
        <f>"14-0449"</f>
        <v>14-0449</v>
      </c>
      <c r="D750" s="8">
        <v>41850</v>
      </c>
      <c r="F750" s="8">
        <v>41850</v>
      </c>
      <c r="G750" s="8">
        <v>41851</v>
      </c>
      <c r="Y750" s="8"/>
    </row>
    <row r="751" spans="1:25" x14ac:dyDescent="0.25">
      <c r="A751" t="str">
        <f>"14-0450"</f>
        <v>14-0450</v>
      </c>
      <c r="D751" s="8">
        <v>41850</v>
      </c>
      <c r="F751" s="8">
        <v>41850</v>
      </c>
      <c r="G751" s="8">
        <v>41850</v>
      </c>
      <c r="Y751" s="8"/>
    </row>
    <row r="752" spans="1:25" x14ac:dyDescent="0.25">
      <c r="A752" t="str">
        <f>"14-0432B"</f>
        <v>14-0432B</v>
      </c>
      <c r="D752" s="8">
        <v>41849</v>
      </c>
      <c r="F752" s="8">
        <v>41849</v>
      </c>
      <c r="G752" s="8">
        <v>41849</v>
      </c>
      <c r="Y752" s="8"/>
    </row>
    <row r="753" spans="1:25" x14ac:dyDescent="0.25">
      <c r="A753" t="str">
        <f>"14-0442"</f>
        <v>14-0442</v>
      </c>
      <c r="D753" s="8">
        <v>41849</v>
      </c>
      <c r="F753" s="8">
        <v>41849</v>
      </c>
      <c r="G753" s="8">
        <v>41849</v>
      </c>
      <c r="Y753" s="8"/>
    </row>
    <row r="754" spans="1:25" x14ac:dyDescent="0.25">
      <c r="A754" t="str">
        <f>"14-0443"</f>
        <v>14-0443</v>
      </c>
      <c r="D754" s="8">
        <v>41849</v>
      </c>
      <c r="F754" s="8">
        <v>41849</v>
      </c>
      <c r="G754" s="8">
        <v>41849</v>
      </c>
      <c r="Y754" s="8"/>
    </row>
    <row r="755" spans="1:25" x14ac:dyDescent="0.25">
      <c r="A755" t="str">
        <f>"14-0444"</f>
        <v>14-0444</v>
      </c>
      <c r="D755" s="8">
        <v>41849</v>
      </c>
      <c r="F755" s="8">
        <v>41849</v>
      </c>
      <c r="G755" s="8">
        <v>41849</v>
      </c>
      <c r="Y755" s="8"/>
    </row>
    <row r="756" spans="1:25" x14ac:dyDescent="0.25">
      <c r="A756" t="str">
        <f>"14-0445"</f>
        <v>14-0445</v>
      </c>
      <c r="D756" s="8">
        <v>41849</v>
      </c>
      <c r="F756" s="8">
        <v>41849</v>
      </c>
      <c r="G756" s="8">
        <v>41851</v>
      </c>
      <c r="Y756" s="8"/>
    </row>
    <row r="757" spans="1:25" x14ac:dyDescent="0.25">
      <c r="A757" t="str">
        <f>"14-0446"</f>
        <v>14-0446</v>
      </c>
      <c r="D757" s="8">
        <v>41849</v>
      </c>
      <c r="F757" s="8">
        <v>41876</v>
      </c>
      <c r="G757" s="8">
        <v>41849</v>
      </c>
      <c r="Y757" s="8"/>
    </row>
    <row r="758" spans="1:25" x14ac:dyDescent="0.25">
      <c r="A758" t="str">
        <f>"14-0447"</f>
        <v>14-0447</v>
      </c>
      <c r="D758" s="8">
        <v>41849</v>
      </c>
      <c r="F758" s="8">
        <v>41849</v>
      </c>
      <c r="G758" s="8">
        <v>41851</v>
      </c>
      <c r="Y758" s="8"/>
    </row>
    <row r="759" spans="1:25" x14ac:dyDescent="0.25">
      <c r="A759" t="str">
        <f>"14-0436"</f>
        <v>14-0436</v>
      </c>
      <c r="D759" s="8">
        <v>41848</v>
      </c>
      <c r="G759" s="8">
        <v>41848</v>
      </c>
      <c r="Y759" s="8"/>
    </row>
    <row r="760" spans="1:25" x14ac:dyDescent="0.25">
      <c r="A760" t="str">
        <f>"14-0437"</f>
        <v>14-0437</v>
      </c>
      <c r="D760" s="8">
        <v>41848</v>
      </c>
      <c r="F760" s="8">
        <v>41904</v>
      </c>
      <c r="G760" s="8">
        <v>41848</v>
      </c>
      <c r="Y760" s="8"/>
    </row>
    <row r="761" spans="1:25" x14ac:dyDescent="0.25">
      <c r="A761" t="str">
        <f>"14-0438"</f>
        <v>14-0438</v>
      </c>
      <c r="D761" s="8">
        <v>41848</v>
      </c>
      <c r="F761" s="8">
        <v>41848</v>
      </c>
      <c r="G761" s="8">
        <v>41848</v>
      </c>
      <c r="Y761" s="8"/>
    </row>
    <row r="762" spans="1:25" x14ac:dyDescent="0.25">
      <c r="A762" t="str">
        <f>"14-0439"</f>
        <v>14-0439</v>
      </c>
      <c r="D762" s="8">
        <v>41848</v>
      </c>
      <c r="F762" s="8">
        <v>41848</v>
      </c>
      <c r="G762" s="8">
        <v>41848</v>
      </c>
      <c r="Y762" s="8"/>
    </row>
    <row r="763" spans="1:25" x14ac:dyDescent="0.25">
      <c r="A763" t="str">
        <f>"14-0440"</f>
        <v>14-0440</v>
      </c>
      <c r="D763" s="8">
        <v>41848</v>
      </c>
      <c r="F763" s="8">
        <v>41848</v>
      </c>
      <c r="G763" s="8">
        <v>41848</v>
      </c>
      <c r="Y763" s="8"/>
    </row>
    <row r="764" spans="1:25" x14ac:dyDescent="0.25">
      <c r="A764" t="str">
        <f>"14-0441"</f>
        <v>14-0441</v>
      </c>
      <c r="D764" s="8">
        <v>41848</v>
      </c>
      <c r="F764" s="8">
        <v>41848</v>
      </c>
      <c r="G764" s="8">
        <v>41848</v>
      </c>
      <c r="Y764" s="8"/>
    </row>
    <row r="765" spans="1:25" x14ac:dyDescent="0.25">
      <c r="A765" t="str">
        <f>"14-0433"</f>
        <v>14-0433</v>
      </c>
      <c r="D765" s="8">
        <v>41845</v>
      </c>
      <c r="F765" s="8">
        <v>41877</v>
      </c>
      <c r="G765" s="8">
        <v>41845</v>
      </c>
      <c r="Y765" s="8"/>
    </row>
    <row r="766" spans="1:25" x14ac:dyDescent="0.25">
      <c r="A766" t="str">
        <f>"14-0434"</f>
        <v>14-0434</v>
      </c>
      <c r="D766" s="8">
        <v>41845</v>
      </c>
      <c r="F766" s="8">
        <v>41845</v>
      </c>
      <c r="G766" s="8">
        <v>41845</v>
      </c>
      <c r="Y766" s="8"/>
    </row>
    <row r="767" spans="1:25" x14ac:dyDescent="0.25">
      <c r="A767" t="str">
        <f>"14-0435"</f>
        <v>14-0435</v>
      </c>
      <c r="D767" s="8">
        <v>41845</v>
      </c>
      <c r="F767" s="8">
        <v>41845</v>
      </c>
      <c r="G767" s="8">
        <v>41845</v>
      </c>
      <c r="Y767" s="8"/>
    </row>
    <row r="768" spans="1:25" x14ac:dyDescent="0.25">
      <c r="A768" t="str">
        <f>"14-0432"</f>
        <v>14-0432</v>
      </c>
      <c r="D768" s="8">
        <v>41844</v>
      </c>
      <c r="F768" s="8">
        <v>41844</v>
      </c>
      <c r="G768" s="8">
        <v>41844</v>
      </c>
      <c r="Y768" s="8"/>
    </row>
    <row r="769" spans="1:25" x14ac:dyDescent="0.25">
      <c r="A769" t="str">
        <f>"14-0342B"</f>
        <v>14-0342B</v>
      </c>
      <c r="D769" s="8">
        <v>41843</v>
      </c>
      <c r="F769" s="8">
        <v>41844</v>
      </c>
      <c r="G769" s="8">
        <v>41843</v>
      </c>
      <c r="Y769" s="8"/>
    </row>
    <row r="770" spans="1:25" x14ac:dyDescent="0.25">
      <c r="A770" t="str">
        <f>"14-0429"</f>
        <v>14-0429</v>
      </c>
      <c r="D770" s="8">
        <v>41843</v>
      </c>
      <c r="F770" s="8">
        <v>41843</v>
      </c>
      <c r="G770" s="8">
        <v>41843</v>
      </c>
      <c r="Y770" s="8"/>
    </row>
    <row r="771" spans="1:25" x14ac:dyDescent="0.25">
      <c r="A771" t="str">
        <f>"14-0430"</f>
        <v>14-0430</v>
      </c>
      <c r="D771" s="8">
        <v>41843</v>
      </c>
      <c r="F771" s="8">
        <v>41843</v>
      </c>
      <c r="G771" s="8">
        <v>41843</v>
      </c>
      <c r="Y771" s="8"/>
    </row>
    <row r="772" spans="1:25" x14ac:dyDescent="0.25">
      <c r="A772" t="str">
        <f>"14-0431"</f>
        <v>14-0431</v>
      </c>
      <c r="D772" s="8">
        <v>41843</v>
      </c>
      <c r="F772" s="8">
        <v>41843</v>
      </c>
      <c r="G772" s="8">
        <v>41843</v>
      </c>
      <c r="Y772" s="8"/>
    </row>
    <row r="773" spans="1:25" x14ac:dyDescent="0.25">
      <c r="A773" t="str">
        <f>"14-0413B"</f>
        <v>14-0413B</v>
      </c>
      <c r="D773" s="8">
        <v>41842</v>
      </c>
      <c r="F773" s="8">
        <v>41842</v>
      </c>
      <c r="G773" s="8">
        <v>41842</v>
      </c>
      <c r="Y773" s="8"/>
    </row>
    <row r="774" spans="1:25" x14ac:dyDescent="0.25">
      <c r="A774" t="str">
        <f>"14-0414B"</f>
        <v>14-0414B</v>
      </c>
      <c r="D774" s="8">
        <v>41842</v>
      </c>
      <c r="F774" s="8">
        <v>41842</v>
      </c>
      <c r="G774" s="8">
        <v>41842</v>
      </c>
      <c r="Y774" s="8"/>
    </row>
    <row r="775" spans="1:25" x14ac:dyDescent="0.25">
      <c r="A775" t="str">
        <f>"14-0425"</f>
        <v>14-0425</v>
      </c>
      <c r="D775" s="8">
        <v>41842</v>
      </c>
      <c r="F775" s="8">
        <v>41842</v>
      </c>
      <c r="G775" s="8">
        <v>41842</v>
      </c>
      <c r="Y775" s="8"/>
    </row>
    <row r="776" spans="1:25" x14ac:dyDescent="0.25">
      <c r="A776" t="str">
        <f>"14-0426"</f>
        <v>14-0426</v>
      </c>
      <c r="D776" s="8">
        <v>41842</v>
      </c>
      <c r="F776" s="8">
        <v>41843</v>
      </c>
      <c r="G776" s="8">
        <v>41842</v>
      </c>
      <c r="Y776" s="8"/>
    </row>
    <row r="777" spans="1:25" x14ac:dyDescent="0.25">
      <c r="A777" t="str">
        <f>"14-0427"</f>
        <v>14-0427</v>
      </c>
      <c r="D777" s="8">
        <v>41842</v>
      </c>
      <c r="F777" s="8">
        <v>41842</v>
      </c>
      <c r="G777" s="8">
        <v>41842</v>
      </c>
      <c r="Y777" s="8"/>
    </row>
    <row r="778" spans="1:25" x14ac:dyDescent="0.25">
      <c r="A778" t="str">
        <f>"14-0428"</f>
        <v>14-0428</v>
      </c>
      <c r="D778" s="8">
        <v>41842</v>
      </c>
      <c r="F778" s="8">
        <v>41842</v>
      </c>
      <c r="G778" s="8">
        <v>41842</v>
      </c>
      <c r="Y778" s="8"/>
    </row>
    <row r="779" spans="1:25" x14ac:dyDescent="0.25">
      <c r="A779" t="str">
        <f>"14-0423"</f>
        <v>14-0423</v>
      </c>
      <c r="D779" s="8">
        <v>41841</v>
      </c>
      <c r="F779" s="8">
        <v>41841</v>
      </c>
      <c r="G779" s="8">
        <v>41841</v>
      </c>
      <c r="Y779" s="8"/>
    </row>
    <row r="780" spans="1:25" x14ac:dyDescent="0.25">
      <c r="A780" t="str">
        <f>"14-0424"</f>
        <v>14-0424</v>
      </c>
      <c r="D780" s="8">
        <v>41841</v>
      </c>
      <c r="F780" s="8">
        <v>41842</v>
      </c>
      <c r="G780" s="8">
        <v>41841</v>
      </c>
      <c r="Y780" s="8"/>
    </row>
    <row r="781" spans="1:25" x14ac:dyDescent="0.25">
      <c r="A781" t="str">
        <f>"14-0259D"</f>
        <v>14-0259D</v>
      </c>
      <c r="D781" s="8">
        <v>41838</v>
      </c>
      <c r="F781" s="8">
        <v>41838</v>
      </c>
      <c r="G781" s="8">
        <v>41838</v>
      </c>
      <c r="Y781" s="8"/>
    </row>
    <row r="782" spans="1:25" x14ac:dyDescent="0.25">
      <c r="A782" t="str">
        <f>"14-0282C"</f>
        <v>14-0282C</v>
      </c>
      <c r="D782" s="8">
        <v>41838</v>
      </c>
      <c r="F782" s="8">
        <v>41838</v>
      </c>
      <c r="G782" s="8">
        <v>41838</v>
      </c>
      <c r="Y782" s="8"/>
    </row>
    <row r="783" spans="1:25" x14ac:dyDescent="0.25">
      <c r="A783" t="str">
        <f>"14-0422"</f>
        <v>14-0422</v>
      </c>
      <c r="D783" s="8">
        <v>41838</v>
      </c>
      <c r="F783" s="8">
        <v>41838</v>
      </c>
      <c r="G783" s="8">
        <v>41842</v>
      </c>
      <c r="Y783" s="8"/>
    </row>
    <row r="784" spans="1:25" x14ac:dyDescent="0.25">
      <c r="A784" t="str">
        <f>"14-0320B"</f>
        <v>14-0320B</v>
      </c>
      <c r="D784" s="8">
        <v>41837</v>
      </c>
      <c r="F784" s="8">
        <v>41837</v>
      </c>
      <c r="G784" s="8">
        <v>41837</v>
      </c>
      <c r="Y784" s="8"/>
    </row>
    <row r="785" spans="1:25" x14ac:dyDescent="0.25">
      <c r="A785" t="str">
        <f>"14-0418"</f>
        <v>14-0418</v>
      </c>
      <c r="D785" s="8">
        <v>41837</v>
      </c>
      <c r="F785" s="8">
        <v>41837</v>
      </c>
      <c r="G785" s="8">
        <v>41837</v>
      </c>
      <c r="Y785" s="8"/>
    </row>
    <row r="786" spans="1:25" x14ac:dyDescent="0.25">
      <c r="A786" t="str">
        <f>"14-0419"</f>
        <v>14-0419</v>
      </c>
      <c r="D786" s="8">
        <v>41837</v>
      </c>
      <c r="F786" s="8">
        <v>41837</v>
      </c>
      <c r="G786" s="8">
        <v>41837</v>
      </c>
      <c r="Y786" s="8"/>
    </row>
    <row r="787" spans="1:25" x14ac:dyDescent="0.25">
      <c r="A787" t="str">
        <f>"14-0420"</f>
        <v>14-0420</v>
      </c>
      <c r="D787" s="8">
        <v>41837</v>
      </c>
      <c r="F787" s="8">
        <v>41837</v>
      </c>
      <c r="G787" s="8">
        <v>41837</v>
      </c>
      <c r="Y787" s="8"/>
    </row>
    <row r="788" spans="1:25" x14ac:dyDescent="0.25">
      <c r="A788" t="str">
        <f>"14-0421"</f>
        <v>14-0421</v>
      </c>
      <c r="D788" s="8">
        <v>41837</v>
      </c>
      <c r="F788" s="8">
        <v>41837</v>
      </c>
      <c r="G788" s="8">
        <v>41837</v>
      </c>
      <c r="Y788" s="8"/>
    </row>
    <row r="789" spans="1:25" x14ac:dyDescent="0.25">
      <c r="A789" t="str">
        <f>"14-0416"</f>
        <v>14-0416</v>
      </c>
      <c r="D789" s="8">
        <v>41836</v>
      </c>
      <c r="F789" s="8">
        <v>41836</v>
      </c>
      <c r="G789" s="8">
        <v>41836</v>
      </c>
      <c r="Y789" s="8"/>
    </row>
    <row r="790" spans="1:25" x14ac:dyDescent="0.25">
      <c r="A790" t="str">
        <f>"14-0417"</f>
        <v>14-0417</v>
      </c>
      <c r="D790" s="8">
        <v>41836</v>
      </c>
      <c r="F790" s="8">
        <v>41843</v>
      </c>
      <c r="G790" s="8">
        <v>41836</v>
      </c>
      <c r="Y790" s="8"/>
    </row>
    <row r="791" spans="1:25" x14ac:dyDescent="0.25">
      <c r="A791" t="str">
        <f>"14-0414"</f>
        <v>14-0414</v>
      </c>
      <c r="D791" s="8">
        <v>41835</v>
      </c>
      <c r="F791" s="8">
        <v>41835</v>
      </c>
      <c r="G791" s="8">
        <v>41835</v>
      </c>
      <c r="Y791" s="8"/>
    </row>
    <row r="792" spans="1:25" x14ac:dyDescent="0.25">
      <c r="A792" t="str">
        <f>"14-0415"</f>
        <v>14-0415</v>
      </c>
      <c r="D792" s="8">
        <v>41835</v>
      </c>
      <c r="F792" s="8">
        <v>41920</v>
      </c>
      <c r="G792" s="8">
        <v>41835</v>
      </c>
      <c r="Y792" s="8"/>
    </row>
    <row r="793" spans="1:25" x14ac:dyDescent="0.25">
      <c r="A793" t="str">
        <f>"14-0411"</f>
        <v>14-0411</v>
      </c>
      <c r="D793" s="8">
        <v>41831</v>
      </c>
      <c r="F793" s="8">
        <v>41831</v>
      </c>
      <c r="G793" s="8">
        <v>41831</v>
      </c>
      <c r="Y793" s="8"/>
    </row>
    <row r="794" spans="1:25" x14ac:dyDescent="0.25">
      <c r="A794" t="str">
        <f>"14-0412"</f>
        <v>14-0412</v>
      </c>
      <c r="D794" s="8">
        <v>41831</v>
      </c>
      <c r="F794" s="8">
        <v>41831</v>
      </c>
      <c r="G794" s="8">
        <v>41831</v>
      </c>
      <c r="Y794" s="8"/>
    </row>
    <row r="795" spans="1:25" x14ac:dyDescent="0.25">
      <c r="A795" t="str">
        <f>"14-0413"</f>
        <v>14-0413</v>
      </c>
      <c r="D795" s="8">
        <v>41831</v>
      </c>
      <c r="F795" s="8">
        <v>41831</v>
      </c>
      <c r="G795" s="8">
        <v>41831</v>
      </c>
      <c r="Y795" s="8"/>
    </row>
    <row r="796" spans="1:25" x14ac:dyDescent="0.25">
      <c r="A796" t="str">
        <f>"14-0409"</f>
        <v>14-0409</v>
      </c>
      <c r="D796" s="8">
        <v>41830</v>
      </c>
      <c r="F796" s="8">
        <v>41830</v>
      </c>
      <c r="G796" s="8">
        <v>41831</v>
      </c>
      <c r="Y796" s="8"/>
    </row>
    <row r="797" spans="1:25" x14ac:dyDescent="0.25">
      <c r="A797" t="str">
        <f>"14-0410"</f>
        <v>14-0410</v>
      </c>
      <c r="D797" s="8">
        <v>41830</v>
      </c>
      <c r="F797" s="8">
        <v>41830</v>
      </c>
      <c r="G797" s="8">
        <v>41830</v>
      </c>
      <c r="Y797" s="8"/>
    </row>
    <row r="798" spans="1:25" x14ac:dyDescent="0.25">
      <c r="A798" t="str">
        <f>"14-0406"</f>
        <v>14-0406</v>
      </c>
      <c r="D798" s="8">
        <v>41829</v>
      </c>
      <c r="F798" s="8">
        <v>41829</v>
      </c>
      <c r="G798" s="8">
        <v>41829</v>
      </c>
      <c r="Y798" s="8"/>
    </row>
    <row r="799" spans="1:25" x14ac:dyDescent="0.25">
      <c r="A799" t="str">
        <f>"14-0407"</f>
        <v>14-0407</v>
      </c>
      <c r="D799" s="8">
        <v>41829</v>
      </c>
      <c r="F799" s="8">
        <v>41829</v>
      </c>
      <c r="G799" s="8">
        <v>41829</v>
      </c>
      <c r="Y799" s="8"/>
    </row>
    <row r="800" spans="1:25" x14ac:dyDescent="0.25">
      <c r="A800" t="str">
        <f>"14-0408"</f>
        <v>14-0408</v>
      </c>
      <c r="D800" s="8">
        <v>41829</v>
      </c>
      <c r="F800" s="8">
        <v>41829</v>
      </c>
      <c r="G800" s="8">
        <v>41851</v>
      </c>
      <c r="Y800" s="8"/>
    </row>
    <row r="801" spans="1:25" x14ac:dyDescent="0.25">
      <c r="A801" t="str">
        <f>"14-0402"</f>
        <v>14-0402</v>
      </c>
      <c r="D801" s="8">
        <v>41828</v>
      </c>
      <c r="F801" s="8">
        <v>41828</v>
      </c>
      <c r="G801" s="8">
        <v>41828</v>
      </c>
      <c r="Y801" s="8"/>
    </row>
    <row r="802" spans="1:25" x14ac:dyDescent="0.25">
      <c r="A802" t="str">
        <f>"14-0403"</f>
        <v>14-0403</v>
      </c>
      <c r="D802" s="8">
        <v>41828</v>
      </c>
      <c r="F802" s="8">
        <v>41828</v>
      </c>
      <c r="G802" s="8">
        <v>41828</v>
      </c>
      <c r="Y802" s="8"/>
    </row>
    <row r="803" spans="1:25" x14ac:dyDescent="0.25">
      <c r="A803" t="str">
        <f>"14-0404"</f>
        <v>14-0404</v>
      </c>
      <c r="D803" s="8">
        <v>41828</v>
      </c>
      <c r="F803" s="8">
        <v>41828</v>
      </c>
      <c r="G803" s="8">
        <v>41828</v>
      </c>
      <c r="Y803" s="8"/>
    </row>
    <row r="804" spans="1:25" x14ac:dyDescent="0.25">
      <c r="A804" t="str">
        <f>"14-0405"</f>
        <v>14-0405</v>
      </c>
      <c r="D804" s="8">
        <v>41828</v>
      </c>
      <c r="F804" s="8">
        <v>41828</v>
      </c>
      <c r="G804" s="8">
        <v>41828</v>
      </c>
      <c r="Y804" s="8"/>
    </row>
    <row r="805" spans="1:25" x14ac:dyDescent="0.25">
      <c r="A805" t="str">
        <f>"14-0400"</f>
        <v>14-0400</v>
      </c>
      <c r="D805" s="8">
        <v>41827</v>
      </c>
      <c r="F805" s="8">
        <v>41827</v>
      </c>
      <c r="G805" s="8">
        <v>41829</v>
      </c>
      <c r="Y805" s="8"/>
    </row>
    <row r="806" spans="1:25" x14ac:dyDescent="0.25">
      <c r="A806" t="str">
        <f>"14-0401"</f>
        <v>14-0401</v>
      </c>
      <c r="D806" s="8">
        <v>41827</v>
      </c>
      <c r="F806" s="8">
        <v>41827</v>
      </c>
      <c r="G806" s="8">
        <v>41827</v>
      </c>
      <c r="Y806" s="8"/>
    </row>
    <row r="807" spans="1:25" x14ac:dyDescent="0.25">
      <c r="A807" t="str">
        <f>"14-0399"</f>
        <v>14-0399</v>
      </c>
      <c r="D807" s="8">
        <v>41824</v>
      </c>
      <c r="F807" s="8">
        <v>41824</v>
      </c>
      <c r="G807" s="8">
        <v>41824</v>
      </c>
      <c r="Y807" s="8"/>
    </row>
    <row r="808" spans="1:25" x14ac:dyDescent="0.25">
      <c r="A808" t="str">
        <f>"14-0394"</f>
        <v>14-0394</v>
      </c>
      <c r="D808" s="8">
        <v>41823</v>
      </c>
      <c r="F808" s="8">
        <v>41823</v>
      </c>
      <c r="G808" s="8">
        <v>41823</v>
      </c>
      <c r="Y808" s="8"/>
    </row>
    <row r="809" spans="1:25" x14ac:dyDescent="0.25">
      <c r="A809" t="str">
        <f>"14-0395"</f>
        <v>14-0395</v>
      </c>
      <c r="D809" s="8">
        <v>41823</v>
      </c>
      <c r="F809" s="8">
        <v>41823</v>
      </c>
      <c r="G809" s="8">
        <v>41823</v>
      </c>
      <c r="Y809" s="8"/>
    </row>
    <row r="810" spans="1:25" x14ac:dyDescent="0.25">
      <c r="A810" t="str">
        <f>"14-0395B"</f>
        <v>14-0395B</v>
      </c>
      <c r="D810" s="8">
        <v>41823</v>
      </c>
      <c r="F810" s="8">
        <v>41823</v>
      </c>
      <c r="G810" s="8">
        <v>41823</v>
      </c>
      <c r="Y810" s="8"/>
    </row>
    <row r="811" spans="1:25" x14ac:dyDescent="0.25">
      <c r="A811" t="str">
        <f>"14-0396"</f>
        <v>14-0396</v>
      </c>
      <c r="D811" s="8">
        <v>41823</v>
      </c>
      <c r="F811" s="8">
        <v>41823</v>
      </c>
      <c r="G811" s="8">
        <v>41823</v>
      </c>
      <c r="Y811" s="8"/>
    </row>
    <row r="812" spans="1:25" x14ac:dyDescent="0.25">
      <c r="A812" t="str">
        <f>"14-0397"</f>
        <v>14-0397</v>
      </c>
      <c r="D812" s="8">
        <v>41823</v>
      </c>
      <c r="F812" s="8">
        <v>41823</v>
      </c>
      <c r="G812" s="8">
        <v>41823</v>
      </c>
      <c r="Y812" s="8"/>
    </row>
    <row r="813" spans="1:25" x14ac:dyDescent="0.25">
      <c r="A813" t="str">
        <f>"14-0398"</f>
        <v>14-0398</v>
      </c>
      <c r="D813" s="8">
        <v>41823</v>
      </c>
      <c r="F813" s="8">
        <v>41823</v>
      </c>
      <c r="G813" s="8">
        <v>41823</v>
      </c>
      <c r="Y813" s="8"/>
    </row>
    <row r="814" spans="1:25" x14ac:dyDescent="0.25">
      <c r="A814" t="str">
        <f>"14-0398B"</f>
        <v>14-0398B</v>
      </c>
      <c r="D814" s="8">
        <v>41823</v>
      </c>
      <c r="F814" s="8">
        <v>41823</v>
      </c>
      <c r="G814" s="8">
        <v>41823</v>
      </c>
      <c r="Y814" s="8"/>
    </row>
    <row r="815" spans="1:25" x14ac:dyDescent="0.25">
      <c r="A815" t="str">
        <f>"14-0387"</f>
        <v>14-0387</v>
      </c>
      <c r="D815" s="8">
        <v>41822</v>
      </c>
      <c r="F815" s="8">
        <v>41823</v>
      </c>
      <c r="G815" s="8">
        <v>41823</v>
      </c>
      <c r="Y815" s="8"/>
    </row>
    <row r="816" spans="1:25" x14ac:dyDescent="0.25">
      <c r="A816" t="str">
        <f>"14-0388"</f>
        <v>14-0388</v>
      </c>
      <c r="D816" s="8">
        <v>41822</v>
      </c>
      <c r="F816" s="8">
        <v>41822</v>
      </c>
      <c r="G816" s="8">
        <v>41822</v>
      </c>
      <c r="Y816" s="8"/>
    </row>
    <row r="817" spans="1:25" x14ac:dyDescent="0.25">
      <c r="A817" t="str">
        <f>"14-0389"</f>
        <v>14-0389</v>
      </c>
      <c r="D817" s="8">
        <v>41822</v>
      </c>
      <c r="F817" s="8">
        <v>41822</v>
      </c>
      <c r="G817" s="8">
        <v>41822</v>
      </c>
      <c r="Y817" s="8"/>
    </row>
    <row r="818" spans="1:25" x14ac:dyDescent="0.25">
      <c r="A818" t="str">
        <f>"14-0390"</f>
        <v>14-0390</v>
      </c>
      <c r="D818" s="8">
        <v>41822</v>
      </c>
      <c r="F818" s="8">
        <v>41822</v>
      </c>
      <c r="G818" s="8">
        <v>41822</v>
      </c>
      <c r="Y818" s="8"/>
    </row>
    <row r="819" spans="1:25" x14ac:dyDescent="0.25">
      <c r="A819" t="str">
        <f>"14-0391"</f>
        <v>14-0391</v>
      </c>
      <c r="D819" s="8">
        <v>41822</v>
      </c>
      <c r="F819" s="8">
        <v>41822</v>
      </c>
      <c r="G819" s="8">
        <v>41822</v>
      </c>
      <c r="Y819" s="8"/>
    </row>
    <row r="820" spans="1:25" x14ac:dyDescent="0.25">
      <c r="A820" t="str">
        <f>"14-0392"</f>
        <v>14-0392</v>
      </c>
      <c r="D820" s="8">
        <v>41822</v>
      </c>
      <c r="F820" s="8">
        <v>41823</v>
      </c>
      <c r="G820" s="8">
        <v>41822</v>
      </c>
      <c r="Y820" s="8"/>
    </row>
    <row r="821" spans="1:25" x14ac:dyDescent="0.25">
      <c r="A821" t="str">
        <f>"14-0393"</f>
        <v>14-0393</v>
      </c>
      <c r="D821" s="8">
        <v>41822</v>
      </c>
      <c r="F821" s="8">
        <v>41822</v>
      </c>
      <c r="G821" s="8">
        <v>41822</v>
      </c>
      <c r="Y821" s="8"/>
    </row>
    <row r="822" spans="1:25" x14ac:dyDescent="0.25">
      <c r="A822" t="str">
        <f>"14-0312B"</f>
        <v>14-0312B</v>
      </c>
      <c r="D822" s="8">
        <v>41821</v>
      </c>
      <c r="F822" s="8">
        <v>41830</v>
      </c>
      <c r="G822" s="8">
        <v>41821</v>
      </c>
      <c r="Y822" s="8"/>
    </row>
    <row r="823" spans="1:25" x14ac:dyDescent="0.25">
      <c r="A823" t="str">
        <f>"14-0380B"</f>
        <v>14-0380B</v>
      </c>
      <c r="D823" s="8">
        <v>41821</v>
      </c>
      <c r="F823" s="8">
        <v>41884</v>
      </c>
      <c r="G823" s="8">
        <v>41821</v>
      </c>
      <c r="Y823" s="8"/>
    </row>
    <row r="824" spans="1:25" x14ac:dyDescent="0.25">
      <c r="A824" t="str">
        <f>"14-0384"</f>
        <v>14-0384</v>
      </c>
      <c r="D824" s="8">
        <v>41821</v>
      </c>
      <c r="F824" s="8">
        <v>41821</v>
      </c>
      <c r="G824" s="8">
        <v>41821</v>
      </c>
      <c r="Y824" s="8"/>
    </row>
    <row r="825" spans="1:25" x14ac:dyDescent="0.25">
      <c r="A825" t="str">
        <f>"14-0385"</f>
        <v>14-0385</v>
      </c>
      <c r="D825" s="8">
        <v>41821</v>
      </c>
      <c r="F825" s="8">
        <v>41821</v>
      </c>
      <c r="G825" s="8">
        <v>41821</v>
      </c>
      <c r="Y825" s="8"/>
    </row>
    <row r="826" spans="1:25" x14ac:dyDescent="0.25">
      <c r="A826" t="str">
        <f>"14-0386"</f>
        <v>14-0386</v>
      </c>
      <c r="D826" s="8">
        <v>41821</v>
      </c>
      <c r="F826" s="8">
        <v>41821</v>
      </c>
      <c r="G826" s="8">
        <v>41821</v>
      </c>
      <c r="Y826" s="8"/>
    </row>
    <row r="827" spans="1:25" x14ac:dyDescent="0.25">
      <c r="A827" t="str">
        <f>"14-0081D"</f>
        <v>14-0081D</v>
      </c>
      <c r="D827" s="8">
        <v>41820</v>
      </c>
      <c r="F827" s="8">
        <v>41830</v>
      </c>
      <c r="G827" s="8">
        <v>41820</v>
      </c>
      <c r="Y827" s="8"/>
    </row>
    <row r="828" spans="1:25" x14ac:dyDescent="0.25">
      <c r="A828" t="str">
        <f>"14-0378"</f>
        <v>14-0378</v>
      </c>
      <c r="D828" s="8">
        <v>41820</v>
      </c>
      <c r="F828" s="8">
        <v>41820</v>
      </c>
      <c r="G828" s="8">
        <v>41820</v>
      </c>
      <c r="Y828" s="8"/>
    </row>
    <row r="829" spans="1:25" x14ac:dyDescent="0.25">
      <c r="A829" t="str">
        <f>"14-0379"</f>
        <v>14-0379</v>
      </c>
      <c r="D829" s="8">
        <v>41820</v>
      </c>
      <c r="F829" s="8">
        <v>41820</v>
      </c>
      <c r="G829" s="8">
        <v>41820</v>
      </c>
      <c r="Y829" s="8"/>
    </row>
    <row r="830" spans="1:25" x14ac:dyDescent="0.25">
      <c r="A830" t="str">
        <f>"14-0380"</f>
        <v>14-0380</v>
      </c>
      <c r="D830" s="8">
        <v>41820</v>
      </c>
      <c r="F830" s="8">
        <v>41855</v>
      </c>
      <c r="G830" s="8">
        <v>41820</v>
      </c>
      <c r="Y830" s="8"/>
    </row>
    <row r="831" spans="1:25" x14ac:dyDescent="0.25">
      <c r="A831" t="str">
        <f>"14-0381"</f>
        <v>14-0381</v>
      </c>
      <c r="D831" s="8">
        <v>41820</v>
      </c>
      <c r="F831" s="8">
        <v>41820</v>
      </c>
      <c r="G831" s="8">
        <v>41820</v>
      </c>
      <c r="Y831" s="8"/>
    </row>
    <row r="832" spans="1:25" x14ac:dyDescent="0.25">
      <c r="A832" t="str">
        <f>"14-0382"</f>
        <v>14-0382</v>
      </c>
      <c r="D832" s="8">
        <v>41820</v>
      </c>
      <c r="F832" s="8">
        <v>41820</v>
      </c>
      <c r="G832" s="8">
        <v>41820</v>
      </c>
      <c r="Y832" s="8"/>
    </row>
    <row r="833" spans="1:25" x14ac:dyDescent="0.25">
      <c r="A833" t="str">
        <f>"14-0383"</f>
        <v>14-0383</v>
      </c>
      <c r="D833" s="8">
        <v>41820</v>
      </c>
      <c r="F833" s="8">
        <v>41820</v>
      </c>
      <c r="G833" s="8">
        <v>41820</v>
      </c>
      <c r="Y833" s="8"/>
    </row>
    <row r="834" spans="1:25" x14ac:dyDescent="0.25">
      <c r="A834" t="str">
        <f>"14-0377"</f>
        <v>14-0377</v>
      </c>
      <c r="D834" s="8">
        <v>41817</v>
      </c>
      <c r="F834" s="8">
        <v>41817</v>
      </c>
      <c r="G834" s="8">
        <v>41817</v>
      </c>
      <c r="Y834" s="8"/>
    </row>
    <row r="835" spans="1:25" x14ac:dyDescent="0.25">
      <c r="A835" t="str">
        <f>"14-0376"</f>
        <v>14-0376</v>
      </c>
      <c r="D835" s="8">
        <v>41816</v>
      </c>
      <c r="F835" s="8">
        <v>41816</v>
      </c>
      <c r="G835" s="8">
        <v>41816</v>
      </c>
      <c r="Y835" s="8"/>
    </row>
    <row r="836" spans="1:25" x14ac:dyDescent="0.25">
      <c r="A836" t="str">
        <f>"14-0372"</f>
        <v>14-0372</v>
      </c>
      <c r="D836" s="8">
        <v>41815</v>
      </c>
      <c r="F836" s="8">
        <v>41815</v>
      </c>
      <c r="G836" s="8">
        <v>41816</v>
      </c>
      <c r="Y836" s="8"/>
    </row>
    <row r="837" spans="1:25" x14ac:dyDescent="0.25">
      <c r="A837" t="str">
        <f>"14-0373"</f>
        <v>14-0373</v>
      </c>
      <c r="D837" s="8">
        <v>41815</v>
      </c>
      <c r="F837" s="8">
        <v>41815</v>
      </c>
      <c r="G837" s="8">
        <v>41815</v>
      </c>
      <c r="Y837" s="8"/>
    </row>
    <row r="838" spans="1:25" x14ac:dyDescent="0.25">
      <c r="A838" t="str">
        <f>"14-0374"</f>
        <v>14-0374</v>
      </c>
      <c r="D838" s="8">
        <v>41815</v>
      </c>
      <c r="F838" s="8">
        <v>41815</v>
      </c>
      <c r="G838" s="8">
        <v>41815</v>
      </c>
      <c r="Y838" s="8"/>
    </row>
    <row r="839" spans="1:25" x14ac:dyDescent="0.25">
      <c r="A839" t="str">
        <f>"14-0375"</f>
        <v>14-0375</v>
      </c>
      <c r="D839" s="8">
        <v>41815</v>
      </c>
      <c r="F839" s="8">
        <v>41815</v>
      </c>
      <c r="G839" s="8">
        <v>41815</v>
      </c>
      <c r="Y839" s="8"/>
    </row>
    <row r="840" spans="1:25" x14ac:dyDescent="0.25">
      <c r="A840" t="str">
        <f>"14-0365"</f>
        <v>14-0365</v>
      </c>
      <c r="D840" s="8">
        <v>41814</v>
      </c>
      <c r="F840" s="8">
        <v>41814</v>
      </c>
      <c r="G840" s="8">
        <v>41814</v>
      </c>
      <c r="Y840" s="8"/>
    </row>
    <row r="841" spans="1:25" x14ac:dyDescent="0.25">
      <c r="A841" t="str">
        <f>"14-0366"</f>
        <v>14-0366</v>
      </c>
      <c r="D841" s="8">
        <v>41814</v>
      </c>
      <c r="F841" s="8">
        <v>41814</v>
      </c>
      <c r="G841" s="8">
        <v>41814</v>
      </c>
      <c r="Y841" s="8"/>
    </row>
    <row r="842" spans="1:25" x14ac:dyDescent="0.25">
      <c r="A842" t="str">
        <f>"14-0367"</f>
        <v>14-0367</v>
      </c>
      <c r="D842" s="8">
        <v>41814</v>
      </c>
      <c r="F842" s="8">
        <v>41814</v>
      </c>
      <c r="G842" s="8">
        <v>41814</v>
      </c>
      <c r="Y842" s="8"/>
    </row>
    <row r="843" spans="1:25" x14ac:dyDescent="0.25">
      <c r="A843" t="str">
        <f>"14-0368"</f>
        <v>14-0368</v>
      </c>
      <c r="D843" s="8">
        <v>41814</v>
      </c>
      <c r="F843" s="8">
        <v>41814</v>
      </c>
      <c r="G843" s="8">
        <v>41814</v>
      </c>
      <c r="Y843" s="8"/>
    </row>
    <row r="844" spans="1:25" x14ac:dyDescent="0.25">
      <c r="A844" t="str">
        <f>"14-0369"</f>
        <v>14-0369</v>
      </c>
      <c r="D844" s="8">
        <v>41814</v>
      </c>
      <c r="F844" s="8">
        <v>41814</v>
      </c>
      <c r="G844" s="8">
        <v>41814</v>
      </c>
      <c r="Y844" s="8"/>
    </row>
    <row r="845" spans="1:25" x14ac:dyDescent="0.25">
      <c r="A845" t="str">
        <f>"14-0370"</f>
        <v>14-0370</v>
      </c>
      <c r="D845" s="8">
        <v>41814</v>
      </c>
      <c r="F845" s="8">
        <v>41814</v>
      </c>
      <c r="G845" s="8">
        <v>41814</v>
      </c>
      <c r="Y845" s="8"/>
    </row>
    <row r="846" spans="1:25" x14ac:dyDescent="0.25">
      <c r="A846" t="str">
        <f>"14-0371"</f>
        <v>14-0371</v>
      </c>
      <c r="D846" s="8">
        <v>41814</v>
      </c>
      <c r="F846" s="8">
        <v>41814</v>
      </c>
      <c r="G846" s="8">
        <v>41814</v>
      </c>
      <c r="Y846" s="8"/>
    </row>
    <row r="847" spans="1:25" x14ac:dyDescent="0.25">
      <c r="A847" t="str">
        <f>"14-0360"</f>
        <v>14-0360</v>
      </c>
      <c r="D847" s="8">
        <v>41810</v>
      </c>
      <c r="F847" s="8">
        <v>41810</v>
      </c>
      <c r="G847" s="8">
        <v>41810</v>
      </c>
      <c r="Y847" s="8"/>
    </row>
    <row r="848" spans="1:25" x14ac:dyDescent="0.25">
      <c r="A848" t="str">
        <f>"14-0361"</f>
        <v>14-0361</v>
      </c>
      <c r="D848" s="8">
        <v>41810</v>
      </c>
      <c r="F848" s="8">
        <v>41810</v>
      </c>
      <c r="G848" s="8">
        <v>41810</v>
      </c>
      <c r="Y848" s="8"/>
    </row>
    <row r="849" spans="1:25" x14ac:dyDescent="0.25">
      <c r="A849" t="str">
        <f>"14-0362"</f>
        <v>14-0362</v>
      </c>
      <c r="D849" s="8">
        <v>41810</v>
      </c>
      <c r="F849" s="8">
        <v>41810</v>
      </c>
      <c r="G849" s="8">
        <v>41810</v>
      </c>
      <c r="Y849" s="8"/>
    </row>
    <row r="850" spans="1:25" x14ac:dyDescent="0.25">
      <c r="A850" t="str">
        <f>"14-0363"</f>
        <v>14-0363</v>
      </c>
      <c r="D850" s="8">
        <v>41810</v>
      </c>
      <c r="F850" s="8">
        <v>41810</v>
      </c>
      <c r="G850" s="8">
        <v>41810</v>
      </c>
      <c r="Y850" s="8"/>
    </row>
    <row r="851" spans="1:25" x14ac:dyDescent="0.25">
      <c r="A851" t="str">
        <f>"14-0364"</f>
        <v>14-0364</v>
      </c>
      <c r="D851" s="8">
        <v>41810</v>
      </c>
      <c r="F851" s="8">
        <v>41810</v>
      </c>
      <c r="G851" s="8">
        <v>41810</v>
      </c>
      <c r="Y851" s="8"/>
    </row>
    <row r="852" spans="1:25" x14ac:dyDescent="0.25">
      <c r="A852" t="str">
        <f>"14-0081C"</f>
        <v>14-0081C</v>
      </c>
      <c r="D852" s="8">
        <v>41809</v>
      </c>
      <c r="F852" s="8">
        <v>41809</v>
      </c>
      <c r="G852" s="8">
        <v>41809</v>
      </c>
      <c r="Y852" s="8"/>
    </row>
    <row r="853" spans="1:25" x14ac:dyDescent="0.25">
      <c r="A853" t="str">
        <f>"14-0356"</f>
        <v>14-0356</v>
      </c>
      <c r="D853" s="8">
        <v>41809</v>
      </c>
      <c r="F853" s="8">
        <v>41809</v>
      </c>
      <c r="G853" s="8">
        <v>41809</v>
      </c>
      <c r="Y853" s="8"/>
    </row>
    <row r="854" spans="1:25" x14ac:dyDescent="0.25">
      <c r="A854" t="str">
        <f>"14-0357"</f>
        <v>14-0357</v>
      </c>
      <c r="D854" s="8">
        <v>41809</v>
      </c>
      <c r="F854" s="8">
        <v>41809</v>
      </c>
      <c r="G854" s="8">
        <v>41809</v>
      </c>
      <c r="Y854" s="8"/>
    </row>
    <row r="855" spans="1:25" x14ac:dyDescent="0.25">
      <c r="A855" t="str">
        <f>"14-0358"</f>
        <v>14-0358</v>
      </c>
      <c r="D855" s="8">
        <v>41809</v>
      </c>
      <c r="F855" s="8">
        <v>41809</v>
      </c>
      <c r="G855" s="8">
        <v>41809</v>
      </c>
      <c r="Y855" s="8"/>
    </row>
    <row r="856" spans="1:25" x14ac:dyDescent="0.25">
      <c r="A856" t="str">
        <f>"14-0359"</f>
        <v>14-0359</v>
      </c>
      <c r="D856" s="8">
        <v>41809</v>
      </c>
      <c r="F856" s="8">
        <v>41809</v>
      </c>
      <c r="G856" s="8">
        <v>41809</v>
      </c>
      <c r="Y856" s="8"/>
    </row>
    <row r="857" spans="1:25" x14ac:dyDescent="0.25">
      <c r="A857" t="str">
        <f>"14-0282B"</f>
        <v>14-0282B</v>
      </c>
      <c r="D857" s="8">
        <v>41808</v>
      </c>
      <c r="F857" s="8">
        <v>41808</v>
      </c>
      <c r="G857" s="8">
        <v>41808</v>
      </c>
      <c r="Y857" s="8"/>
    </row>
    <row r="858" spans="1:25" x14ac:dyDescent="0.25">
      <c r="A858" t="str">
        <f>"14-0354"</f>
        <v>14-0354</v>
      </c>
      <c r="D858" s="8">
        <v>41808</v>
      </c>
      <c r="F858" s="8">
        <v>41808</v>
      </c>
      <c r="G858" s="8">
        <v>41808</v>
      </c>
      <c r="Y858" s="8"/>
    </row>
    <row r="859" spans="1:25" x14ac:dyDescent="0.25">
      <c r="A859" t="str">
        <f>"14-0355"</f>
        <v>14-0355</v>
      </c>
      <c r="D859" s="8">
        <v>41808</v>
      </c>
      <c r="F859" s="8">
        <v>41809</v>
      </c>
      <c r="G859" s="8">
        <v>41808</v>
      </c>
      <c r="Y859" s="8"/>
    </row>
    <row r="860" spans="1:25" x14ac:dyDescent="0.25">
      <c r="A860" t="str">
        <f>"14-0259C"</f>
        <v>14-0259C</v>
      </c>
      <c r="D860" s="8">
        <v>41807</v>
      </c>
      <c r="F860" s="8">
        <v>41807</v>
      </c>
      <c r="G860" s="8">
        <v>41807</v>
      </c>
      <c r="Y860" s="8"/>
    </row>
    <row r="861" spans="1:25" x14ac:dyDescent="0.25">
      <c r="A861" t="str">
        <f>"14-0347"</f>
        <v>14-0347</v>
      </c>
      <c r="D861" s="8">
        <v>41807</v>
      </c>
      <c r="F861" s="8">
        <v>41807</v>
      </c>
      <c r="G861" s="8">
        <v>41807</v>
      </c>
      <c r="Y861" s="8"/>
    </row>
    <row r="862" spans="1:25" x14ac:dyDescent="0.25">
      <c r="A862" t="str">
        <f>"14-0348"</f>
        <v>14-0348</v>
      </c>
      <c r="D862" s="8">
        <v>41807</v>
      </c>
      <c r="F862" s="8">
        <v>41807</v>
      </c>
      <c r="G862" s="8">
        <v>41807</v>
      </c>
      <c r="Y862" s="8"/>
    </row>
    <row r="863" spans="1:25" x14ac:dyDescent="0.25">
      <c r="A863" t="str">
        <f>"14-0349"</f>
        <v>14-0349</v>
      </c>
      <c r="D863" s="8">
        <v>41807</v>
      </c>
      <c r="F863" s="8">
        <v>41807</v>
      </c>
      <c r="G863" s="8">
        <v>41807</v>
      </c>
      <c r="Y863" s="8"/>
    </row>
    <row r="864" spans="1:25" x14ac:dyDescent="0.25">
      <c r="A864" t="str">
        <f>"14-0350"</f>
        <v>14-0350</v>
      </c>
      <c r="D864" s="8">
        <v>41807</v>
      </c>
      <c r="F864" s="8">
        <v>41807</v>
      </c>
      <c r="G864" s="8">
        <v>41807</v>
      </c>
      <c r="Y864" s="8"/>
    </row>
    <row r="865" spans="1:25" x14ac:dyDescent="0.25">
      <c r="A865" t="str">
        <f>"14-0351"</f>
        <v>14-0351</v>
      </c>
      <c r="D865" s="8">
        <v>41807</v>
      </c>
      <c r="F865" s="8">
        <v>41807</v>
      </c>
      <c r="G865" s="8">
        <v>41807</v>
      </c>
      <c r="Y865" s="8"/>
    </row>
    <row r="866" spans="1:25" x14ac:dyDescent="0.25">
      <c r="A866" t="str">
        <f>"14-0352"</f>
        <v>14-0352</v>
      </c>
      <c r="D866" s="8">
        <v>41807</v>
      </c>
      <c r="F866" s="8">
        <v>41807</v>
      </c>
      <c r="G866" s="8">
        <v>41807</v>
      </c>
      <c r="Y866" s="8"/>
    </row>
    <row r="867" spans="1:25" x14ac:dyDescent="0.25">
      <c r="A867" t="str">
        <f>"14-0353"</f>
        <v>14-0353</v>
      </c>
      <c r="D867" s="8">
        <v>41807</v>
      </c>
      <c r="F867" s="8">
        <v>41807</v>
      </c>
      <c r="G867" s="8">
        <v>41807</v>
      </c>
      <c r="Y867" s="8"/>
    </row>
    <row r="868" spans="1:25" x14ac:dyDescent="0.25">
      <c r="A868" t="str">
        <f>"14-0345"</f>
        <v>14-0345</v>
      </c>
      <c r="D868" s="8">
        <v>41806</v>
      </c>
      <c r="F868" s="8">
        <v>41807</v>
      </c>
      <c r="G868" s="8">
        <v>41807</v>
      </c>
      <c r="Y868" s="8"/>
    </row>
    <row r="869" spans="1:25" x14ac:dyDescent="0.25">
      <c r="A869" t="str">
        <f>"14-0346"</f>
        <v>14-0346</v>
      </c>
      <c r="D869" s="8">
        <v>41806</v>
      </c>
      <c r="F869" s="8">
        <v>41807</v>
      </c>
      <c r="G869" s="8">
        <v>41806</v>
      </c>
      <c r="Y869" s="8"/>
    </row>
    <row r="870" spans="1:25" x14ac:dyDescent="0.25">
      <c r="A870" t="str">
        <f>"13-0030B"</f>
        <v>13-0030B</v>
      </c>
      <c r="D870" s="8">
        <v>41803</v>
      </c>
      <c r="F870" s="8">
        <v>41803</v>
      </c>
      <c r="G870" s="8">
        <v>41803</v>
      </c>
      <c r="Y870" s="8"/>
    </row>
    <row r="871" spans="1:25" x14ac:dyDescent="0.25">
      <c r="A871" t="str">
        <f>"14-0342"</f>
        <v>14-0342</v>
      </c>
      <c r="D871" s="8">
        <v>41803</v>
      </c>
      <c r="F871" s="8">
        <v>41809</v>
      </c>
      <c r="G871" s="8">
        <v>41803</v>
      </c>
      <c r="Y871" s="8"/>
    </row>
    <row r="872" spans="1:25" x14ac:dyDescent="0.25">
      <c r="A872" t="str">
        <f>"14-0343"</f>
        <v>14-0343</v>
      </c>
      <c r="D872" s="8">
        <v>41803</v>
      </c>
      <c r="F872" s="8">
        <v>41803</v>
      </c>
      <c r="G872" s="8">
        <v>41803</v>
      </c>
      <c r="Y872" s="8"/>
    </row>
    <row r="873" spans="1:25" x14ac:dyDescent="0.25">
      <c r="A873" t="str">
        <f>"14-0344"</f>
        <v>14-0344</v>
      </c>
      <c r="D873" s="8">
        <v>41803</v>
      </c>
      <c r="F873" s="8">
        <v>41803</v>
      </c>
      <c r="G873" s="8">
        <v>41803</v>
      </c>
      <c r="Y873" s="8"/>
    </row>
    <row r="874" spans="1:25" x14ac:dyDescent="0.25">
      <c r="A874" t="str">
        <f>"14-0339"</f>
        <v>14-0339</v>
      </c>
      <c r="D874" s="8">
        <v>41802</v>
      </c>
      <c r="F874" s="8">
        <v>41802</v>
      </c>
      <c r="G874" s="8">
        <v>41803</v>
      </c>
      <c r="Y874" s="8"/>
    </row>
    <row r="875" spans="1:25" x14ac:dyDescent="0.25">
      <c r="A875" t="str">
        <f>"14-0340"</f>
        <v>14-0340</v>
      </c>
      <c r="D875" s="8">
        <v>41802</v>
      </c>
      <c r="F875" s="8">
        <v>41807</v>
      </c>
      <c r="G875" s="8">
        <v>41802</v>
      </c>
      <c r="Y875" s="8"/>
    </row>
    <row r="876" spans="1:25" x14ac:dyDescent="0.25">
      <c r="A876" t="str">
        <f>"14-0341"</f>
        <v>14-0341</v>
      </c>
      <c r="D876" s="8">
        <v>41802</v>
      </c>
      <c r="F876" s="8">
        <v>41802</v>
      </c>
      <c r="G876" s="8">
        <v>41802</v>
      </c>
      <c r="Y876" s="8"/>
    </row>
    <row r="877" spans="1:25" x14ac:dyDescent="0.25">
      <c r="A877" t="str">
        <f>"14-0333"</f>
        <v>14-0333</v>
      </c>
      <c r="D877" s="8">
        <v>41801</v>
      </c>
      <c r="F877" s="8">
        <v>41801</v>
      </c>
      <c r="G877" s="8">
        <v>41801</v>
      </c>
      <c r="Y877" s="8"/>
    </row>
    <row r="878" spans="1:25" x14ac:dyDescent="0.25">
      <c r="A878" t="str">
        <f>"14-0334"</f>
        <v>14-0334</v>
      </c>
      <c r="D878" s="8">
        <v>41801</v>
      </c>
      <c r="F878" s="8">
        <v>41801</v>
      </c>
      <c r="G878" s="8">
        <v>41801</v>
      </c>
      <c r="Y878" s="8"/>
    </row>
    <row r="879" spans="1:25" x14ac:dyDescent="0.25">
      <c r="A879" t="str">
        <f>"14-0335"</f>
        <v>14-0335</v>
      </c>
      <c r="D879" s="8">
        <v>41801</v>
      </c>
      <c r="F879" s="8">
        <v>41801</v>
      </c>
      <c r="G879" s="8">
        <v>41801</v>
      </c>
      <c r="Y879" s="8"/>
    </row>
    <row r="880" spans="1:25" x14ac:dyDescent="0.25">
      <c r="A880" t="str">
        <f>"14-0336"</f>
        <v>14-0336</v>
      </c>
      <c r="D880" s="8">
        <v>41801</v>
      </c>
      <c r="F880" s="8">
        <v>41801</v>
      </c>
      <c r="G880" s="8">
        <v>41801</v>
      </c>
      <c r="Y880" s="8"/>
    </row>
    <row r="881" spans="1:25" x14ac:dyDescent="0.25">
      <c r="A881" t="str">
        <f>"14-0337"</f>
        <v>14-0337</v>
      </c>
      <c r="D881" s="8">
        <v>41801</v>
      </c>
      <c r="F881" s="8">
        <v>41801</v>
      </c>
      <c r="G881" s="8">
        <v>41801</v>
      </c>
      <c r="Y881" s="8"/>
    </row>
    <row r="882" spans="1:25" x14ac:dyDescent="0.25">
      <c r="A882" t="str">
        <f>"14-0338"</f>
        <v>14-0338</v>
      </c>
      <c r="D882" s="8">
        <v>41801</v>
      </c>
      <c r="F882" s="8">
        <v>41801</v>
      </c>
      <c r="G882" s="8">
        <v>41801</v>
      </c>
      <c r="Y882" s="8"/>
    </row>
    <row r="883" spans="1:25" x14ac:dyDescent="0.25">
      <c r="A883" t="str">
        <f>"14-0323B"</f>
        <v>14-0323B</v>
      </c>
      <c r="D883" s="8">
        <v>41800</v>
      </c>
      <c r="F883" s="8">
        <v>41800</v>
      </c>
      <c r="G883" s="8">
        <v>41800</v>
      </c>
      <c r="Y883" s="8"/>
    </row>
    <row r="884" spans="1:25" x14ac:dyDescent="0.25">
      <c r="A884" t="str">
        <f>"14-0332"</f>
        <v>14-0332</v>
      </c>
      <c r="D884" s="8">
        <v>41800</v>
      </c>
      <c r="F884" s="8">
        <v>41800</v>
      </c>
      <c r="G884" s="8">
        <v>41800</v>
      </c>
      <c r="Y884" s="8"/>
    </row>
    <row r="885" spans="1:25" x14ac:dyDescent="0.25">
      <c r="A885" t="str">
        <f>"14-0331"</f>
        <v>14-0331</v>
      </c>
      <c r="D885" s="8">
        <v>41796</v>
      </c>
      <c r="F885" s="8">
        <v>41796</v>
      </c>
      <c r="G885" s="8">
        <v>41796</v>
      </c>
      <c r="Y885" s="8"/>
    </row>
    <row r="886" spans="1:25" x14ac:dyDescent="0.25">
      <c r="A886" t="str">
        <f>"14-0329"</f>
        <v>14-0329</v>
      </c>
      <c r="D886" s="8">
        <v>41795</v>
      </c>
      <c r="F886" s="8">
        <v>41795</v>
      </c>
      <c r="G886" s="8">
        <v>41795</v>
      </c>
      <c r="Y886" s="8"/>
    </row>
    <row r="887" spans="1:25" x14ac:dyDescent="0.25">
      <c r="A887" t="str">
        <f>"14-0330"</f>
        <v>14-0330</v>
      </c>
      <c r="D887" s="8">
        <v>41795</v>
      </c>
      <c r="F887" s="8">
        <v>41795</v>
      </c>
      <c r="G887" s="8">
        <v>41795</v>
      </c>
      <c r="Y887" s="8"/>
    </row>
    <row r="888" spans="1:25" x14ac:dyDescent="0.25">
      <c r="A888" t="str">
        <f>"14-0327"</f>
        <v>14-0327</v>
      </c>
      <c r="D888" s="8">
        <v>41794</v>
      </c>
      <c r="F888" s="8">
        <v>41794</v>
      </c>
      <c r="G888" s="8">
        <v>41794</v>
      </c>
      <c r="Y888" s="8"/>
    </row>
    <row r="889" spans="1:25" x14ac:dyDescent="0.25">
      <c r="A889" t="str">
        <f>"14-0328"</f>
        <v>14-0328</v>
      </c>
      <c r="D889" s="8">
        <v>41794</v>
      </c>
      <c r="F889" s="8">
        <v>41794</v>
      </c>
      <c r="G889" s="8">
        <v>41794</v>
      </c>
      <c r="Y889" s="8"/>
    </row>
    <row r="890" spans="1:25" x14ac:dyDescent="0.25">
      <c r="A890" t="str">
        <f>"14-0323"</f>
        <v>14-0323</v>
      </c>
      <c r="D890" s="8">
        <v>41793</v>
      </c>
      <c r="F890" s="8">
        <v>41793</v>
      </c>
      <c r="G890" s="8">
        <v>41793</v>
      </c>
      <c r="Y890" s="8"/>
    </row>
    <row r="891" spans="1:25" x14ac:dyDescent="0.25">
      <c r="A891" t="str">
        <f>"14-0324"</f>
        <v>14-0324</v>
      </c>
      <c r="D891" s="8">
        <v>41793</v>
      </c>
      <c r="F891" s="8">
        <v>41794</v>
      </c>
      <c r="G891" s="8">
        <v>41793</v>
      </c>
      <c r="Y891" s="8"/>
    </row>
    <row r="892" spans="1:25" x14ac:dyDescent="0.25">
      <c r="A892" t="str">
        <f>"14-0325"</f>
        <v>14-0325</v>
      </c>
      <c r="D892" s="8">
        <v>41793</v>
      </c>
      <c r="F892" s="8">
        <v>41845</v>
      </c>
      <c r="G892" s="8">
        <v>41793</v>
      </c>
      <c r="Y892" s="8"/>
    </row>
    <row r="893" spans="1:25" x14ac:dyDescent="0.25">
      <c r="A893" t="str">
        <f>"14-0326"</f>
        <v>14-0326</v>
      </c>
      <c r="D893" s="8">
        <v>41793</v>
      </c>
      <c r="F893" s="8">
        <v>41794</v>
      </c>
      <c r="G893" s="8">
        <v>41794</v>
      </c>
      <c r="Y893" s="8"/>
    </row>
    <row r="894" spans="1:25" x14ac:dyDescent="0.25">
      <c r="A894" t="str">
        <f>"14-0226B"</f>
        <v>14-0226B</v>
      </c>
      <c r="D894" s="8">
        <v>41792</v>
      </c>
      <c r="F894" s="8">
        <v>41792</v>
      </c>
      <c r="G894" s="8">
        <v>41792</v>
      </c>
      <c r="Y894" s="8"/>
    </row>
    <row r="895" spans="1:25" x14ac:dyDescent="0.25">
      <c r="A895" t="str">
        <f>"14-0318"</f>
        <v>14-0318</v>
      </c>
      <c r="D895" s="8">
        <v>41792</v>
      </c>
      <c r="F895" s="8">
        <v>41792</v>
      </c>
      <c r="G895" s="8">
        <v>41792</v>
      </c>
      <c r="Y895" s="8"/>
    </row>
    <row r="896" spans="1:25" x14ac:dyDescent="0.25">
      <c r="A896" t="str">
        <f>"14-0319"</f>
        <v>14-0319</v>
      </c>
      <c r="D896" s="8">
        <v>41792</v>
      </c>
      <c r="F896" s="8">
        <v>41792</v>
      </c>
      <c r="G896" s="8">
        <v>41792</v>
      </c>
      <c r="Y896" s="8"/>
    </row>
    <row r="897" spans="1:25" x14ac:dyDescent="0.25">
      <c r="A897" t="str">
        <f>"14-0320"</f>
        <v>14-0320</v>
      </c>
      <c r="D897" s="8">
        <v>41792</v>
      </c>
      <c r="F897" s="8">
        <v>41792</v>
      </c>
      <c r="G897" s="8">
        <v>41792</v>
      </c>
      <c r="Y897" s="8"/>
    </row>
    <row r="898" spans="1:25" x14ac:dyDescent="0.25">
      <c r="A898" t="str">
        <f>"14-0321"</f>
        <v>14-0321</v>
      </c>
      <c r="D898" s="8">
        <v>41792</v>
      </c>
      <c r="F898" s="8">
        <v>41792</v>
      </c>
      <c r="G898" s="8">
        <v>41792</v>
      </c>
      <c r="Y898" s="8"/>
    </row>
    <row r="899" spans="1:25" x14ac:dyDescent="0.25">
      <c r="A899" t="str">
        <f>"14-0322"</f>
        <v>14-0322</v>
      </c>
      <c r="D899" s="8">
        <v>41792</v>
      </c>
      <c r="F899" s="8">
        <v>41792</v>
      </c>
      <c r="G899" s="8">
        <v>41792</v>
      </c>
      <c r="Y899" s="8"/>
    </row>
    <row r="900" spans="1:25" x14ac:dyDescent="0.25">
      <c r="A900" t="str">
        <f>"14-0314"</f>
        <v>14-0314</v>
      </c>
      <c r="D900" s="8">
        <v>41787</v>
      </c>
      <c r="F900" s="8">
        <v>41787</v>
      </c>
      <c r="G900" s="8">
        <v>41787</v>
      </c>
      <c r="Y900" s="8"/>
    </row>
    <row r="901" spans="1:25" x14ac:dyDescent="0.25">
      <c r="A901" t="str">
        <f>"14-0315"</f>
        <v>14-0315</v>
      </c>
      <c r="D901" s="8">
        <v>41787</v>
      </c>
      <c r="F901" s="8">
        <v>41787</v>
      </c>
      <c r="G901" s="8">
        <v>41796</v>
      </c>
      <c r="Y901" s="8"/>
    </row>
    <row r="902" spans="1:25" x14ac:dyDescent="0.25">
      <c r="A902" t="str">
        <f>"14-0316"</f>
        <v>14-0316</v>
      </c>
      <c r="D902" s="8">
        <v>41787</v>
      </c>
      <c r="F902" s="8">
        <v>41787</v>
      </c>
      <c r="G902" s="8">
        <v>41787</v>
      </c>
      <c r="Y902" s="8"/>
    </row>
    <row r="903" spans="1:25" x14ac:dyDescent="0.25">
      <c r="A903" t="str">
        <f>"14-0317"</f>
        <v>14-0317</v>
      </c>
      <c r="D903" s="8">
        <v>41787</v>
      </c>
      <c r="F903" s="8">
        <v>41787</v>
      </c>
      <c r="G903" s="8">
        <v>41787</v>
      </c>
      <c r="Y903" s="8"/>
    </row>
    <row r="904" spans="1:25" x14ac:dyDescent="0.25">
      <c r="A904" t="str">
        <f>"14-0305B"</f>
        <v>14-0305B</v>
      </c>
      <c r="D904" s="8">
        <v>41786</v>
      </c>
      <c r="F904" s="8">
        <v>41786</v>
      </c>
      <c r="G904" s="8">
        <v>41786</v>
      </c>
      <c r="Y904" s="8"/>
    </row>
    <row r="905" spans="1:25" x14ac:dyDescent="0.25">
      <c r="A905" t="str">
        <f>"14-0311"</f>
        <v>14-0311</v>
      </c>
      <c r="D905" s="8">
        <v>41786</v>
      </c>
      <c r="F905" s="8">
        <v>41786</v>
      </c>
      <c r="G905" s="8">
        <v>41786</v>
      </c>
      <c r="Y905" s="8"/>
    </row>
    <row r="906" spans="1:25" x14ac:dyDescent="0.25">
      <c r="A906" t="str">
        <f>"14-0312"</f>
        <v>14-0312</v>
      </c>
      <c r="D906" s="8">
        <v>41786</v>
      </c>
      <c r="F906" s="8">
        <v>41787</v>
      </c>
      <c r="G906" s="8">
        <v>41788</v>
      </c>
      <c r="Y906" s="8"/>
    </row>
    <row r="907" spans="1:25" x14ac:dyDescent="0.25">
      <c r="A907" t="str">
        <f>"14-0313"</f>
        <v>14-0313</v>
      </c>
      <c r="D907" s="8">
        <v>41786</v>
      </c>
      <c r="F907" s="8">
        <v>41786</v>
      </c>
      <c r="G907" s="8">
        <v>41786</v>
      </c>
      <c r="Y907" s="8"/>
    </row>
    <row r="908" spans="1:25" x14ac:dyDescent="0.25">
      <c r="A908" t="str">
        <f>"14-0302"</f>
        <v>14-0302</v>
      </c>
      <c r="D908" s="8">
        <v>41785</v>
      </c>
      <c r="F908" s="8">
        <v>41786</v>
      </c>
      <c r="G908" s="8">
        <v>41785</v>
      </c>
      <c r="Y908" s="8"/>
    </row>
    <row r="909" spans="1:25" x14ac:dyDescent="0.25">
      <c r="A909" t="str">
        <f>"14-0303"</f>
        <v>14-0303</v>
      </c>
      <c r="D909" s="8">
        <v>41785</v>
      </c>
      <c r="F909" s="8">
        <v>41785</v>
      </c>
      <c r="G909" s="8">
        <v>41785</v>
      </c>
      <c r="Y909" s="8"/>
    </row>
    <row r="910" spans="1:25" x14ac:dyDescent="0.25">
      <c r="A910" t="str">
        <f>"14-0304"</f>
        <v>14-0304</v>
      </c>
      <c r="D910" s="8">
        <v>41785</v>
      </c>
      <c r="F910" s="8">
        <v>41786</v>
      </c>
      <c r="G910" s="8">
        <v>41785</v>
      </c>
      <c r="Y910" s="8"/>
    </row>
    <row r="911" spans="1:25" x14ac:dyDescent="0.25">
      <c r="A911" t="str">
        <f>"14-0305"</f>
        <v>14-0305</v>
      </c>
      <c r="D911" s="8">
        <v>41785</v>
      </c>
      <c r="F911" s="8">
        <v>41785</v>
      </c>
      <c r="G911" s="8">
        <v>41787</v>
      </c>
      <c r="Y911" s="8"/>
    </row>
    <row r="912" spans="1:25" x14ac:dyDescent="0.25">
      <c r="A912" t="str">
        <f>"14-0306"</f>
        <v>14-0306</v>
      </c>
      <c r="D912" s="8">
        <v>41785</v>
      </c>
      <c r="F912" s="8">
        <v>41786</v>
      </c>
      <c r="G912" s="8">
        <v>41792</v>
      </c>
      <c r="Y912" s="8"/>
    </row>
    <row r="913" spans="1:25" x14ac:dyDescent="0.25">
      <c r="A913" t="str">
        <f>"14-0307"</f>
        <v>14-0307</v>
      </c>
      <c r="D913" s="8">
        <v>41785</v>
      </c>
      <c r="F913" s="8">
        <v>41785</v>
      </c>
      <c r="G913" s="8">
        <v>41789</v>
      </c>
      <c r="Y913" s="8"/>
    </row>
    <row r="914" spans="1:25" x14ac:dyDescent="0.25">
      <c r="A914" t="str">
        <f>"14-0308"</f>
        <v>14-0308</v>
      </c>
      <c r="D914" s="8">
        <v>41785</v>
      </c>
      <c r="F914" s="8">
        <v>41785</v>
      </c>
      <c r="G914" s="8">
        <v>41794</v>
      </c>
      <c r="Y914" s="8"/>
    </row>
    <row r="915" spans="1:25" x14ac:dyDescent="0.25">
      <c r="A915" t="str">
        <f>"14-0309"</f>
        <v>14-0309</v>
      </c>
      <c r="D915" s="8">
        <v>41785</v>
      </c>
      <c r="F915" s="8">
        <v>41785</v>
      </c>
      <c r="G915" s="8">
        <v>41794</v>
      </c>
      <c r="Y915" s="8"/>
    </row>
    <row r="916" spans="1:25" x14ac:dyDescent="0.25">
      <c r="A916" t="str">
        <f>"14-0310"</f>
        <v>14-0310</v>
      </c>
      <c r="D916" s="8">
        <v>41785</v>
      </c>
      <c r="F916" s="8">
        <v>41785</v>
      </c>
      <c r="G916" s="8">
        <v>41794</v>
      </c>
      <c r="Y916" s="8"/>
    </row>
    <row r="917" spans="1:25" x14ac:dyDescent="0.25">
      <c r="A917" t="str">
        <f>"14-0301"</f>
        <v>14-0301</v>
      </c>
      <c r="D917" s="8">
        <v>41782</v>
      </c>
      <c r="F917" s="8">
        <v>41782</v>
      </c>
      <c r="G917" s="8">
        <v>41782</v>
      </c>
      <c r="Y917" s="8"/>
    </row>
    <row r="918" spans="1:25" x14ac:dyDescent="0.25">
      <c r="A918" t="str">
        <f>"14-0295"</f>
        <v>14-0295</v>
      </c>
      <c r="D918" s="8">
        <v>41781</v>
      </c>
      <c r="F918" s="8">
        <v>41781</v>
      </c>
      <c r="G918" s="8">
        <v>41781</v>
      </c>
      <c r="Y918" s="8"/>
    </row>
    <row r="919" spans="1:25" x14ac:dyDescent="0.25">
      <c r="A919" t="str">
        <f>"14-0296"</f>
        <v>14-0296</v>
      </c>
      <c r="D919" s="8">
        <v>41781</v>
      </c>
      <c r="F919" s="8">
        <v>41781</v>
      </c>
      <c r="G919" s="8">
        <v>41781</v>
      </c>
      <c r="Y919" s="8"/>
    </row>
    <row r="920" spans="1:25" x14ac:dyDescent="0.25">
      <c r="A920" t="str">
        <f>"14-0297"</f>
        <v>14-0297</v>
      </c>
      <c r="D920" s="8">
        <v>41781</v>
      </c>
      <c r="F920" s="8">
        <v>41781</v>
      </c>
      <c r="G920" s="8">
        <v>41781</v>
      </c>
      <c r="Y920" s="8"/>
    </row>
    <row r="921" spans="1:25" x14ac:dyDescent="0.25">
      <c r="A921" t="str">
        <f>"14-0298"</f>
        <v>14-0298</v>
      </c>
      <c r="D921" s="8">
        <v>41781</v>
      </c>
      <c r="F921" s="8">
        <v>41781</v>
      </c>
      <c r="G921" s="8">
        <v>41781</v>
      </c>
      <c r="Y921" s="8"/>
    </row>
    <row r="922" spans="1:25" x14ac:dyDescent="0.25">
      <c r="A922" t="str">
        <f>"14-0259B"</f>
        <v>14-0259B</v>
      </c>
      <c r="D922" s="8">
        <v>41780</v>
      </c>
      <c r="F922" s="8">
        <v>41780</v>
      </c>
      <c r="G922" s="8">
        <v>41780</v>
      </c>
      <c r="Y922" s="8"/>
    </row>
    <row r="923" spans="1:25" x14ac:dyDescent="0.25">
      <c r="A923" t="str">
        <f>"14-0292"</f>
        <v>14-0292</v>
      </c>
      <c r="D923" s="8">
        <v>41780</v>
      </c>
      <c r="F923" s="8">
        <v>41780</v>
      </c>
      <c r="G923" s="8">
        <v>41780</v>
      </c>
      <c r="Y923" s="8"/>
    </row>
    <row r="924" spans="1:25" x14ac:dyDescent="0.25">
      <c r="A924" t="str">
        <f>"14-0294"</f>
        <v>14-0294</v>
      </c>
      <c r="D924" s="8">
        <v>41780</v>
      </c>
      <c r="F924" s="8">
        <v>41780</v>
      </c>
      <c r="G924" s="8">
        <v>41780</v>
      </c>
      <c r="Y924" s="8"/>
    </row>
    <row r="925" spans="1:25" x14ac:dyDescent="0.25">
      <c r="A925" t="str">
        <f>"14-0287"</f>
        <v>14-0287</v>
      </c>
      <c r="D925" s="8">
        <v>41779</v>
      </c>
      <c r="F925" s="8">
        <v>41779</v>
      </c>
      <c r="G925" s="8">
        <v>41779</v>
      </c>
      <c r="Y925" s="8"/>
    </row>
    <row r="926" spans="1:25" x14ac:dyDescent="0.25">
      <c r="A926" t="str">
        <f>"14-0288"</f>
        <v>14-0288</v>
      </c>
      <c r="D926" s="8">
        <v>41779</v>
      </c>
      <c r="F926" s="8">
        <v>41779</v>
      </c>
      <c r="G926" s="8">
        <v>41779</v>
      </c>
      <c r="Y926" s="8"/>
    </row>
    <row r="927" spans="1:25" x14ac:dyDescent="0.25">
      <c r="A927" t="str">
        <f>"14-0289"</f>
        <v>14-0289</v>
      </c>
      <c r="D927" s="8">
        <v>41779</v>
      </c>
      <c r="F927" s="8">
        <v>41779</v>
      </c>
      <c r="G927" s="8">
        <v>41779</v>
      </c>
      <c r="Y927" s="8"/>
    </row>
    <row r="928" spans="1:25" x14ac:dyDescent="0.25">
      <c r="A928" t="str">
        <f>"14-0290"</f>
        <v>14-0290</v>
      </c>
      <c r="D928" s="8">
        <v>41779</v>
      </c>
      <c r="F928" s="8">
        <v>41779</v>
      </c>
      <c r="G928" s="8">
        <v>41779</v>
      </c>
      <c r="Y928" s="8"/>
    </row>
    <row r="929" spans="1:25" x14ac:dyDescent="0.25">
      <c r="A929" t="str">
        <f>"14-0291"</f>
        <v>14-0291</v>
      </c>
      <c r="D929" s="8">
        <v>41779</v>
      </c>
      <c r="F929" s="8">
        <v>41779</v>
      </c>
      <c r="G929" s="8">
        <v>41779</v>
      </c>
      <c r="Y929" s="8"/>
    </row>
    <row r="930" spans="1:25" x14ac:dyDescent="0.25">
      <c r="A930" t="str">
        <f>"14-0282"</f>
        <v>14-0282</v>
      </c>
      <c r="D930" s="8">
        <v>41778</v>
      </c>
      <c r="F930" s="8">
        <v>41778</v>
      </c>
      <c r="G930" s="8">
        <v>41778</v>
      </c>
      <c r="Y930" s="8"/>
    </row>
    <row r="931" spans="1:25" x14ac:dyDescent="0.25">
      <c r="A931" t="str">
        <f>"14-0283"</f>
        <v>14-0283</v>
      </c>
      <c r="D931" s="8">
        <v>41778</v>
      </c>
      <c r="F931" s="8">
        <v>41820</v>
      </c>
      <c r="G931" s="8">
        <v>41778</v>
      </c>
      <c r="Y931" s="8"/>
    </row>
    <row r="932" spans="1:25" x14ac:dyDescent="0.25">
      <c r="A932" t="str">
        <f>"14-0284"</f>
        <v>14-0284</v>
      </c>
      <c r="D932" s="8">
        <v>41778</v>
      </c>
      <c r="F932" s="8">
        <v>41778</v>
      </c>
      <c r="G932" s="8">
        <v>41778</v>
      </c>
      <c r="Y932" s="8"/>
    </row>
    <row r="933" spans="1:25" x14ac:dyDescent="0.25">
      <c r="A933" t="str">
        <f>"14-0285"</f>
        <v>14-0285</v>
      </c>
      <c r="D933" s="8">
        <v>41778</v>
      </c>
      <c r="F933" s="8">
        <v>41778</v>
      </c>
      <c r="G933" s="8">
        <v>41778</v>
      </c>
      <c r="Y933" s="8"/>
    </row>
    <row r="934" spans="1:25" x14ac:dyDescent="0.25">
      <c r="A934" t="str">
        <f>"14-0286"</f>
        <v>14-0286</v>
      </c>
      <c r="D934" s="8">
        <v>41778</v>
      </c>
      <c r="F934" s="8">
        <v>41779</v>
      </c>
      <c r="G934" s="8">
        <v>41778</v>
      </c>
      <c r="Y934" s="8"/>
    </row>
    <row r="935" spans="1:25" x14ac:dyDescent="0.25">
      <c r="A935" t="str">
        <f>"14-0293"</f>
        <v>14-0293</v>
      </c>
      <c r="D935" s="8">
        <v>41778</v>
      </c>
      <c r="F935" s="8">
        <v>41782</v>
      </c>
      <c r="G935" s="8">
        <v>41780</v>
      </c>
      <c r="Y935" s="8"/>
    </row>
    <row r="936" spans="1:25" x14ac:dyDescent="0.25">
      <c r="A936" t="str">
        <f>"14-0299"</f>
        <v>14-0299</v>
      </c>
      <c r="D936" s="8">
        <v>41778</v>
      </c>
      <c r="F936" s="8">
        <v>41782</v>
      </c>
      <c r="G936" s="8">
        <v>41782</v>
      </c>
      <c r="Y936" s="8"/>
    </row>
    <row r="937" spans="1:25" x14ac:dyDescent="0.25">
      <c r="A937" t="str">
        <f>"14-0280"</f>
        <v>14-0280</v>
      </c>
      <c r="D937" s="8">
        <v>41775</v>
      </c>
      <c r="F937" s="8">
        <v>41775</v>
      </c>
      <c r="G937" s="8">
        <v>41775</v>
      </c>
      <c r="Y937" s="8"/>
    </row>
    <row r="938" spans="1:25" x14ac:dyDescent="0.25">
      <c r="A938" t="str">
        <f>"14-0281"</f>
        <v>14-0281</v>
      </c>
      <c r="D938" s="8">
        <v>41775</v>
      </c>
      <c r="F938" s="8">
        <v>41775</v>
      </c>
      <c r="G938" s="8">
        <v>41775</v>
      </c>
      <c r="Y938" s="8"/>
    </row>
    <row r="939" spans="1:25" x14ac:dyDescent="0.25">
      <c r="A939" t="str">
        <f>"14-0279"</f>
        <v>14-0279</v>
      </c>
      <c r="D939" s="8">
        <v>41774</v>
      </c>
      <c r="F939" s="8">
        <v>41774</v>
      </c>
      <c r="G939" s="8">
        <v>41774</v>
      </c>
      <c r="Y939" s="8"/>
    </row>
    <row r="940" spans="1:25" x14ac:dyDescent="0.25">
      <c r="A940" t="str">
        <f>"14-0300"</f>
        <v>14-0300</v>
      </c>
      <c r="D940" s="8">
        <v>41774</v>
      </c>
      <c r="F940" s="8">
        <v>41782</v>
      </c>
      <c r="G940" s="8">
        <v>41782</v>
      </c>
      <c r="Y940" s="8"/>
    </row>
    <row r="941" spans="1:25" x14ac:dyDescent="0.25">
      <c r="A941" t="str">
        <f>"14-0194C"</f>
        <v>14-0194C</v>
      </c>
      <c r="D941" s="8">
        <v>41773</v>
      </c>
      <c r="F941" s="8">
        <v>41773</v>
      </c>
      <c r="G941" s="8">
        <v>41773</v>
      </c>
      <c r="Y941" s="8"/>
    </row>
    <row r="942" spans="1:25" x14ac:dyDescent="0.25">
      <c r="A942" t="str">
        <f>"14-0276"</f>
        <v>14-0276</v>
      </c>
      <c r="D942" s="8">
        <v>41773</v>
      </c>
      <c r="F942" s="8">
        <v>41773</v>
      </c>
      <c r="G942" s="8">
        <v>41773</v>
      </c>
      <c r="Y942" s="8"/>
    </row>
    <row r="943" spans="1:25" x14ac:dyDescent="0.25">
      <c r="A943" t="str">
        <f>"14-0277"</f>
        <v>14-0277</v>
      </c>
      <c r="D943" s="8">
        <v>41773</v>
      </c>
      <c r="F943" s="8">
        <v>41773</v>
      </c>
      <c r="G943" s="8">
        <v>41773</v>
      </c>
      <c r="Y943" s="8"/>
    </row>
    <row r="944" spans="1:25" x14ac:dyDescent="0.25">
      <c r="A944" t="str">
        <f>"14-0278"</f>
        <v>14-0278</v>
      </c>
      <c r="D944" s="8">
        <v>41773</v>
      </c>
      <c r="F944" s="8">
        <v>41773</v>
      </c>
      <c r="G944" s="8">
        <v>41773</v>
      </c>
      <c r="Y944" s="8"/>
    </row>
    <row r="945" spans="1:25" x14ac:dyDescent="0.25">
      <c r="A945" t="str">
        <f>"14-0275"</f>
        <v>14-0275</v>
      </c>
      <c r="D945" s="8">
        <v>41772</v>
      </c>
      <c r="F945" s="8">
        <v>41774</v>
      </c>
      <c r="G945" s="8">
        <v>41772</v>
      </c>
      <c r="Y945" s="8"/>
    </row>
    <row r="946" spans="1:25" x14ac:dyDescent="0.25">
      <c r="A946" t="str">
        <f>"14-0272"</f>
        <v>14-0272</v>
      </c>
      <c r="D946" s="8">
        <v>41768</v>
      </c>
      <c r="F946" s="8">
        <v>41768</v>
      </c>
      <c r="G946" s="8">
        <v>41768</v>
      </c>
      <c r="Y946" s="8"/>
    </row>
    <row r="947" spans="1:25" x14ac:dyDescent="0.25">
      <c r="A947" t="str">
        <f>"14-0273"</f>
        <v>14-0273</v>
      </c>
      <c r="D947" s="8">
        <v>41768</v>
      </c>
      <c r="F947" s="8">
        <v>41768</v>
      </c>
      <c r="G947" s="8">
        <v>41768</v>
      </c>
      <c r="Y947" s="8"/>
    </row>
    <row r="948" spans="1:25" x14ac:dyDescent="0.25">
      <c r="A948" t="str">
        <f>"14-0274"</f>
        <v>14-0274</v>
      </c>
      <c r="D948" s="8">
        <v>41768</v>
      </c>
      <c r="F948" s="8">
        <v>41768</v>
      </c>
      <c r="G948" s="8">
        <v>41768</v>
      </c>
      <c r="Y948" s="8"/>
    </row>
    <row r="949" spans="1:25" x14ac:dyDescent="0.25">
      <c r="A949" t="str">
        <f>"14-0265"</f>
        <v>14-0265</v>
      </c>
      <c r="D949" s="8">
        <v>41766</v>
      </c>
      <c r="F949" s="8">
        <v>41775</v>
      </c>
      <c r="G949" s="8">
        <v>41771</v>
      </c>
      <c r="Y949" s="8"/>
    </row>
    <row r="950" spans="1:25" x14ac:dyDescent="0.25">
      <c r="A950" t="str">
        <f>"14-0266"</f>
        <v>14-0266</v>
      </c>
      <c r="D950" s="8">
        <v>41766</v>
      </c>
      <c r="F950" s="8">
        <v>41766</v>
      </c>
      <c r="G950" s="8">
        <v>41766</v>
      </c>
      <c r="Y950" s="8"/>
    </row>
    <row r="951" spans="1:25" x14ac:dyDescent="0.25">
      <c r="A951" t="str">
        <f>"14-0267"</f>
        <v>14-0267</v>
      </c>
      <c r="D951" s="8">
        <v>41766</v>
      </c>
      <c r="F951" s="8">
        <v>41766</v>
      </c>
      <c r="G951" s="8">
        <v>41766</v>
      </c>
      <c r="Y951" s="8"/>
    </row>
    <row r="952" spans="1:25" x14ac:dyDescent="0.25">
      <c r="A952" t="str">
        <f>"14-0268"</f>
        <v>14-0268</v>
      </c>
      <c r="D952" s="8">
        <v>41766</v>
      </c>
      <c r="F952" s="8">
        <v>41766</v>
      </c>
      <c r="G952" s="8">
        <v>41766</v>
      </c>
      <c r="Y952" s="8"/>
    </row>
    <row r="953" spans="1:25" x14ac:dyDescent="0.25">
      <c r="A953" t="str">
        <f>"14-0269"</f>
        <v>14-0269</v>
      </c>
      <c r="D953" s="8">
        <v>41766</v>
      </c>
      <c r="F953" s="8">
        <v>41772</v>
      </c>
      <c r="G953" s="8">
        <v>41766</v>
      </c>
      <c r="Y953" s="8"/>
    </row>
    <row r="954" spans="1:25" x14ac:dyDescent="0.25">
      <c r="A954" t="str">
        <f>"14-0270"</f>
        <v>14-0270</v>
      </c>
      <c r="D954" s="8">
        <v>41766</v>
      </c>
      <c r="F954" s="8">
        <v>41772</v>
      </c>
      <c r="G954" s="8">
        <v>41766</v>
      </c>
      <c r="Y954" s="8"/>
    </row>
    <row r="955" spans="1:25" x14ac:dyDescent="0.25">
      <c r="A955" t="str">
        <f>"14-0271"</f>
        <v>14-0271</v>
      </c>
      <c r="D955" s="8">
        <v>41766</v>
      </c>
      <c r="F955" s="8">
        <v>41766</v>
      </c>
      <c r="G955" s="8">
        <v>41766</v>
      </c>
      <c r="Y955" s="8"/>
    </row>
    <row r="956" spans="1:25" x14ac:dyDescent="0.25">
      <c r="A956" t="str">
        <f>"14-0262"</f>
        <v>14-0262</v>
      </c>
      <c r="D956" s="8">
        <v>41765</v>
      </c>
      <c r="F956" s="8">
        <v>41765</v>
      </c>
      <c r="G956" s="8">
        <v>41765</v>
      </c>
      <c r="Y956" s="8"/>
    </row>
    <row r="957" spans="1:25" x14ac:dyDescent="0.25">
      <c r="A957" t="str">
        <f>"14-0263"</f>
        <v>14-0263</v>
      </c>
      <c r="D957" s="8">
        <v>41765</v>
      </c>
      <c r="F957" s="8">
        <v>41765</v>
      </c>
      <c r="G957" s="8">
        <v>41765</v>
      </c>
      <c r="Y957" s="8"/>
    </row>
    <row r="958" spans="1:25" x14ac:dyDescent="0.25">
      <c r="A958" t="str">
        <f>"14-0264"</f>
        <v>14-0264</v>
      </c>
      <c r="D958" s="8">
        <v>41765</v>
      </c>
      <c r="F958" s="8">
        <v>41792</v>
      </c>
      <c r="G958" s="8">
        <v>41765</v>
      </c>
      <c r="Y958" s="8"/>
    </row>
    <row r="959" spans="1:25" x14ac:dyDescent="0.25">
      <c r="A959" t="str">
        <f>"14-0253B"</f>
        <v>14-0253B</v>
      </c>
      <c r="D959" s="8">
        <v>41764</v>
      </c>
      <c r="F959" s="8">
        <v>41764</v>
      </c>
      <c r="G959" s="8">
        <v>41764</v>
      </c>
      <c r="Y959" s="8"/>
    </row>
    <row r="960" spans="1:25" x14ac:dyDescent="0.25">
      <c r="A960" t="str">
        <f>"14-0257"</f>
        <v>14-0257</v>
      </c>
      <c r="D960" s="8">
        <v>41764</v>
      </c>
      <c r="F960" s="8">
        <v>41764</v>
      </c>
      <c r="G960" s="8">
        <v>41764</v>
      </c>
      <c r="Y960" s="8"/>
    </row>
    <row r="961" spans="1:25" x14ac:dyDescent="0.25">
      <c r="A961" t="str">
        <f>"14-0258"</f>
        <v>14-0258</v>
      </c>
      <c r="D961" s="8">
        <v>41764</v>
      </c>
      <c r="F961" s="8">
        <v>41764</v>
      </c>
      <c r="G961" s="8">
        <v>41764</v>
      </c>
      <c r="Y961" s="8"/>
    </row>
    <row r="962" spans="1:25" x14ac:dyDescent="0.25">
      <c r="A962" t="str">
        <f>"14-0259"</f>
        <v>14-0259</v>
      </c>
      <c r="D962" s="8">
        <v>41764</v>
      </c>
      <c r="F962" s="8">
        <v>41778</v>
      </c>
      <c r="G962" s="8">
        <v>41778</v>
      </c>
      <c r="Y962" s="8"/>
    </row>
    <row r="963" spans="1:25" x14ac:dyDescent="0.25">
      <c r="A963" t="str">
        <f>"14-0260"</f>
        <v>14-0260</v>
      </c>
      <c r="D963" s="8">
        <v>41764</v>
      </c>
      <c r="F963" s="8">
        <v>41764</v>
      </c>
      <c r="G963" s="8">
        <v>41764</v>
      </c>
      <c r="Y963" s="8"/>
    </row>
    <row r="964" spans="1:25" x14ac:dyDescent="0.25">
      <c r="A964" t="str">
        <f>"14-0261"</f>
        <v>14-0261</v>
      </c>
      <c r="D964" s="8">
        <v>41764</v>
      </c>
      <c r="F964" s="8">
        <v>41766</v>
      </c>
      <c r="G964" s="8">
        <v>41775</v>
      </c>
      <c r="Y964" s="8"/>
    </row>
    <row r="965" spans="1:25" x14ac:dyDescent="0.25">
      <c r="A965" t="str">
        <f>"14-0253"</f>
        <v>14-0253</v>
      </c>
      <c r="D965" s="8">
        <v>41759</v>
      </c>
      <c r="F965" s="8">
        <v>41759</v>
      </c>
      <c r="G965" s="8">
        <v>41759</v>
      </c>
      <c r="Y965" s="8"/>
    </row>
    <row r="966" spans="1:25" x14ac:dyDescent="0.25">
      <c r="A966" t="str">
        <f>"14-0254"</f>
        <v>14-0254</v>
      </c>
      <c r="D966" s="8">
        <v>41759</v>
      </c>
      <c r="F966" s="8">
        <v>41759</v>
      </c>
      <c r="G966" s="8">
        <v>41759</v>
      </c>
      <c r="Y966" s="8"/>
    </row>
    <row r="967" spans="1:25" x14ac:dyDescent="0.25">
      <c r="A967" t="str">
        <f>"14-0255"</f>
        <v>14-0255</v>
      </c>
      <c r="D967" s="8">
        <v>41759</v>
      </c>
      <c r="F967" s="8">
        <v>41759</v>
      </c>
      <c r="G967" s="8">
        <v>41759</v>
      </c>
      <c r="Y967" s="8"/>
    </row>
    <row r="968" spans="1:25" x14ac:dyDescent="0.25">
      <c r="A968" t="str">
        <f>"14-0256"</f>
        <v>14-0256</v>
      </c>
      <c r="D968" s="8">
        <v>41759</v>
      </c>
      <c r="F968" s="8">
        <v>41759</v>
      </c>
      <c r="G968" s="8">
        <v>41759</v>
      </c>
      <c r="Y968" s="8"/>
    </row>
    <row r="969" spans="1:25" x14ac:dyDescent="0.25">
      <c r="A969" t="str">
        <f>"14-0250"</f>
        <v>14-0250</v>
      </c>
      <c r="D969" s="8">
        <v>41758</v>
      </c>
      <c r="F969" s="8">
        <v>41758</v>
      </c>
      <c r="G969" s="8">
        <v>41758</v>
      </c>
      <c r="Y969" s="8"/>
    </row>
    <row r="970" spans="1:25" x14ac:dyDescent="0.25">
      <c r="A970" t="str">
        <f>"14-0251"</f>
        <v>14-0251</v>
      </c>
      <c r="D970" s="8">
        <v>41758</v>
      </c>
      <c r="F970" s="8">
        <v>41758</v>
      </c>
      <c r="G970" s="8">
        <v>41758</v>
      </c>
      <c r="Y970" s="8"/>
    </row>
    <row r="971" spans="1:25" x14ac:dyDescent="0.25">
      <c r="A971" t="str">
        <f>"14-0252"</f>
        <v>14-0252</v>
      </c>
      <c r="D971" s="8">
        <v>41758</v>
      </c>
      <c r="F971" s="8">
        <v>41774</v>
      </c>
      <c r="G971" s="8">
        <v>41758</v>
      </c>
      <c r="Y971" s="8"/>
    </row>
    <row r="972" spans="1:25" x14ac:dyDescent="0.25">
      <c r="A972" t="str">
        <f>"14-0248"</f>
        <v>14-0248</v>
      </c>
      <c r="D972" s="8">
        <v>41757</v>
      </c>
      <c r="F972" s="8">
        <v>41757</v>
      </c>
      <c r="G972" s="8">
        <v>41757</v>
      </c>
      <c r="Y972" s="8"/>
    </row>
    <row r="973" spans="1:25" x14ac:dyDescent="0.25">
      <c r="A973" t="str">
        <f>"14-0249"</f>
        <v>14-0249</v>
      </c>
      <c r="D973" s="8">
        <v>41757</v>
      </c>
      <c r="F973" s="8">
        <v>41757</v>
      </c>
      <c r="G973" s="8">
        <v>41757</v>
      </c>
      <c r="Y973" s="8"/>
    </row>
    <row r="974" spans="1:25" x14ac:dyDescent="0.25">
      <c r="A974" t="str">
        <f>"14-0230B"</f>
        <v>14-0230B</v>
      </c>
      <c r="D974" s="8">
        <v>41754</v>
      </c>
      <c r="F974" s="8">
        <v>41761</v>
      </c>
      <c r="G974" s="8">
        <v>41754</v>
      </c>
      <c r="Y974" s="8"/>
    </row>
    <row r="975" spans="1:25" x14ac:dyDescent="0.25">
      <c r="A975" t="str">
        <f>"14-0246"</f>
        <v>14-0246</v>
      </c>
      <c r="D975" s="8">
        <v>41754</v>
      </c>
      <c r="F975" s="8">
        <v>41754</v>
      </c>
      <c r="G975" s="8">
        <v>41754</v>
      </c>
      <c r="Y975" s="8"/>
    </row>
    <row r="976" spans="1:25" x14ac:dyDescent="0.25">
      <c r="A976" t="str">
        <f>"14-0247"</f>
        <v>14-0247</v>
      </c>
      <c r="D976" s="8">
        <v>41754</v>
      </c>
      <c r="F976" s="8">
        <v>41754</v>
      </c>
      <c r="G976" s="8">
        <v>41754</v>
      </c>
      <c r="Y976" s="8"/>
    </row>
    <row r="977" spans="1:25" x14ac:dyDescent="0.25">
      <c r="A977" t="str">
        <f>"14-0243"</f>
        <v>14-0243</v>
      </c>
      <c r="D977" s="8">
        <v>41753</v>
      </c>
      <c r="F977" s="8">
        <v>41754</v>
      </c>
      <c r="G977" s="8">
        <v>41753</v>
      </c>
      <c r="Y977" s="8"/>
    </row>
    <row r="978" spans="1:25" x14ac:dyDescent="0.25">
      <c r="A978" t="str">
        <f>"14-0244"</f>
        <v>14-0244</v>
      </c>
      <c r="D978" s="8">
        <v>41753</v>
      </c>
      <c r="F978" s="8">
        <v>41753</v>
      </c>
      <c r="G978" s="8">
        <v>41753</v>
      </c>
      <c r="Y978" s="8"/>
    </row>
    <row r="979" spans="1:25" x14ac:dyDescent="0.25">
      <c r="A979" t="str">
        <f>"14-0245"</f>
        <v>14-0245</v>
      </c>
      <c r="D979" s="8">
        <v>41753</v>
      </c>
      <c r="F979" s="8">
        <v>41753</v>
      </c>
      <c r="G979" s="8">
        <v>41753</v>
      </c>
      <c r="Y979" s="8"/>
    </row>
    <row r="980" spans="1:25" x14ac:dyDescent="0.25">
      <c r="A980" t="str">
        <f>"14-0242"</f>
        <v>14-0242</v>
      </c>
      <c r="D980" s="8">
        <v>41752</v>
      </c>
      <c r="F980" s="8">
        <v>41752</v>
      </c>
      <c r="G980" s="8">
        <v>41752</v>
      </c>
      <c r="Y980" s="8"/>
    </row>
    <row r="981" spans="1:25" x14ac:dyDescent="0.25">
      <c r="A981" t="str">
        <f>"14-0145B"</f>
        <v>14-0145B</v>
      </c>
      <c r="D981" s="8">
        <v>41747</v>
      </c>
      <c r="F981" s="8">
        <v>41747</v>
      </c>
      <c r="G981" s="8">
        <v>41747</v>
      </c>
      <c r="Y981" s="8"/>
    </row>
    <row r="982" spans="1:25" x14ac:dyDescent="0.25">
      <c r="A982" t="str">
        <f>"14-0194B"</f>
        <v>14-0194B</v>
      </c>
      <c r="D982" s="8">
        <v>41747</v>
      </c>
      <c r="F982" s="8">
        <v>41773</v>
      </c>
      <c r="G982" s="8">
        <v>41747</v>
      </c>
      <c r="Y982" s="8"/>
    </row>
    <row r="983" spans="1:25" x14ac:dyDescent="0.25">
      <c r="A983" t="str">
        <f>"14-0237"</f>
        <v>14-0237</v>
      </c>
      <c r="D983" s="8">
        <v>41747</v>
      </c>
      <c r="F983" s="8">
        <v>41747</v>
      </c>
      <c r="G983" s="8">
        <v>41747</v>
      </c>
      <c r="Y983" s="8"/>
    </row>
    <row r="984" spans="1:25" x14ac:dyDescent="0.25">
      <c r="A984" t="str">
        <f>"14-0238"</f>
        <v>14-0238</v>
      </c>
      <c r="D984" s="8">
        <v>41747</v>
      </c>
      <c r="F984" s="8">
        <v>41747</v>
      </c>
      <c r="G984" s="8">
        <v>41747</v>
      </c>
      <c r="Y984" s="8"/>
    </row>
    <row r="985" spans="1:25" x14ac:dyDescent="0.25">
      <c r="A985" t="str">
        <f>"14-0239"</f>
        <v>14-0239</v>
      </c>
      <c r="D985" s="8">
        <v>41747</v>
      </c>
      <c r="F985" s="8">
        <v>41747</v>
      </c>
      <c r="G985" s="8">
        <v>41747</v>
      </c>
      <c r="Y985" s="8"/>
    </row>
    <row r="986" spans="1:25" x14ac:dyDescent="0.25">
      <c r="A986" t="str">
        <f>"14-0240"</f>
        <v>14-0240</v>
      </c>
      <c r="D986" s="8">
        <v>41747</v>
      </c>
      <c r="F986" s="8">
        <v>41747</v>
      </c>
      <c r="G986" s="8">
        <v>41747</v>
      </c>
      <c r="Y986" s="8"/>
    </row>
    <row r="987" spans="1:25" x14ac:dyDescent="0.25">
      <c r="A987" t="str">
        <f>"14-0241"</f>
        <v>14-0241</v>
      </c>
      <c r="D987" s="8">
        <v>41747</v>
      </c>
      <c r="F987" s="8">
        <v>41747</v>
      </c>
      <c r="G987" s="8">
        <v>41747</v>
      </c>
      <c r="Y987" s="8"/>
    </row>
    <row r="988" spans="1:25" x14ac:dyDescent="0.25">
      <c r="A988" t="str">
        <f>"14-0234"</f>
        <v>14-0234</v>
      </c>
      <c r="D988" s="8">
        <v>41746</v>
      </c>
      <c r="F988" s="8">
        <v>41747</v>
      </c>
      <c r="G988" s="8">
        <v>41746</v>
      </c>
      <c r="Y988" s="8"/>
    </row>
    <row r="989" spans="1:25" x14ac:dyDescent="0.25">
      <c r="A989" t="str">
        <f>"14-0235"</f>
        <v>14-0235</v>
      </c>
      <c r="D989" s="8">
        <v>41746</v>
      </c>
      <c r="F989" s="8">
        <v>41746</v>
      </c>
      <c r="G989" s="8">
        <v>41746</v>
      </c>
      <c r="Y989" s="8"/>
    </row>
    <row r="990" spans="1:25" x14ac:dyDescent="0.25">
      <c r="A990" t="str">
        <f>"14-0236"</f>
        <v>14-0236</v>
      </c>
      <c r="D990" s="8">
        <v>41746</v>
      </c>
      <c r="F990" s="8">
        <v>41751</v>
      </c>
      <c r="G990" s="8">
        <v>41746</v>
      </c>
      <c r="Y990" s="8"/>
    </row>
    <row r="991" spans="1:25" x14ac:dyDescent="0.25">
      <c r="A991" t="str">
        <f>"14-0232"</f>
        <v>14-0232</v>
      </c>
      <c r="D991" s="8">
        <v>41745</v>
      </c>
      <c r="F991" s="8">
        <v>41745</v>
      </c>
      <c r="G991" s="8">
        <v>41745</v>
      </c>
      <c r="Y991" s="8"/>
    </row>
    <row r="992" spans="1:25" x14ac:dyDescent="0.25">
      <c r="A992" t="str">
        <f>"14-0233"</f>
        <v>14-0233</v>
      </c>
      <c r="D992" s="8">
        <v>41745</v>
      </c>
      <c r="F992" s="8">
        <v>41745</v>
      </c>
      <c r="G992" s="8">
        <v>41745</v>
      </c>
      <c r="Y992" s="8"/>
    </row>
    <row r="993" spans="1:25" x14ac:dyDescent="0.25">
      <c r="A993" t="str">
        <f>"14-0221B"</f>
        <v>14-0221B</v>
      </c>
      <c r="D993" s="8">
        <v>41744</v>
      </c>
      <c r="F993" s="8">
        <v>41744</v>
      </c>
      <c r="G993" s="8">
        <v>41744</v>
      </c>
      <c r="Y993" s="8"/>
    </row>
    <row r="994" spans="1:25" x14ac:dyDescent="0.25">
      <c r="A994" t="str">
        <f>"14-0223"</f>
        <v>14-0223</v>
      </c>
      <c r="D994" s="8">
        <v>41744</v>
      </c>
      <c r="G994" s="8">
        <v>41744</v>
      </c>
      <c r="Y994" s="8"/>
    </row>
    <row r="995" spans="1:25" x14ac:dyDescent="0.25">
      <c r="A995" t="str">
        <f>"14-0224"</f>
        <v>14-0224</v>
      </c>
      <c r="D995" s="8">
        <v>41744</v>
      </c>
      <c r="F995" s="8">
        <v>41744</v>
      </c>
      <c r="G995" s="8">
        <v>41744</v>
      </c>
      <c r="Y995" s="8"/>
    </row>
    <row r="996" spans="1:25" x14ac:dyDescent="0.25">
      <c r="A996" t="str">
        <f>"14-0224B"</f>
        <v>14-0224B</v>
      </c>
      <c r="D996" s="8">
        <v>41744</v>
      </c>
      <c r="F996" s="8">
        <v>41744</v>
      </c>
      <c r="G996" s="8">
        <v>41744</v>
      </c>
      <c r="Y996" s="8"/>
    </row>
    <row r="997" spans="1:25" x14ac:dyDescent="0.25">
      <c r="A997" t="str">
        <f>"14-0225"</f>
        <v>14-0225</v>
      </c>
      <c r="D997" s="8">
        <v>41744</v>
      </c>
      <c r="F997" s="8">
        <v>41744</v>
      </c>
      <c r="G997" s="8">
        <v>41744</v>
      </c>
      <c r="Y997" s="8"/>
    </row>
    <row r="998" spans="1:25" x14ac:dyDescent="0.25">
      <c r="A998" t="str">
        <f>"14-0226"</f>
        <v>14-0226</v>
      </c>
      <c r="D998" s="8">
        <v>41744</v>
      </c>
      <c r="F998" s="8">
        <v>41744</v>
      </c>
      <c r="G998" s="8">
        <v>41744</v>
      </c>
      <c r="Y998" s="8"/>
    </row>
    <row r="999" spans="1:25" x14ac:dyDescent="0.25">
      <c r="A999" t="str">
        <f>"14-0227"</f>
        <v>14-0227</v>
      </c>
      <c r="D999" s="8">
        <v>41744</v>
      </c>
      <c r="F999" s="8">
        <v>41744</v>
      </c>
      <c r="G999" s="8">
        <v>41744</v>
      </c>
      <c r="Y999" s="8"/>
    </row>
    <row r="1000" spans="1:25" x14ac:dyDescent="0.25">
      <c r="A1000" t="str">
        <f>"14-0228"</f>
        <v>14-0228</v>
      </c>
      <c r="D1000" s="8">
        <v>41744</v>
      </c>
      <c r="F1000" s="8">
        <v>41744</v>
      </c>
      <c r="G1000" s="8">
        <v>41744</v>
      </c>
      <c r="Y1000" s="8"/>
    </row>
    <row r="1001" spans="1:25" x14ac:dyDescent="0.25">
      <c r="A1001" t="str">
        <f>"14-0229"</f>
        <v>14-0229</v>
      </c>
      <c r="D1001" s="8">
        <v>41744</v>
      </c>
      <c r="F1001" s="8">
        <v>41744</v>
      </c>
      <c r="G1001" s="8">
        <v>41744</v>
      </c>
      <c r="Y1001" s="8"/>
    </row>
    <row r="1002" spans="1:25" x14ac:dyDescent="0.25">
      <c r="A1002" t="str">
        <f>"14-0230"</f>
        <v>14-0230</v>
      </c>
      <c r="D1002" s="8">
        <v>41744</v>
      </c>
      <c r="F1002" s="8">
        <v>41744</v>
      </c>
      <c r="G1002" s="8">
        <v>41744</v>
      </c>
      <c r="Y1002" s="8"/>
    </row>
    <row r="1003" spans="1:25" x14ac:dyDescent="0.25">
      <c r="A1003" t="str">
        <f>"14-0231"</f>
        <v>14-0231</v>
      </c>
      <c r="D1003" s="8">
        <v>41744</v>
      </c>
      <c r="F1003" s="8">
        <v>41744</v>
      </c>
      <c r="G1003" s="8">
        <v>41744</v>
      </c>
      <c r="Y1003" s="8"/>
    </row>
    <row r="1004" spans="1:25" x14ac:dyDescent="0.25">
      <c r="A1004" t="str">
        <f>"13-0403B"</f>
        <v>13-0403B</v>
      </c>
      <c r="D1004" s="8">
        <v>41743</v>
      </c>
      <c r="F1004" s="8">
        <v>41743</v>
      </c>
      <c r="G1004" s="8">
        <v>41743</v>
      </c>
      <c r="Y1004" s="8"/>
    </row>
    <row r="1005" spans="1:25" x14ac:dyDescent="0.25">
      <c r="A1005" t="str">
        <f>"14-0214"</f>
        <v>14-0214</v>
      </c>
      <c r="D1005" s="8">
        <v>41743</v>
      </c>
      <c r="F1005" s="8">
        <v>41743</v>
      </c>
      <c r="G1005" s="8">
        <v>41743</v>
      </c>
      <c r="Y1005" s="8"/>
    </row>
    <row r="1006" spans="1:25" x14ac:dyDescent="0.25">
      <c r="A1006" t="str">
        <f>"14-0215"</f>
        <v>14-0215</v>
      </c>
      <c r="D1006" s="8">
        <v>41743</v>
      </c>
      <c r="F1006" s="8">
        <v>41743</v>
      </c>
      <c r="G1006" s="8">
        <v>41743</v>
      </c>
      <c r="Y1006" s="8"/>
    </row>
    <row r="1007" spans="1:25" x14ac:dyDescent="0.25">
      <c r="A1007" t="str">
        <f>"14-0216"</f>
        <v>14-0216</v>
      </c>
      <c r="D1007" s="8">
        <v>41743</v>
      </c>
      <c r="F1007" s="8">
        <v>41743</v>
      </c>
      <c r="G1007" s="8">
        <v>41743</v>
      </c>
      <c r="Y1007" s="8"/>
    </row>
    <row r="1008" spans="1:25" x14ac:dyDescent="0.25">
      <c r="A1008" t="str">
        <f>"14-0217"</f>
        <v>14-0217</v>
      </c>
      <c r="D1008" s="8">
        <v>41743</v>
      </c>
      <c r="F1008" s="8">
        <v>41743</v>
      </c>
      <c r="G1008" s="8">
        <v>41743</v>
      </c>
      <c r="Y1008" s="8"/>
    </row>
    <row r="1009" spans="1:25" x14ac:dyDescent="0.25">
      <c r="A1009" t="str">
        <f>"14-0218"</f>
        <v>14-0218</v>
      </c>
      <c r="D1009" s="8">
        <v>41743</v>
      </c>
      <c r="F1009" s="8">
        <v>41752</v>
      </c>
      <c r="G1009" s="8">
        <v>41747</v>
      </c>
      <c r="Y1009" s="8"/>
    </row>
    <row r="1010" spans="1:25" x14ac:dyDescent="0.25">
      <c r="A1010" t="str">
        <f>"14-0219"</f>
        <v>14-0219</v>
      </c>
      <c r="D1010" s="8">
        <v>41743</v>
      </c>
      <c r="F1010" s="8">
        <v>41743</v>
      </c>
      <c r="G1010" s="8">
        <v>41743</v>
      </c>
      <c r="Y1010" s="8"/>
    </row>
    <row r="1011" spans="1:25" x14ac:dyDescent="0.25">
      <c r="A1011" t="str">
        <f>"14-0220"</f>
        <v>14-0220</v>
      </c>
      <c r="D1011" s="8">
        <v>41743</v>
      </c>
      <c r="F1011" s="8">
        <v>41743</v>
      </c>
      <c r="G1011" s="8">
        <v>41743</v>
      </c>
      <c r="Y1011" s="8"/>
    </row>
    <row r="1012" spans="1:25" x14ac:dyDescent="0.25">
      <c r="A1012" t="str">
        <f>"14-0221"</f>
        <v>14-0221</v>
      </c>
      <c r="D1012" s="8">
        <v>41743</v>
      </c>
      <c r="F1012" s="8">
        <v>41743</v>
      </c>
      <c r="G1012" s="8">
        <v>41743</v>
      </c>
      <c r="Y1012" s="8"/>
    </row>
    <row r="1013" spans="1:25" x14ac:dyDescent="0.25">
      <c r="A1013" t="str">
        <f>"14-0222"</f>
        <v>14-0222</v>
      </c>
      <c r="D1013" s="8">
        <v>41743</v>
      </c>
      <c r="F1013" s="8">
        <v>41743</v>
      </c>
      <c r="G1013" s="8">
        <v>41743</v>
      </c>
      <c r="Y1013" s="8"/>
    </row>
    <row r="1014" spans="1:25" x14ac:dyDescent="0.25">
      <c r="A1014" t="str">
        <f>"14-0211"</f>
        <v>14-0211</v>
      </c>
      <c r="D1014" s="8">
        <v>41740</v>
      </c>
      <c r="F1014" s="8">
        <v>41740</v>
      </c>
      <c r="G1014" s="8">
        <v>41740</v>
      </c>
      <c r="Y1014" s="8"/>
    </row>
    <row r="1015" spans="1:25" x14ac:dyDescent="0.25">
      <c r="A1015" t="str">
        <f>"14-0212"</f>
        <v>14-0212</v>
      </c>
      <c r="D1015" s="8">
        <v>41740</v>
      </c>
      <c r="F1015" s="8">
        <v>41740</v>
      </c>
      <c r="G1015" s="8">
        <v>41740</v>
      </c>
      <c r="Y1015" s="8"/>
    </row>
    <row r="1016" spans="1:25" x14ac:dyDescent="0.25">
      <c r="A1016" t="str">
        <f>"14-0213"</f>
        <v>14-0213</v>
      </c>
      <c r="D1016" s="8">
        <v>41740</v>
      </c>
      <c r="F1016" s="8">
        <v>41740</v>
      </c>
      <c r="G1016" s="8">
        <v>41740</v>
      </c>
      <c r="Y1016" s="8"/>
    </row>
    <row r="1017" spans="1:25" x14ac:dyDescent="0.25">
      <c r="A1017" t="str">
        <f>"14-0208"</f>
        <v>14-0208</v>
      </c>
      <c r="D1017" s="8">
        <v>41739</v>
      </c>
      <c r="F1017" s="8">
        <v>41739</v>
      </c>
      <c r="G1017" s="8">
        <v>41739</v>
      </c>
      <c r="Y1017" s="8"/>
    </row>
    <row r="1018" spans="1:25" x14ac:dyDescent="0.25">
      <c r="A1018" t="str">
        <f>"14-0209"</f>
        <v>14-0209</v>
      </c>
      <c r="D1018" s="8">
        <v>41739</v>
      </c>
      <c r="F1018" s="8">
        <v>41739</v>
      </c>
      <c r="G1018" s="8">
        <v>41739</v>
      </c>
      <c r="Y1018" s="8"/>
    </row>
    <row r="1019" spans="1:25" x14ac:dyDescent="0.25">
      <c r="A1019" t="str">
        <f>"14-0209B"</f>
        <v>14-0209B</v>
      </c>
      <c r="D1019" s="8">
        <v>41739</v>
      </c>
      <c r="F1019" s="8">
        <v>41744</v>
      </c>
      <c r="G1019" s="8">
        <v>41739</v>
      </c>
      <c r="Y1019" s="8"/>
    </row>
    <row r="1020" spans="1:25" x14ac:dyDescent="0.25">
      <c r="A1020" t="str">
        <f>"14-0158C"</f>
        <v>14-0158C</v>
      </c>
      <c r="D1020" s="8">
        <v>41738</v>
      </c>
      <c r="F1020" s="8">
        <v>41894</v>
      </c>
      <c r="G1020" s="8">
        <v>41738</v>
      </c>
      <c r="Y1020" s="8"/>
    </row>
    <row r="1021" spans="1:25" x14ac:dyDescent="0.25">
      <c r="A1021" t="str">
        <f>"14-0206"</f>
        <v>14-0206</v>
      </c>
      <c r="D1021" s="8">
        <v>41738</v>
      </c>
      <c r="F1021" s="8">
        <v>41739</v>
      </c>
      <c r="G1021" s="8">
        <v>41738</v>
      </c>
      <c r="Y1021" s="8"/>
    </row>
    <row r="1022" spans="1:25" x14ac:dyDescent="0.25">
      <c r="A1022" t="str">
        <f>"14-0207"</f>
        <v>14-0207</v>
      </c>
      <c r="D1022" s="8">
        <v>41738</v>
      </c>
      <c r="F1022" s="8">
        <v>41738</v>
      </c>
      <c r="G1022" s="8">
        <v>41738</v>
      </c>
      <c r="Y1022" s="8"/>
    </row>
    <row r="1023" spans="1:25" x14ac:dyDescent="0.25">
      <c r="A1023" t="str">
        <f>"14-0203"</f>
        <v>14-0203</v>
      </c>
      <c r="D1023" s="8">
        <v>41737</v>
      </c>
      <c r="F1023" s="8">
        <v>41737</v>
      </c>
      <c r="G1023" s="8">
        <v>41737</v>
      </c>
      <c r="Y1023" s="8"/>
    </row>
    <row r="1024" spans="1:25" x14ac:dyDescent="0.25">
      <c r="A1024" t="str">
        <f>"14-0204"</f>
        <v>14-0204</v>
      </c>
      <c r="D1024" s="8">
        <v>41737</v>
      </c>
      <c r="F1024" s="8">
        <v>41737</v>
      </c>
      <c r="G1024" s="8">
        <v>41737</v>
      </c>
      <c r="Y1024" s="8"/>
    </row>
    <row r="1025" spans="1:25" x14ac:dyDescent="0.25">
      <c r="A1025" t="str">
        <f>"14-0205"</f>
        <v>14-0205</v>
      </c>
      <c r="D1025" s="8">
        <v>41737</v>
      </c>
      <c r="F1025" s="8">
        <v>41772</v>
      </c>
      <c r="G1025" s="8">
        <v>41737</v>
      </c>
      <c r="Y1025" s="8"/>
    </row>
    <row r="1026" spans="1:25" x14ac:dyDescent="0.25">
      <c r="A1026" t="str">
        <f>"14-0210"</f>
        <v>14-0210</v>
      </c>
      <c r="D1026" s="8">
        <v>41737</v>
      </c>
      <c r="F1026" s="8">
        <v>41739</v>
      </c>
      <c r="G1026" s="8">
        <v>41738</v>
      </c>
      <c r="Y1026" s="8"/>
    </row>
    <row r="1027" spans="1:25" x14ac:dyDescent="0.25">
      <c r="A1027" t="str">
        <f>"14-0197"</f>
        <v>14-0197</v>
      </c>
      <c r="D1027" s="8">
        <v>41736</v>
      </c>
      <c r="F1027" s="8">
        <v>41736</v>
      </c>
      <c r="G1027" s="8">
        <v>41736</v>
      </c>
      <c r="Y1027" s="8"/>
    </row>
    <row r="1028" spans="1:25" x14ac:dyDescent="0.25">
      <c r="A1028" t="str">
        <f>"14-0198"</f>
        <v>14-0198</v>
      </c>
      <c r="D1028" s="8">
        <v>41736</v>
      </c>
      <c r="F1028" s="8">
        <v>41736</v>
      </c>
      <c r="G1028" s="8">
        <v>41736</v>
      </c>
      <c r="Y1028" s="8"/>
    </row>
    <row r="1029" spans="1:25" x14ac:dyDescent="0.25">
      <c r="A1029" t="str">
        <f>"14-0199"</f>
        <v>14-0199</v>
      </c>
      <c r="D1029" s="8">
        <v>41736</v>
      </c>
      <c r="F1029" s="8">
        <v>41736</v>
      </c>
      <c r="G1029" s="8">
        <v>41736</v>
      </c>
      <c r="Y1029" s="8"/>
    </row>
    <row r="1030" spans="1:25" x14ac:dyDescent="0.25">
      <c r="A1030" t="str">
        <f>"14-0200"</f>
        <v>14-0200</v>
      </c>
      <c r="D1030" s="8">
        <v>41736</v>
      </c>
      <c r="F1030" s="8">
        <v>41736</v>
      </c>
      <c r="G1030" s="8">
        <v>41736</v>
      </c>
      <c r="Y1030" s="8"/>
    </row>
    <row r="1031" spans="1:25" x14ac:dyDescent="0.25">
      <c r="A1031" t="str">
        <f>"14-0201"</f>
        <v>14-0201</v>
      </c>
      <c r="D1031" s="8">
        <v>41736</v>
      </c>
      <c r="F1031" s="8">
        <v>41736</v>
      </c>
      <c r="G1031" s="8">
        <v>41736</v>
      </c>
      <c r="Y1031" s="8"/>
    </row>
    <row r="1032" spans="1:25" x14ac:dyDescent="0.25">
      <c r="A1032" t="str">
        <f>"14-0202"</f>
        <v>14-0202</v>
      </c>
      <c r="D1032" s="8">
        <v>41736</v>
      </c>
      <c r="F1032" s="8">
        <v>41736</v>
      </c>
      <c r="G1032" s="8">
        <v>41736</v>
      </c>
      <c r="Y1032" s="8"/>
    </row>
    <row r="1033" spans="1:25" x14ac:dyDescent="0.25">
      <c r="A1033" t="str">
        <f>"14-0194"</f>
        <v>14-0194</v>
      </c>
      <c r="D1033" s="8">
        <v>41733</v>
      </c>
      <c r="F1033" s="8">
        <v>41733</v>
      </c>
      <c r="G1033" s="8">
        <v>41733</v>
      </c>
      <c r="Y1033" s="8"/>
    </row>
    <row r="1034" spans="1:25" x14ac:dyDescent="0.25">
      <c r="A1034" t="str">
        <f>"14-0195"</f>
        <v>14-0195</v>
      </c>
      <c r="D1034" s="8">
        <v>41733</v>
      </c>
      <c r="F1034" s="8">
        <v>41733</v>
      </c>
      <c r="G1034" s="8">
        <v>41733</v>
      </c>
      <c r="Y1034" s="8"/>
    </row>
    <row r="1035" spans="1:25" x14ac:dyDescent="0.25">
      <c r="A1035" t="str">
        <f>"14-0196"</f>
        <v>14-0196</v>
      </c>
      <c r="D1035" s="8">
        <v>41733</v>
      </c>
      <c r="F1035" s="8">
        <v>41733</v>
      </c>
      <c r="G1035" s="8">
        <v>41733</v>
      </c>
      <c r="Y1035" s="8"/>
    </row>
    <row r="1036" spans="1:25" x14ac:dyDescent="0.25">
      <c r="A1036" t="str">
        <f>"14-0191"</f>
        <v>14-0191</v>
      </c>
      <c r="D1036" s="8">
        <v>41732</v>
      </c>
      <c r="F1036" s="8">
        <v>41732</v>
      </c>
      <c r="G1036" s="8">
        <v>41732</v>
      </c>
      <c r="Y1036" s="8"/>
    </row>
    <row r="1037" spans="1:25" x14ac:dyDescent="0.25">
      <c r="A1037" t="str">
        <f>"14-0192"</f>
        <v>14-0192</v>
      </c>
      <c r="D1037" s="8">
        <v>41732</v>
      </c>
      <c r="F1037" s="8">
        <v>41732</v>
      </c>
      <c r="G1037" s="8">
        <v>41732</v>
      </c>
      <c r="Y1037" s="8"/>
    </row>
    <row r="1038" spans="1:25" x14ac:dyDescent="0.25">
      <c r="A1038" t="str">
        <f>"14-0193"</f>
        <v>14-0193</v>
      </c>
      <c r="D1038" s="8">
        <v>41732</v>
      </c>
      <c r="F1038" s="8">
        <v>41732</v>
      </c>
      <c r="G1038" s="8">
        <v>41732</v>
      </c>
      <c r="Y1038" s="8"/>
    </row>
    <row r="1039" spans="1:25" x14ac:dyDescent="0.25">
      <c r="A1039" t="str">
        <f>"14-0166B"</f>
        <v>14-0166B</v>
      </c>
      <c r="D1039" s="8">
        <v>41731</v>
      </c>
      <c r="F1039" s="8">
        <v>41732</v>
      </c>
      <c r="G1039" s="8">
        <v>41731</v>
      </c>
      <c r="Y1039" s="8"/>
    </row>
    <row r="1040" spans="1:25" x14ac:dyDescent="0.25">
      <c r="A1040" t="str">
        <f>"14-0132B"</f>
        <v>14-0132B</v>
      </c>
      <c r="D1040" s="8">
        <v>41730</v>
      </c>
      <c r="F1040" s="8">
        <v>41730</v>
      </c>
      <c r="G1040" s="8">
        <v>41730</v>
      </c>
      <c r="Y1040" s="8"/>
    </row>
    <row r="1041" spans="1:25" x14ac:dyDescent="0.25">
      <c r="A1041" t="str">
        <f>"14-0188"</f>
        <v>14-0188</v>
      </c>
      <c r="D1041" s="8">
        <v>41730</v>
      </c>
      <c r="F1041" s="8">
        <v>41730</v>
      </c>
      <c r="G1041" s="8">
        <v>41730</v>
      </c>
      <c r="Y1041" s="8"/>
    </row>
    <row r="1042" spans="1:25" x14ac:dyDescent="0.25">
      <c r="A1042" t="str">
        <f>"14-0189"</f>
        <v>14-0189</v>
      </c>
      <c r="D1042" s="8">
        <v>41730</v>
      </c>
      <c r="F1042" s="8">
        <v>41730</v>
      </c>
      <c r="G1042" s="8">
        <v>41730</v>
      </c>
      <c r="Y1042" s="8"/>
    </row>
    <row r="1043" spans="1:25" x14ac:dyDescent="0.25">
      <c r="A1043" t="str">
        <f>"14-0190"</f>
        <v>14-0190</v>
      </c>
      <c r="D1043" s="8">
        <v>41730</v>
      </c>
      <c r="F1043" s="8">
        <v>41730</v>
      </c>
      <c r="G1043" s="8">
        <v>41730</v>
      </c>
      <c r="Y1043" s="8"/>
    </row>
    <row r="1044" spans="1:25" x14ac:dyDescent="0.25">
      <c r="A1044" t="str">
        <f>"14-0154B"</f>
        <v>14-0154B</v>
      </c>
      <c r="D1044" s="8">
        <v>41729</v>
      </c>
      <c r="F1044" s="8">
        <v>41730</v>
      </c>
      <c r="G1044" s="8">
        <v>41729</v>
      </c>
      <c r="Y1044" s="8"/>
    </row>
    <row r="1045" spans="1:25" x14ac:dyDescent="0.25">
      <c r="A1045" t="str">
        <f>"14-0187"</f>
        <v>14-0187</v>
      </c>
      <c r="D1045" s="8">
        <v>41729</v>
      </c>
      <c r="F1045" s="8">
        <v>41729</v>
      </c>
      <c r="G1045" s="8">
        <v>41729</v>
      </c>
      <c r="Y1045" s="8"/>
    </row>
    <row r="1046" spans="1:25" x14ac:dyDescent="0.25">
      <c r="A1046" t="str">
        <f>"14-0183"</f>
        <v>14-0183</v>
      </c>
      <c r="D1046" s="8">
        <v>41726</v>
      </c>
      <c r="F1046" s="8">
        <v>41726</v>
      </c>
      <c r="G1046" s="8">
        <v>41726</v>
      </c>
      <c r="Y1046" s="8"/>
    </row>
    <row r="1047" spans="1:25" x14ac:dyDescent="0.25">
      <c r="A1047" t="str">
        <f>"14-0184"</f>
        <v>14-0184</v>
      </c>
      <c r="D1047" s="8">
        <v>41726</v>
      </c>
      <c r="F1047" s="8">
        <v>41726</v>
      </c>
      <c r="G1047" s="8">
        <v>41726</v>
      </c>
      <c r="Y1047" s="8"/>
    </row>
    <row r="1048" spans="1:25" x14ac:dyDescent="0.25">
      <c r="A1048" t="str">
        <f>"14-0185"</f>
        <v>14-0185</v>
      </c>
      <c r="D1048" s="8">
        <v>41726</v>
      </c>
      <c r="F1048" s="8">
        <v>41732</v>
      </c>
      <c r="G1048" s="8">
        <v>41732</v>
      </c>
      <c r="Y1048" s="8"/>
    </row>
    <row r="1049" spans="1:25" x14ac:dyDescent="0.25">
      <c r="A1049" t="str">
        <f>"14-0186"</f>
        <v>14-0186</v>
      </c>
      <c r="D1049" s="8">
        <v>41726</v>
      </c>
      <c r="F1049" s="8">
        <v>41778</v>
      </c>
      <c r="G1049" s="8">
        <v>41732</v>
      </c>
      <c r="Y1049" s="8"/>
    </row>
    <row r="1050" spans="1:25" x14ac:dyDescent="0.25">
      <c r="A1050" t="str">
        <f>"14-0179"</f>
        <v>14-0179</v>
      </c>
      <c r="D1050" s="8">
        <v>41725</v>
      </c>
      <c r="F1050" s="8">
        <v>41725</v>
      </c>
      <c r="G1050" s="8">
        <v>41725</v>
      </c>
      <c r="Y1050" s="8"/>
    </row>
    <row r="1051" spans="1:25" x14ac:dyDescent="0.25">
      <c r="A1051" t="str">
        <f>"14-0180"</f>
        <v>14-0180</v>
      </c>
      <c r="D1051" s="8">
        <v>41725</v>
      </c>
      <c r="F1051" s="8">
        <v>41725</v>
      </c>
      <c r="G1051" s="8">
        <v>41725</v>
      </c>
      <c r="Y1051" s="8"/>
    </row>
    <row r="1052" spans="1:25" x14ac:dyDescent="0.25">
      <c r="A1052" t="str">
        <f>"14-0180B"</f>
        <v>14-0180B</v>
      </c>
      <c r="D1052" s="8">
        <v>41725</v>
      </c>
      <c r="F1052" s="8">
        <v>42081</v>
      </c>
      <c r="G1052" s="8">
        <v>41725</v>
      </c>
      <c r="Y1052" s="8"/>
    </row>
    <row r="1053" spans="1:25" x14ac:dyDescent="0.25">
      <c r="A1053" t="str">
        <f>"14-0181"</f>
        <v>14-0181</v>
      </c>
      <c r="D1053" s="8">
        <v>41725</v>
      </c>
      <c r="F1053" s="8">
        <v>41725</v>
      </c>
      <c r="G1053" s="8">
        <v>41725</v>
      </c>
      <c r="Y1053" s="8"/>
    </row>
    <row r="1054" spans="1:25" x14ac:dyDescent="0.25">
      <c r="A1054" t="str">
        <f>"14-0182"</f>
        <v>14-0182</v>
      </c>
      <c r="D1054" s="8">
        <v>41725</v>
      </c>
      <c r="F1054" s="8">
        <v>41725</v>
      </c>
      <c r="G1054" s="8">
        <v>41725</v>
      </c>
      <c r="Y1054" s="8"/>
    </row>
    <row r="1055" spans="1:25" x14ac:dyDescent="0.25">
      <c r="A1055" t="str">
        <f>"14-0158B"</f>
        <v>14-0158B</v>
      </c>
      <c r="D1055" s="8">
        <v>41724</v>
      </c>
      <c r="F1055" s="8">
        <v>41724</v>
      </c>
      <c r="G1055" s="8">
        <v>41724</v>
      </c>
      <c r="Y1055" s="8"/>
    </row>
    <row r="1056" spans="1:25" x14ac:dyDescent="0.25">
      <c r="A1056" t="str">
        <f>"14-0178"</f>
        <v>14-0178</v>
      </c>
      <c r="D1056" s="8">
        <v>41724</v>
      </c>
      <c r="F1056" s="8">
        <v>41724</v>
      </c>
      <c r="G1056" s="8">
        <v>41724</v>
      </c>
      <c r="Y1056" s="8"/>
    </row>
    <row r="1057" spans="1:25" x14ac:dyDescent="0.25">
      <c r="A1057" t="str">
        <f>"14-0173"</f>
        <v>14-0173</v>
      </c>
      <c r="D1057" s="8">
        <v>41723</v>
      </c>
      <c r="F1057" s="8">
        <v>41723</v>
      </c>
      <c r="G1057" s="8">
        <v>41723</v>
      </c>
      <c r="Y1057" s="8"/>
    </row>
    <row r="1058" spans="1:25" x14ac:dyDescent="0.25">
      <c r="A1058" t="str">
        <f>"14-0174"</f>
        <v>14-0174</v>
      </c>
      <c r="D1058" s="8">
        <v>41723</v>
      </c>
      <c r="F1058" s="8">
        <v>41723</v>
      </c>
      <c r="G1058" s="8">
        <v>41723</v>
      </c>
      <c r="Y1058" s="8"/>
    </row>
    <row r="1059" spans="1:25" x14ac:dyDescent="0.25">
      <c r="A1059" t="str">
        <f>"14-0175"</f>
        <v>14-0175</v>
      </c>
      <c r="D1059" s="8">
        <v>41723</v>
      </c>
      <c r="F1059" s="8">
        <v>41723</v>
      </c>
      <c r="G1059" s="8">
        <v>41723</v>
      </c>
      <c r="Y1059" s="8"/>
    </row>
    <row r="1060" spans="1:25" x14ac:dyDescent="0.25">
      <c r="A1060" t="str">
        <f>"14-0176"</f>
        <v>14-0176</v>
      </c>
      <c r="D1060" s="8">
        <v>41723</v>
      </c>
      <c r="F1060" s="8">
        <v>41723</v>
      </c>
      <c r="G1060" s="8">
        <v>41723</v>
      </c>
      <c r="Y1060" s="8"/>
    </row>
    <row r="1061" spans="1:25" x14ac:dyDescent="0.25">
      <c r="A1061" t="str">
        <f>"14-0177"</f>
        <v>14-0177</v>
      </c>
      <c r="D1061" s="8">
        <v>41723</v>
      </c>
      <c r="F1061" s="8">
        <v>41723</v>
      </c>
      <c r="G1061" s="8">
        <v>41723</v>
      </c>
      <c r="Y1061" s="8"/>
    </row>
    <row r="1062" spans="1:25" x14ac:dyDescent="0.25">
      <c r="A1062" t="str">
        <f>"14-0170"</f>
        <v>14-0170</v>
      </c>
      <c r="D1062" s="8">
        <v>41722</v>
      </c>
      <c r="F1062" s="8">
        <v>41722</v>
      </c>
      <c r="G1062" s="8">
        <v>41722</v>
      </c>
      <c r="Y1062" s="8"/>
    </row>
    <row r="1063" spans="1:25" x14ac:dyDescent="0.25">
      <c r="A1063" t="str">
        <f>"14-0171"</f>
        <v>14-0171</v>
      </c>
      <c r="D1063" s="8">
        <v>41722</v>
      </c>
      <c r="F1063" s="8">
        <v>41722</v>
      </c>
      <c r="G1063" s="8">
        <v>41722</v>
      </c>
      <c r="Y1063" s="8"/>
    </row>
    <row r="1064" spans="1:25" x14ac:dyDescent="0.25">
      <c r="A1064" t="str">
        <f>"14-0172"</f>
        <v>14-0172</v>
      </c>
      <c r="D1064" s="8">
        <v>41722</v>
      </c>
      <c r="F1064" s="8">
        <v>41722</v>
      </c>
      <c r="G1064" s="8">
        <v>41722</v>
      </c>
      <c r="Y1064" s="8"/>
    </row>
    <row r="1065" spans="1:25" x14ac:dyDescent="0.25">
      <c r="A1065" t="str">
        <f>"14-0168"</f>
        <v>14-0168</v>
      </c>
      <c r="D1065" s="8">
        <v>41718</v>
      </c>
      <c r="F1065" s="8">
        <v>41718</v>
      </c>
      <c r="G1065" s="8">
        <v>41718</v>
      </c>
      <c r="Y1065" s="8"/>
    </row>
    <row r="1066" spans="1:25" x14ac:dyDescent="0.25">
      <c r="A1066" t="str">
        <f>"14-0169"</f>
        <v>14-0169</v>
      </c>
      <c r="D1066" s="8">
        <v>41718</v>
      </c>
      <c r="F1066" s="8">
        <v>41718</v>
      </c>
      <c r="G1066" s="8">
        <v>41718</v>
      </c>
      <c r="Y1066" s="8"/>
    </row>
    <row r="1067" spans="1:25" x14ac:dyDescent="0.25">
      <c r="A1067" t="str">
        <f>"14-0156B"</f>
        <v>14-0156B</v>
      </c>
      <c r="D1067" s="8">
        <v>41717</v>
      </c>
      <c r="F1067" s="8">
        <v>41717</v>
      </c>
      <c r="G1067" s="8">
        <v>41717</v>
      </c>
      <c r="Y1067" s="8"/>
    </row>
    <row r="1068" spans="1:25" x14ac:dyDescent="0.25">
      <c r="A1068" t="str">
        <f>"14-0163"</f>
        <v>14-0163</v>
      </c>
      <c r="D1068" s="8">
        <v>41717</v>
      </c>
      <c r="F1068" s="8">
        <v>41717</v>
      </c>
      <c r="G1068" s="8">
        <v>41717</v>
      </c>
      <c r="Y1068" s="8"/>
    </row>
    <row r="1069" spans="1:25" x14ac:dyDescent="0.25">
      <c r="A1069" t="str">
        <f>"14-0164"</f>
        <v>14-0164</v>
      </c>
      <c r="D1069" s="8">
        <v>41717</v>
      </c>
      <c r="F1069" s="8">
        <v>41717</v>
      </c>
      <c r="G1069" s="8">
        <v>41717</v>
      </c>
      <c r="Y1069" s="8"/>
    </row>
    <row r="1070" spans="1:25" x14ac:dyDescent="0.25">
      <c r="A1070" t="str">
        <f>"14-0165"</f>
        <v>14-0165</v>
      </c>
      <c r="D1070" s="8">
        <v>41717</v>
      </c>
      <c r="F1070" s="8">
        <v>41717</v>
      </c>
      <c r="G1070" s="8">
        <v>41717</v>
      </c>
      <c r="Y1070" s="8"/>
    </row>
    <row r="1071" spans="1:25" x14ac:dyDescent="0.25">
      <c r="A1071" t="str">
        <f>"14-0166"</f>
        <v>14-0166</v>
      </c>
      <c r="D1071" s="8">
        <v>41717</v>
      </c>
      <c r="F1071" s="8">
        <v>41717</v>
      </c>
      <c r="G1071" s="8">
        <v>41717</v>
      </c>
      <c r="Y1071" s="8"/>
    </row>
    <row r="1072" spans="1:25" x14ac:dyDescent="0.25">
      <c r="A1072" t="str">
        <f>"14-0167"</f>
        <v>14-0167</v>
      </c>
      <c r="D1072" s="8">
        <v>41717</v>
      </c>
      <c r="F1072" s="8">
        <v>41717</v>
      </c>
      <c r="G1072" s="8">
        <v>41717</v>
      </c>
      <c r="Y1072" s="8"/>
    </row>
    <row r="1073" spans="1:25" x14ac:dyDescent="0.25">
      <c r="A1073" t="str">
        <f>"14-0160"</f>
        <v>14-0160</v>
      </c>
      <c r="D1073" s="8">
        <v>41716</v>
      </c>
      <c r="F1073" s="8">
        <v>41716</v>
      </c>
      <c r="G1073" s="8">
        <v>41716</v>
      </c>
      <c r="Y1073" s="8"/>
    </row>
    <row r="1074" spans="1:25" x14ac:dyDescent="0.25">
      <c r="A1074" t="str">
        <f>"14-0161"</f>
        <v>14-0161</v>
      </c>
      <c r="D1074" s="8">
        <v>41716</v>
      </c>
      <c r="F1074" s="8">
        <v>41716</v>
      </c>
      <c r="G1074" s="8">
        <v>41716</v>
      </c>
      <c r="Y1074" s="8"/>
    </row>
    <row r="1075" spans="1:25" x14ac:dyDescent="0.25">
      <c r="A1075" t="str">
        <f>"14-0162"</f>
        <v>14-0162</v>
      </c>
      <c r="D1075" s="8">
        <v>41716</v>
      </c>
      <c r="F1075" s="8">
        <v>41716</v>
      </c>
      <c r="G1075" s="8">
        <v>41716</v>
      </c>
      <c r="Y1075" s="8"/>
    </row>
    <row r="1076" spans="1:25" x14ac:dyDescent="0.25">
      <c r="A1076" t="str">
        <f>"14-0155B"</f>
        <v>14-0155B</v>
      </c>
      <c r="D1076" s="8">
        <v>41715</v>
      </c>
      <c r="F1076" s="8">
        <v>41715</v>
      </c>
      <c r="G1076" s="8">
        <v>41715</v>
      </c>
      <c r="Y1076" s="8"/>
    </row>
    <row r="1077" spans="1:25" x14ac:dyDescent="0.25">
      <c r="A1077" t="str">
        <f>"14-0159"</f>
        <v>14-0159</v>
      </c>
      <c r="D1077" s="8">
        <v>41715</v>
      </c>
      <c r="F1077" s="8">
        <v>41715</v>
      </c>
      <c r="G1077" s="8">
        <v>41715</v>
      </c>
      <c r="Y1077" s="8"/>
    </row>
    <row r="1078" spans="1:25" x14ac:dyDescent="0.25">
      <c r="A1078" t="str">
        <f>"14-0157"</f>
        <v>14-0157</v>
      </c>
      <c r="D1078" s="8">
        <v>41712</v>
      </c>
      <c r="F1078" s="8">
        <v>41712</v>
      </c>
      <c r="G1078" s="8">
        <v>41712</v>
      </c>
      <c r="Y1078" s="8"/>
    </row>
    <row r="1079" spans="1:25" x14ac:dyDescent="0.25">
      <c r="A1079" t="str">
        <f>"14-0158"</f>
        <v>14-0158</v>
      </c>
      <c r="D1079" s="8">
        <v>41712</v>
      </c>
      <c r="F1079" s="8">
        <v>41955</v>
      </c>
      <c r="G1079" s="8">
        <v>41712</v>
      </c>
      <c r="Y1079" s="8"/>
    </row>
    <row r="1080" spans="1:25" x14ac:dyDescent="0.25">
      <c r="A1080" t="str">
        <f>"13-0659B"</f>
        <v>13-0659B</v>
      </c>
      <c r="D1080" s="8">
        <v>41710</v>
      </c>
      <c r="F1080" s="8">
        <v>41712</v>
      </c>
      <c r="G1080" s="8">
        <v>41705</v>
      </c>
      <c r="Y1080" s="8"/>
    </row>
    <row r="1081" spans="1:25" x14ac:dyDescent="0.25">
      <c r="A1081" t="str">
        <f>"14-0155"</f>
        <v>14-0155</v>
      </c>
      <c r="D1081" s="8">
        <v>41710</v>
      </c>
      <c r="F1081" s="8">
        <v>41710</v>
      </c>
      <c r="G1081" s="8">
        <v>41710</v>
      </c>
      <c r="Y1081" s="8"/>
    </row>
    <row r="1082" spans="1:25" x14ac:dyDescent="0.25">
      <c r="A1082" t="str">
        <f>"14-0156"</f>
        <v>14-0156</v>
      </c>
      <c r="D1082" s="8">
        <v>41710</v>
      </c>
      <c r="F1082" s="8">
        <v>41710</v>
      </c>
      <c r="G1082" s="8">
        <v>41710</v>
      </c>
      <c r="Y1082" s="8"/>
    </row>
    <row r="1083" spans="1:25" x14ac:dyDescent="0.25">
      <c r="A1083" t="str">
        <f>"14-0154"</f>
        <v>14-0154</v>
      </c>
      <c r="D1083" s="8">
        <v>41709</v>
      </c>
      <c r="F1083" s="8">
        <v>41712</v>
      </c>
      <c r="G1083" s="8">
        <v>41709</v>
      </c>
      <c r="Y1083" s="8"/>
    </row>
    <row r="1084" spans="1:25" x14ac:dyDescent="0.25">
      <c r="A1084" t="str">
        <f>"14-0151"</f>
        <v>14-0151</v>
      </c>
      <c r="D1084" s="8">
        <v>41708</v>
      </c>
      <c r="F1084" s="8">
        <v>41708</v>
      </c>
      <c r="G1084" s="8">
        <v>41708</v>
      </c>
      <c r="Y1084" s="8"/>
    </row>
    <row r="1085" spans="1:25" x14ac:dyDescent="0.25">
      <c r="A1085" t="str">
        <f>"14-0152"</f>
        <v>14-0152</v>
      </c>
      <c r="D1085" s="8">
        <v>41708</v>
      </c>
      <c r="F1085" s="8">
        <v>41708</v>
      </c>
      <c r="G1085" s="8">
        <v>41708</v>
      </c>
      <c r="Y1085" s="8"/>
    </row>
    <row r="1086" spans="1:25" x14ac:dyDescent="0.25">
      <c r="A1086" t="str">
        <f>"14-0153"</f>
        <v>14-0153</v>
      </c>
      <c r="D1086" s="8">
        <v>41708</v>
      </c>
      <c r="F1086" s="8">
        <v>41708</v>
      </c>
      <c r="G1086" s="8">
        <v>41696</v>
      </c>
      <c r="Y1086" s="8"/>
    </row>
    <row r="1087" spans="1:25" x14ac:dyDescent="0.25">
      <c r="A1087" t="str">
        <f>"14-0148"</f>
        <v>14-0148</v>
      </c>
      <c r="D1087" s="8">
        <v>41705</v>
      </c>
      <c r="F1087" s="8">
        <v>41705</v>
      </c>
      <c r="G1087" s="8">
        <v>41705</v>
      </c>
      <c r="Y1087" s="8"/>
    </row>
    <row r="1088" spans="1:25" x14ac:dyDescent="0.25">
      <c r="A1088" t="str">
        <f>"14-0149"</f>
        <v>14-0149</v>
      </c>
      <c r="D1088" s="8">
        <v>41705</v>
      </c>
      <c r="F1088" s="8">
        <v>41705</v>
      </c>
      <c r="G1088" s="8">
        <v>41705</v>
      </c>
      <c r="Y1088" s="8"/>
    </row>
    <row r="1089" spans="1:25" x14ac:dyDescent="0.25">
      <c r="A1089" t="str">
        <f>"14-0150"</f>
        <v>14-0150</v>
      </c>
      <c r="D1089" s="8">
        <v>41705</v>
      </c>
      <c r="F1089" s="8">
        <v>41705</v>
      </c>
      <c r="G1089" s="8">
        <v>41705</v>
      </c>
      <c r="Y1089" s="8"/>
    </row>
    <row r="1090" spans="1:25" x14ac:dyDescent="0.25">
      <c r="A1090" t="str">
        <f>"14-0138B"</f>
        <v>14-0138B</v>
      </c>
      <c r="D1090" s="8">
        <v>41704</v>
      </c>
      <c r="F1090" s="8">
        <v>41716</v>
      </c>
      <c r="G1090" s="8">
        <v>41704</v>
      </c>
      <c r="Y1090" s="8"/>
    </row>
    <row r="1091" spans="1:25" x14ac:dyDescent="0.25">
      <c r="A1091" t="str">
        <f>"14-0145"</f>
        <v>14-0145</v>
      </c>
      <c r="D1091" s="8">
        <v>41703</v>
      </c>
      <c r="F1091" s="8">
        <v>41703</v>
      </c>
      <c r="G1091" s="8">
        <v>41703</v>
      </c>
      <c r="Y1091" s="8"/>
    </row>
    <row r="1092" spans="1:25" x14ac:dyDescent="0.25">
      <c r="A1092" t="str">
        <f>"14-0146"</f>
        <v>14-0146</v>
      </c>
      <c r="D1092" s="8">
        <v>41703</v>
      </c>
      <c r="F1092" s="8">
        <v>41708</v>
      </c>
      <c r="G1092" s="8">
        <v>41708</v>
      </c>
      <c r="Y1092" s="8"/>
    </row>
    <row r="1093" spans="1:25" x14ac:dyDescent="0.25">
      <c r="A1093" t="str">
        <f>"14-0147"</f>
        <v>14-0147</v>
      </c>
      <c r="D1093" s="8">
        <v>41703</v>
      </c>
      <c r="F1093" s="8">
        <v>41703</v>
      </c>
      <c r="G1093" s="8">
        <v>41703</v>
      </c>
      <c r="Y1093" s="8"/>
    </row>
    <row r="1094" spans="1:25" x14ac:dyDescent="0.25">
      <c r="A1094" t="str">
        <f>"14-0140"</f>
        <v>14-0140</v>
      </c>
      <c r="D1094" s="8">
        <v>41702</v>
      </c>
      <c r="F1094" s="8">
        <v>41702</v>
      </c>
      <c r="G1094" s="8">
        <v>41702</v>
      </c>
      <c r="Y1094" s="8"/>
    </row>
    <row r="1095" spans="1:25" x14ac:dyDescent="0.25">
      <c r="A1095" t="str">
        <f>"14-0141"</f>
        <v>14-0141</v>
      </c>
      <c r="D1095" s="8">
        <v>41702</v>
      </c>
      <c r="F1095" s="8">
        <v>41729</v>
      </c>
      <c r="G1095" s="8">
        <v>41702</v>
      </c>
      <c r="Y1095" s="8"/>
    </row>
    <row r="1096" spans="1:25" x14ac:dyDescent="0.25">
      <c r="A1096" t="str">
        <f>"14-0142"</f>
        <v>14-0142</v>
      </c>
      <c r="D1096" s="8">
        <v>41702</v>
      </c>
      <c r="F1096" s="8">
        <v>41702</v>
      </c>
      <c r="G1096" s="8">
        <v>41702</v>
      </c>
      <c r="Y1096" s="8"/>
    </row>
    <row r="1097" spans="1:25" x14ac:dyDescent="0.25">
      <c r="A1097" t="str">
        <f>"14-0143"</f>
        <v>14-0143</v>
      </c>
      <c r="D1097" s="8">
        <v>41702</v>
      </c>
      <c r="F1097" s="8">
        <v>41703</v>
      </c>
      <c r="G1097" s="8">
        <v>41705</v>
      </c>
      <c r="Y1097" s="8"/>
    </row>
    <row r="1098" spans="1:25" x14ac:dyDescent="0.25">
      <c r="A1098" t="str">
        <f>"14-0144"</f>
        <v>14-0144</v>
      </c>
      <c r="D1098" s="8">
        <v>41702</v>
      </c>
      <c r="F1098" s="8">
        <v>41702</v>
      </c>
      <c r="G1098" s="8">
        <v>41702</v>
      </c>
      <c r="Y1098" s="8"/>
    </row>
    <row r="1099" spans="1:25" x14ac:dyDescent="0.25">
      <c r="A1099" t="str">
        <f>"14-0138"</f>
        <v>14-0138</v>
      </c>
      <c r="D1099" s="8">
        <v>41701</v>
      </c>
      <c r="F1099" s="8">
        <v>41701</v>
      </c>
      <c r="G1099" s="8">
        <v>41701</v>
      </c>
      <c r="Y1099" s="8"/>
    </row>
    <row r="1100" spans="1:25" x14ac:dyDescent="0.25">
      <c r="A1100" t="str">
        <f>"14-0139"</f>
        <v>14-0139</v>
      </c>
      <c r="D1100" s="8">
        <v>41701</v>
      </c>
      <c r="F1100" s="8">
        <v>41701</v>
      </c>
      <c r="G1100" s="8">
        <v>41701</v>
      </c>
      <c r="Y1100" s="8"/>
    </row>
    <row r="1101" spans="1:25" x14ac:dyDescent="0.25">
      <c r="A1101" t="str">
        <f>"14-0136"</f>
        <v>14-0136</v>
      </c>
      <c r="D1101" s="8">
        <v>41698</v>
      </c>
      <c r="F1101" s="8">
        <v>41698</v>
      </c>
      <c r="G1101" s="8">
        <v>41698</v>
      </c>
      <c r="Y1101" s="8"/>
    </row>
    <row r="1102" spans="1:25" x14ac:dyDescent="0.25">
      <c r="A1102" t="str">
        <f>"14-0137"</f>
        <v>14-0137</v>
      </c>
      <c r="D1102" s="8">
        <v>41698</v>
      </c>
      <c r="F1102" s="8">
        <v>41698</v>
      </c>
      <c r="G1102" s="8">
        <v>41698</v>
      </c>
      <c r="Y1102" s="8"/>
    </row>
    <row r="1103" spans="1:25" x14ac:dyDescent="0.25">
      <c r="A1103" t="str">
        <f>"14-0129"</f>
        <v>14-0129</v>
      </c>
      <c r="D1103" s="8">
        <v>41697</v>
      </c>
      <c r="F1103" s="8">
        <v>41761</v>
      </c>
      <c r="G1103" s="8">
        <v>41697</v>
      </c>
      <c r="Y1103" s="8"/>
    </row>
    <row r="1104" spans="1:25" x14ac:dyDescent="0.25">
      <c r="A1104" t="str">
        <f>"14-0130"</f>
        <v>14-0130</v>
      </c>
      <c r="D1104" s="8">
        <v>41697</v>
      </c>
      <c r="F1104" s="8">
        <v>41709</v>
      </c>
      <c r="G1104" s="8">
        <v>41697</v>
      </c>
      <c r="Y1104" s="8"/>
    </row>
    <row r="1105" spans="1:25" x14ac:dyDescent="0.25">
      <c r="A1105" t="str">
        <f>"14-0131"</f>
        <v>14-0131</v>
      </c>
      <c r="D1105" s="8">
        <v>41697</v>
      </c>
      <c r="F1105" s="8">
        <v>41697</v>
      </c>
      <c r="G1105" s="8">
        <v>41697</v>
      </c>
      <c r="Y1105" s="8"/>
    </row>
    <row r="1106" spans="1:25" x14ac:dyDescent="0.25">
      <c r="A1106" t="str">
        <f>"14-0132"</f>
        <v>14-0132</v>
      </c>
      <c r="D1106" s="8">
        <v>41697</v>
      </c>
      <c r="F1106" s="8">
        <v>41697</v>
      </c>
      <c r="G1106" s="8">
        <v>41697</v>
      </c>
      <c r="Y1106" s="8"/>
    </row>
    <row r="1107" spans="1:25" x14ac:dyDescent="0.25">
      <c r="A1107" t="str">
        <f>"14-0133"</f>
        <v>14-0133</v>
      </c>
      <c r="D1107" s="8">
        <v>41697</v>
      </c>
      <c r="F1107" s="8">
        <v>41697</v>
      </c>
      <c r="G1107" s="8">
        <v>41697</v>
      </c>
      <c r="Y1107" s="8"/>
    </row>
    <row r="1108" spans="1:25" x14ac:dyDescent="0.25">
      <c r="A1108" t="str">
        <f>"14-0134"</f>
        <v>14-0134</v>
      </c>
      <c r="D1108" s="8">
        <v>41697</v>
      </c>
      <c r="F1108" s="8">
        <v>41697</v>
      </c>
      <c r="G1108" s="8">
        <v>41697</v>
      </c>
      <c r="Y1108" s="8"/>
    </row>
    <row r="1109" spans="1:25" x14ac:dyDescent="0.25">
      <c r="A1109" t="str">
        <f>"14-0135"</f>
        <v>14-0135</v>
      </c>
      <c r="D1109" s="8">
        <v>41697</v>
      </c>
      <c r="F1109" s="8">
        <v>41697</v>
      </c>
      <c r="G1109" s="8">
        <v>41697</v>
      </c>
      <c r="Y1109" s="8"/>
    </row>
    <row r="1110" spans="1:25" x14ac:dyDescent="0.25">
      <c r="A1110" t="str">
        <f>"14-0079C"</f>
        <v>14-0079C</v>
      </c>
      <c r="D1110" s="8">
        <v>41696</v>
      </c>
      <c r="F1110" s="8">
        <v>41696</v>
      </c>
      <c r="G1110" s="8">
        <v>41696</v>
      </c>
      <c r="Y1110" s="8"/>
    </row>
    <row r="1111" spans="1:25" x14ac:dyDescent="0.25">
      <c r="A1111" t="str">
        <f>"14-0126"</f>
        <v>14-0126</v>
      </c>
      <c r="D1111" s="8">
        <v>41696</v>
      </c>
      <c r="F1111" s="8">
        <v>41696</v>
      </c>
      <c r="G1111" s="8">
        <v>41696</v>
      </c>
      <c r="Y1111" s="8"/>
    </row>
    <row r="1112" spans="1:25" x14ac:dyDescent="0.25">
      <c r="A1112" t="str">
        <f>"14-0127"</f>
        <v>14-0127</v>
      </c>
      <c r="D1112" s="8">
        <v>41696</v>
      </c>
      <c r="F1112" s="8">
        <v>41696</v>
      </c>
      <c r="G1112" s="8">
        <v>41696</v>
      </c>
      <c r="Y1112" s="8"/>
    </row>
    <row r="1113" spans="1:25" x14ac:dyDescent="0.25">
      <c r="A1113" t="str">
        <f>"14-0128"</f>
        <v>14-0128</v>
      </c>
      <c r="D1113" s="8">
        <v>41696</v>
      </c>
      <c r="F1113" s="8">
        <v>41696</v>
      </c>
      <c r="G1113" s="8">
        <v>41696</v>
      </c>
      <c r="Y1113" s="8"/>
    </row>
    <row r="1114" spans="1:25" x14ac:dyDescent="0.25">
      <c r="A1114" t="str">
        <f>"14-0124"</f>
        <v>14-0124</v>
      </c>
      <c r="D1114" s="8">
        <v>41695</v>
      </c>
      <c r="F1114" s="8">
        <v>41695</v>
      </c>
      <c r="G1114" s="8">
        <v>41695</v>
      </c>
      <c r="Y1114" s="8"/>
    </row>
    <row r="1115" spans="1:25" x14ac:dyDescent="0.25">
      <c r="A1115" t="str">
        <f>"14-0125"</f>
        <v>14-0125</v>
      </c>
      <c r="D1115" s="8">
        <v>41695</v>
      </c>
      <c r="F1115" s="8">
        <v>41695</v>
      </c>
      <c r="G1115" s="8">
        <v>41695</v>
      </c>
      <c r="Y1115" s="8"/>
    </row>
    <row r="1116" spans="1:25" x14ac:dyDescent="0.25">
      <c r="A1116" t="str">
        <f>"14-0121"</f>
        <v>14-0121</v>
      </c>
      <c r="D1116" s="8">
        <v>41694</v>
      </c>
      <c r="F1116" s="8">
        <v>41694</v>
      </c>
      <c r="G1116" s="8">
        <v>41694</v>
      </c>
      <c r="Y1116" s="8"/>
    </row>
    <row r="1117" spans="1:25" x14ac:dyDescent="0.25">
      <c r="A1117" t="str">
        <f>"14-0122"</f>
        <v>14-0122</v>
      </c>
      <c r="D1117" s="8">
        <v>41694</v>
      </c>
      <c r="F1117" s="8">
        <v>41694</v>
      </c>
      <c r="G1117" s="8">
        <v>41694</v>
      </c>
      <c r="Y1117" s="8"/>
    </row>
    <row r="1118" spans="1:25" x14ac:dyDescent="0.25">
      <c r="A1118" t="str">
        <f>"14-0123"</f>
        <v>14-0123</v>
      </c>
      <c r="D1118" s="8">
        <v>41694</v>
      </c>
      <c r="F1118" s="8">
        <v>41695</v>
      </c>
      <c r="G1118" s="8">
        <v>41694</v>
      </c>
      <c r="Y1118" s="8"/>
    </row>
    <row r="1119" spans="1:25" x14ac:dyDescent="0.25">
      <c r="A1119" t="str">
        <f>"14-0081B"</f>
        <v>14-0081B</v>
      </c>
      <c r="D1119" s="8">
        <v>41691</v>
      </c>
      <c r="F1119" s="8">
        <v>41691</v>
      </c>
      <c r="G1119" s="8">
        <v>41691</v>
      </c>
      <c r="Y1119" s="8"/>
    </row>
    <row r="1120" spans="1:25" x14ac:dyDescent="0.25">
      <c r="A1120" t="str">
        <f>"14-0115"</f>
        <v>14-0115</v>
      </c>
      <c r="D1120" s="8">
        <v>41691</v>
      </c>
      <c r="F1120" s="8">
        <v>41691</v>
      </c>
      <c r="G1120" s="8">
        <v>41691</v>
      </c>
      <c r="Y1120" s="8"/>
    </row>
    <row r="1121" spans="1:25" x14ac:dyDescent="0.25">
      <c r="A1121" t="str">
        <f>"14-0116"</f>
        <v>14-0116</v>
      </c>
      <c r="D1121" s="8">
        <v>41691</v>
      </c>
      <c r="F1121" s="8">
        <v>41691</v>
      </c>
      <c r="G1121" s="8">
        <v>41691</v>
      </c>
      <c r="Y1121" s="8"/>
    </row>
    <row r="1122" spans="1:25" x14ac:dyDescent="0.25">
      <c r="A1122" t="str">
        <f>"14-0116B"</f>
        <v>14-0116B</v>
      </c>
      <c r="D1122" s="8">
        <v>41691</v>
      </c>
      <c r="F1122" s="8">
        <v>41691</v>
      </c>
      <c r="G1122" s="8">
        <v>41691</v>
      </c>
      <c r="Y1122" s="8"/>
    </row>
    <row r="1123" spans="1:25" x14ac:dyDescent="0.25">
      <c r="A1123" t="str">
        <f>"14-0117"</f>
        <v>14-0117</v>
      </c>
      <c r="D1123" s="8">
        <v>41691</v>
      </c>
      <c r="F1123" s="8">
        <v>41695</v>
      </c>
      <c r="G1123" s="8">
        <v>41691</v>
      </c>
      <c r="Y1123" s="8"/>
    </row>
    <row r="1124" spans="1:25" x14ac:dyDescent="0.25">
      <c r="A1124" t="str">
        <f>"14-0118"</f>
        <v>14-0118</v>
      </c>
      <c r="D1124" s="8">
        <v>41691</v>
      </c>
      <c r="F1124" s="8">
        <v>41695</v>
      </c>
      <c r="G1124" s="8">
        <v>41691</v>
      </c>
      <c r="Y1124" s="8"/>
    </row>
    <row r="1125" spans="1:25" x14ac:dyDescent="0.25">
      <c r="A1125" t="str">
        <f>"14-0119"</f>
        <v>14-0119</v>
      </c>
      <c r="D1125" s="8">
        <v>41691</v>
      </c>
      <c r="F1125" s="8">
        <v>41691</v>
      </c>
      <c r="G1125" s="8">
        <v>41691</v>
      </c>
      <c r="Y1125" s="8"/>
    </row>
    <row r="1126" spans="1:25" x14ac:dyDescent="0.25">
      <c r="A1126" t="str">
        <f>"14-0120"</f>
        <v>14-0120</v>
      </c>
      <c r="D1126" s="8">
        <v>41691</v>
      </c>
      <c r="F1126" s="8">
        <v>41691</v>
      </c>
      <c r="G1126" s="8">
        <v>41691</v>
      </c>
      <c r="Y1126" s="8"/>
    </row>
    <row r="1127" spans="1:25" x14ac:dyDescent="0.25">
      <c r="A1127" t="str">
        <f>"13-0666B"</f>
        <v>13-0666B</v>
      </c>
      <c r="D1127" s="8">
        <v>41690</v>
      </c>
      <c r="F1127" s="8">
        <v>41690</v>
      </c>
      <c r="G1127" s="8">
        <v>41690</v>
      </c>
      <c r="Y1127" s="8"/>
    </row>
    <row r="1128" spans="1:25" x14ac:dyDescent="0.25">
      <c r="A1128" t="str">
        <f>"14-0114"</f>
        <v>14-0114</v>
      </c>
      <c r="D1128" s="8">
        <v>41690</v>
      </c>
      <c r="F1128" s="8">
        <v>41690</v>
      </c>
      <c r="G1128" s="8">
        <v>41690</v>
      </c>
      <c r="Y1128" s="8"/>
    </row>
    <row r="1129" spans="1:25" x14ac:dyDescent="0.25">
      <c r="A1129" t="str">
        <f>"14-0079B"</f>
        <v>14-0079B</v>
      </c>
      <c r="D1129" s="8">
        <v>41689</v>
      </c>
      <c r="F1129" s="8">
        <v>41689</v>
      </c>
      <c r="G1129" s="8">
        <v>41689</v>
      </c>
      <c r="Y1129" s="8"/>
    </row>
    <row r="1130" spans="1:25" x14ac:dyDescent="0.25">
      <c r="A1130" t="str">
        <f>"14-0108"</f>
        <v>14-0108</v>
      </c>
      <c r="D1130" s="8">
        <v>41689</v>
      </c>
      <c r="F1130" s="8">
        <v>41689</v>
      </c>
      <c r="G1130" s="8">
        <v>41689</v>
      </c>
      <c r="Y1130" s="8"/>
    </row>
    <row r="1131" spans="1:25" x14ac:dyDescent="0.25">
      <c r="A1131" t="str">
        <f>"14-0109"</f>
        <v>14-0109</v>
      </c>
      <c r="D1131" s="8">
        <v>41689</v>
      </c>
      <c r="F1131" s="8">
        <v>41689</v>
      </c>
      <c r="G1131" s="8">
        <v>41689</v>
      </c>
      <c r="Y1131" s="8"/>
    </row>
    <row r="1132" spans="1:25" x14ac:dyDescent="0.25">
      <c r="A1132" t="str">
        <f>"14-0110"</f>
        <v>14-0110</v>
      </c>
      <c r="D1132" s="8">
        <v>41689</v>
      </c>
      <c r="F1132" s="8">
        <v>41689</v>
      </c>
      <c r="G1132" s="8">
        <v>41689</v>
      </c>
      <c r="Y1132" s="8"/>
    </row>
    <row r="1133" spans="1:25" x14ac:dyDescent="0.25">
      <c r="A1133" t="str">
        <f>"14-0111"</f>
        <v>14-0111</v>
      </c>
      <c r="D1133" s="8">
        <v>41689</v>
      </c>
      <c r="F1133" s="8">
        <v>41689</v>
      </c>
      <c r="G1133" s="8">
        <v>41689</v>
      </c>
      <c r="Y1133" s="8"/>
    </row>
    <row r="1134" spans="1:25" x14ac:dyDescent="0.25">
      <c r="A1134" t="str">
        <f>"14-0112"</f>
        <v>14-0112</v>
      </c>
      <c r="D1134" s="8">
        <v>41689</v>
      </c>
      <c r="F1134" s="8">
        <v>41689</v>
      </c>
      <c r="G1134" s="8">
        <v>41689</v>
      </c>
      <c r="Y1134" s="8"/>
    </row>
    <row r="1135" spans="1:25" x14ac:dyDescent="0.25">
      <c r="A1135" t="str">
        <f>"14-0113"</f>
        <v>14-0113</v>
      </c>
      <c r="D1135" s="8">
        <v>41689</v>
      </c>
      <c r="F1135" s="8">
        <v>41689</v>
      </c>
      <c r="G1135" s="8">
        <v>41689</v>
      </c>
      <c r="Y1135" s="8"/>
    </row>
    <row r="1136" spans="1:25" x14ac:dyDescent="0.25">
      <c r="A1136" t="str">
        <f>"14-0104"</f>
        <v>14-0104</v>
      </c>
      <c r="D1136" s="8">
        <v>41688</v>
      </c>
      <c r="F1136" s="8">
        <v>41688</v>
      </c>
      <c r="G1136" s="8">
        <v>41688</v>
      </c>
      <c r="Y1136" s="8"/>
    </row>
    <row r="1137" spans="1:25" x14ac:dyDescent="0.25">
      <c r="A1137" t="str">
        <f>"14-0105"</f>
        <v>14-0105</v>
      </c>
      <c r="D1137" s="8">
        <v>41688</v>
      </c>
      <c r="F1137" s="8">
        <v>41688</v>
      </c>
      <c r="G1137" s="8">
        <v>41688</v>
      </c>
      <c r="Y1137" s="8"/>
    </row>
    <row r="1138" spans="1:25" x14ac:dyDescent="0.25">
      <c r="A1138" t="str">
        <f>"14-0106"</f>
        <v>14-0106</v>
      </c>
      <c r="D1138" s="8">
        <v>41688</v>
      </c>
      <c r="F1138" s="8">
        <v>41688</v>
      </c>
      <c r="G1138" s="8">
        <v>41688</v>
      </c>
      <c r="Y1138" s="8"/>
    </row>
    <row r="1139" spans="1:25" x14ac:dyDescent="0.25">
      <c r="A1139" t="str">
        <f>"14-0107"</f>
        <v>14-0107</v>
      </c>
      <c r="D1139" s="8">
        <v>41688</v>
      </c>
      <c r="F1139" s="8">
        <v>41688</v>
      </c>
      <c r="G1139" s="8">
        <v>41696</v>
      </c>
      <c r="Y1139" s="8"/>
    </row>
    <row r="1140" spans="1:25" x14ac:dyDescent="0.25">
      <c r="A1140" t="str">
        <f>"14-0101"</f>
        <v>14-0101</v>
      </c>
      <c r="D1140" s="8">
        <v>41684</v>
      </c>
      <c r="F1140" s="8">
        <v>41684</v>
      </c>
      <c r="G1140" s="8">
        <v>41684</v>
      </c>
      <c r="Y1140" s="8"/>
    </row>
    <row r="1141" spans="1:25" x14ac:dyDescent="0.25">
      <c r="A1141" t="str">
        <f>"14-0102"</f>
        <v>14-0102</v>
      </c>
      <c r="D1141" s="8">
        <v>41684</v>
      </c>
      <c r="F1141" s="8">
        <v>41684</v>
      </c>
      <c r="G1141" s="8">
        <v>41684</v>
      </c>
      <c r="Y1141" s="8"/>
    </row>
    <row r="1142" spans="1:25" x14ac:dyDescent="0.25">
      <c r="A1142" t="str">
        <f>"14-0103"</f>
        <v>14-0103</v>
      </c>
      <c r="D1142" s="8">
        <v>41684</v>
      </c>
      <c r="F1142" s="8">
        <v>41684</v>
      </c>
      <c r="G1142" s="8">
        <v>41684</v>
      </c>
      <c r="Y1142" s="8"/>
    </row>
    <row r="1143" spans="1:25" x14ac:dyDescent="0.25">
      <c r="A1143" t="str">
        <f>"13-0587C"</f>
        <v>13-0587C</v>
      </c>
      <c r="D1143" s="8">
        <v>41683</v>
      </c>
      <c r="F1143" s="8">
        <v>41683</v>
      </c>
      <c r="G1143" s="8">
        <v>41683</v>
      </c>
      <c r="Y1143" s="8"/>
    </row>
    <row r="1144" spans="1:25" x14ac:dyDescent="0.25">
      <c r="A1144" t="str">
        <f>"14-0098"</f>
        <v>14-0098</v>
      </c>
      <c r="D1144" s="8">
        <v>41683</v>
      </c>
      <c r="F1144" s="8">
        <v>41683</v>
      </c>
      <c r="G1144" s="8">
        <v>41684</v>
      </c>
      <c r="Y1144" s="8"/>
    </row>
    <row r="1145" spans="1:25" x14ac:dyDescent="0.25">
      <c r="A1145" t="str">
        <f>"14-0099"</f>
        <v>14-0099</v>
      </c>
      <c r="D1145" s="8">
        <v>41683</v>
      </c>
      <c r="F1145" s="8">
        <v>41683</v>
      </c>
      <c r="G1145" s="8">
        <v>41688</v>
      </c>
      <c r="Y1145" s="8"/>
    </row>
    <row r="1146" spans="1:25" x14ac:dyDescent="0.25">
      <c r="A1146" t="str">
        <f>"14-0100"</f>
        <v>14-0100</v>
      </c>
      <c r="D1146" s="8">
        <v>41683</v>
      </c>
      <c r="F1146" s="8">
        <v>41684</v>
      </c>
      <c r="G1146" s="8">
        <v>41683</v>
      </c>
      <c r="Y1146" s="8"/>
    </row>
    <row r="1147" spans="1:25" x14ac:dyDescent="0.25">
      <c r="A1147" t="str">
        <f>"14-0088"</f>
        <v>14-0088</v>
      </c>
      <c r="D1147" s="8">
        <v>41682</v>
      </c>
      <c r="F1147" s="8">
        <v>41682</v>
      </c>
      <c r="G1147" s="8">
        <v>41682</v>
      </c>
      <c r="Y1147" s="8"/>
    </row>
    <row r="1148" spans="1:25" x14ac:dyDescent="0.25">
      <c r="A1148" t="str">
        <f>"14-0089"</f>
        <v>14-0089</v>
      </c>
      <c r="D1148" s="8">
        <v>41682</v>
      </c>
      <c r="F1148" s="8">
        <v>41682</v>
      </c>
      <c r="G1148" s="8">
        <v>41682</v>
      </c>
      <c r="Y1148" s="8"/>
    </row>
    <row r="1149" spans="1:25" x14ac:dyDescent="0.25">
      <c r="A1149" t="str">
        <f>"14-0090"</f>
        <v>14-0090</v>
      </c>
      <c r="D1149" s="8">
        <v>41682</v>
      </c>
      <c r="F1149" s="8">
        <v>41682</v>
      </c>
      <c r="G1149" s="8">
        <v>41682</v>
      </c>
      <c r="Y1149" s="8"/>
    </row>
    <row r="1150" spans="1:25" x14ac:dyDescent="0.25">
      <c r="A1150" t="str">
        <f>"14-0091"</f>
        <v>14-0091</v>
      </c>
      <c r="D1150" s="8">
        <v>41682</v>
      </c>
      <c r="F1150" s="8">
        <v>41682</v>
      </c>
      <c r="G1150" s="8">
        <v>41682</v>
      </c>
      <c r="Y1150" s="8"/>
    </row>
    <row r="1151" spans="1:25" x14ac:dyDescent="0.25">
      <c r="A1151" t="str">
        <f>"14-0092"</f>
        <v>14-0092</v>
      </c>
      <c r="D1151" s="8">
        <v>41682</v>
      </c>
      <c r="F1151" s="8">
        <v>41682</v>
      </c>
      <c r="G1151" s="8">
        <v>41682</v>
      </c>
      <c r="Y1151" s="8"/>
    </row>
    <row r="1152" spans="1:25" x14ac:dyDescent="0.25">
      <c r="A1152" t="str">
        <f>"14-0093"</f>
        <v>14-0093</v>
      </c>
      <c r="D1152" s="8">
        <v>41682</v>
      </c>
      <c r="F1152" s="8">
        <v>41682</v>
      </c>
      <c r="G1152" s="8">
        <v>41682</v>
      </c>
      <c r="Y1152" s="8"/>
    </row>
    <row r="1153" spans="1:25" x14ac:dyDescent="0.25">
      <c r="A1153" t="str">
        <f>"14-0094"</f>
        <v>14-0094</v>
      </c>
      <c r="D1153" s="8">
        <v>41682</v>
      </c>
      <c r="F1153" s="8">
        <v>41682</v>
      </c>
      <c r="G1153" s="8">
        <v>41684</v>
      </c>
      <c r="Y1153" s="8"/>
    </row>
    <row r="1154" spans="1:25" x14ac:dyDescent="0.25">
      <c r="A1154" t="str">
        <f>"14-0095"</f>
        <v>14-0095</v>
      </c>
      <c r="D1154" s="8">
        <v>41682</v>
      </c>
      <c r="F1154" s="8">
        <v>41682</v>
      </c>
      <c r="G1154" s="8">
        <v>41682</v>
      </c>
      <c r="Y1154" s="8"/>
    </row>
    <row r="1155" spans="1:25" x14ac:dyDescent="0.25">
      <c r="A1155" t="str">
        <f>"14-0096"</f>
        <v>14-0096</v>
      </c>
      <c r="D1155" s="8">
        <v>41682</v>
      </c>
      <c r="F1155" s="8">
        <v>41682</v>
      </c>
      <c r="G1155" s="8">
        <v>41682</v>
      </c>
      <c r="Y1155" s="8"/>
    </row>
    <row r="1156" spans="1:25" x14ac:dyDescent="0.25">
      <c r="A1156" t="str">
        <f>"14-0097"</f>
        <v>14-0097</v>
      </c>
      <c r="D1156" s="8">
        <v>41682</v>
      </c>
      <c r="F1156" s="8">
        <v>41682</v>
      </c>
      <c r="G1156" s="8">
        <v>41682</v>
      </c>
      <c r="Y1156" s="8"/>
    </row>
    <row r="1157" spans="1:25" x14ac:dyDescent="0.25">
      <c r="A1157" t="str">
        <f>"14-0084"</f>
        <v>14-0084</v>
      </c>
      <c r="D1157" s="8">
        <v>41681</v>
      </c>
      <c r="F1157" s="8">
        <v>41681</v>
      </c>
      <c r="G1157" s="8">
        <v>41681</v>
      </c>
      <c r="Y1157" s="8"/>
    </row>
    <row r="1158" spans="1:25" x14ac:dyDescent="0.25">
      <c r="A1158" t="str">
        <f>"14-0085"</f>
        <v>14-0085</v>
      </c>
      <c r="D1158" s="8">
        <v>41681</v>
      </c>
      <c r="F1158" s="8">
        <v>41681</v>
      </c>
      <c r="G1158" s="8">
        <v>41681</v>
      </c>
      <c r="Y1158" s="8"/>
    </row>
    <row r="1159" spans="1:25" x14ac:dyDescent="0.25">
      <c r="A1159" t="str">
        <f>"14-0086"</f>
        <v>14-0086</v>
      </c>
      <c r="D1159" s="8">
        <v>41681</v>
      </c>
      <c r="F1159" s="8">
        <v>41681</v>
      </c>
      <c r="G1159" s="8">
        <v>41681</v>
      </c>
      <c r="Y1159" s="8"/>
    </row>
    <row r="1160" spans="1:25" x14ac:dyDescent="0.25">
      <c r="A1160" t="str">
        <f>"14-0087"</f>
        <v>14-0087</v>
      </c>
      <c r="D1160" s="8">
        <v>41681</v>
      </c>
      <c r="F1160" s="8">
        <v>41681</v>
      </c>
      <c r="G1160" s="8">
        <v>41681</v>
      </c>
      <c r="Y1160" s="8"/>
    </row>
    <row r="1161" spans="1:25" x14ac:dyDescent="0.25">
      <c r="A1161" t="str">
        <f>"14-0082"</f>
        <v>14-0082</v>
      </c>
      <c r="D1161" s="8">
        <v>41680</v>
      </c>
      <c r="F1161" s="8">
        <v>41680</v>
      </c>
      <c r="G1161" s="8">
        <v>41680</v>
      </c>
      <c r="Y1161" s="8"/>
    </row>
    <row r="1162" spans="1:25" x14ac:dyDescent="0.25">
      <c r="A1162" t="str">
        <f>"14-0083"</f>
        <v>14-0083</v>
      </c>
      <c r="D1162" s="8">
        <v>41680</v>
      </c>
      <c r="F1162" s="8">
        <v>41680</v>
      </c>
      <c r="G1162" s="8">
        <v>41675</v>
      </c>
      <c r="Y1162" s="8"/>
    </row>
    <row r="1163" spans="1:25" x14ac:dyDescent="0.25">
      <c r="A1163" t="str">
        <f>"14-0080"</f>
        <v>14-0080</v>
      </c>
      <c r="D1163" s="8">
        <v>41677</v>
      </c>
      <c r="F1163" s="8">
        <v>41677</v>
      </c>
      <c r="G1163" s="8">
        <v>41677</v>
      </c>
      <c r="Y1163" s="8"/>
    </row>
    <row r="1164" spans="1:25" x14ac:dyDescent="0.25">
      <c r="A1164" t="str">
        <f>"14-0081"</f>
        <v>14-0081</v>
      </c>
      <c r="D1164" s="8">
        <v>41677</v>
      </c>
      <c r="F1164" s="8">
        <v>41708</v>
      </c>
      <c r="G1164" s="8">
        <v>41677</v>
      </c>
      <c r="Y1164" s="8"/>
    </row>
    <row r="1165" spans="1:25" x14ac:dyDescent="0.25">
      <c r="A1165" t="str">
        <f>"14-0010C"</f>
        <v>14-0010C</v>
      </c>
      <c r="D1165" s="8">
        <v>41676</v>
      </c>
      <c r="F1165" s="8">
        <v>41676</v>
      </c>
      <c r="G1165" s="8">
        <v>41676</v>
      </c>
      <c r="Y1165" s="8"/>
    </row>
    <row r="1166" spans="1:25" x14ac:dyDescent="0.25">
      <c r="A1166" t="str">
        <f>"14-0077"</f>
        <v>14-0077</v>
      </c>
      <c r="D1166" s="8">
        <v>41676</v>
      </c>
      <c r="F1166" s="8">
        <v>41676</v>
      </c>
      <c r="G1166" s="8">
        <v>41676</v>
      </c>
      <c r="Y1166" s="8"/>
    </row>
    <row r="1167" spans="1:25" x14ac:dyDescent="0.25">
      <c r="A1167" t="str">
        <f>"14-0078"</f>
        <v>14-0078</v>
      </c>
      <c r="D1167" s="8">
        <v>41676</v>
      </c>
      <c r="F1167" s="8">
        <v>41676</v>
      </c>
      <c r="G1167" s="8">
        <v>41676</v>
      </c>
      <c r="Y1167" s="8"/>
    </row>
    <row r="1168" spans="1:25" x14ac:dyDescent="0.25">
      <c r="A1168" t="str">
        <f>"14-0079"</f>
        <v>14-0079</v>
      </c>
      <c r="D1168" s="8">
        <v>41676</v>
      </c>
      <c r="F1168" s="8">
        <v>41676</v>
      </c>
      <c r="G1168" s="8">
        <v>41676</v>
      </c>
      <c r="Y1168" s="8"/>
    </row>
    <row r="1169" spans="1:25" x14ac:dyDescent="0.25">
      <c r="A1169" t="str">
        <f>"14-0074"</f>
        <v>14-0074</v>
      </c>
      <c r="D1169" s="8">
        <v>41674</v>
      </c>
      <c r="F1169" s="8">
        <v>41886</v>
      </c>
      <c r="G1169" s="8">
        <v>41674</v>
      </c>
      <c r="Y1169" s="8"/>
    </row>
    <row r="1170" spans="1:25" x14ac:dyDescent="0.25">
      <c r="A1170" t="str">
        <f>"14-0075"</f>
        <v>14-0075</v>
      </c>
      <c r="D1170" s="8">
        <v>41674</v>
      </c>
      <c r="F1170" s="8">
        <v>41674</v>
      </c>
      <c r="G1170" s="8">
        <v>41674</v>
      </c>
      <c r="Y1170" s="8"/>
    </row>
    <row r="1171" spans="1:25" x14ac:dyDescent="0.25">
      <c r="A1171" t="str">
        <f>"14-0076"</f>
        <v>14-0076</v>
      </c>
      <c r="D1171" s="8">
        <v>41674</v>
      </c>
      <c r="F1171" s="8">
        <v>41674</v>
      </c>
      <c r="G1171" s="8">
        <v>41674</v>
      </c>
      <c r="Y1171" s="8"/>
    </row>
    <row r="1172" spans="1:25" x14ac:dyDescent="0.25">
      <c r="A1172" t="str">
        <f>"14-0040B"</f>
        <v>14-0040B</v>
      </c>
      <c r="D1172" s="8">
        <v>41673</v>
      </c>
      <c r="F1172" s="8">
        <v>41673</v>
      </c>
      <c r="G1172" s="8">
        <v>41673</v>
      </c>
      <c r="Y1172" s="8"/>
    </row>
    <row r="1173" spans="1:25" x14ac:dyDescent="0.25">
      <c r="A1173" t="str">
        <f>"14-0071"</f>
        <v>14-0071</v>
      </c>
      <c r="D1173" s="8">
        <v>41673</v>
      </c>
      <c r="F1173" s="8">
        <v>41673</v>
      </c>
      <c r="G1173" s="8">
        <v>41673</v>
      </c>
      <c r="Y1173" s="8"/>
    </row>
    <row r="1174" spans="1:25" x14ac:dyDescent="0.25">
      <c r="A1174" t="str">
        <f>"14-0072"</f>
        <v>14-0072</v>
      </c>
      <c r="D1174" s="8">
        <v>41673</v>
      </c>
      <c r="F1174" s="8">
        <v>41673</v>
      </c>
      <c r="G1174" s="8">
        <v>41673</v>
      </c>
      <c r="Y1174" s="8"/>
    </row>
    <row r="1175" spans="1:25" x14ac:dyDescent="0.25">
      <c r="A1175" t="str">
        <f>"14-0073"</f>
        <v>14-0073</v>
      </c>
      <c r="D1175" s="8">
        <v>41673</v>
      </c>
      <c r="F1175" s="8">
        <v>41673</v>
      </c>
      <c r="G1175" s="8">
        <v>41673</v>
      </c>
      <c r="Y1175" s="8"/>
    </row>
    <row r="1176" spans="1:25" x14ac:dyDescent="0.25">
      <c r="A1176" t="str">
        <f>"14-0010B"</f>
        <v>14-0010B</v>
      </c>
      <c r="D1176" s="8">
        <v>41670</v>
      </c>
      <c r="F1176" s="8">
        <v>41670</v>
      </c>
      <c r="G1176" s="8">
        <v>41670</v>
      </c>
      <c r="Y1176" s="8"/>
    </row>
    <row r="1177" spans="1:25" x14ac:dyDescent="0.25">
      <c r="A1177" t="str">
        <f>"14-0067"</f>
        <v>14-0067</v>
      </c>
      <c r="D1177" s="8">
        <v>41670</v>
      </c>
      <c r="F1177" s="8">
        <v>41670</v>
      </c>
      <c r="G1177" s="8">
        <v>41670</v>
      </c>
      <c r="Y1177" s="8"/>
    </row>
    <row r="1178" spans="1:25" x14ac:dyDescent="0.25">
      <c r="A1178" t="str">
        <f>"14-0068"</f>
        <v>14-0068</v>
      </c>
      <c r="D1178" s="8">
        <v>41670</v>
      </c>
      <c r="F1178" s="8">
        <v>41670</v>
      </c>
      <c r="G1178" s="8">
        <v>41670</v>
      </c>
      <c r="Y1178" s="8"/>
    </row>
    <row r="1179" spans="1:25" x14ac:dyDescent="0.25">
      <c r="A1179" t="str">
        <f>"14-0069"</f>
        <v>14-0069</v>
      </c>
      <c r="D1179" s="8">
        <v>41670</v>
      </c>
      <c r="F1179" s="8">
        <v>41670</v>
      </c>
      <c r="G1179" s="8">
        <v>41670</v>
      </c>
      <c r="Y1179" s="8"/>
    </row>
    <row r="1180" spans="1:25" x14ac:dyDescent="0.25">
      <c r="A1180" t="str">
        <f>"14-0070"</f>
        <v>14-0070</v>
      </c>
      <c r="D1180" s="8">
        <v>41670</v>
      </c>
      <c r="F1180" s="8">
        <v>41670</v>
      </c>
      <c r="G1180" s="8">
        <v>41670</v>
      </c>
      <c r="Y1180" s="8"/>
    </row>
    <row r="1181" spans="1:25" x14ac:dyDescent="0.25">
      <c r="A1181" t="str">
        <f>"14-0054B"</f>
        <v>14-0054B</v>
      </c>
      <c r="D1181" s="8">
        <v>41669</v>
      </c>
      <c r="F1181" s="8">
        <v>41669</v>
      </c>
      <c r="G1181" s="8">
        <v>41669</v>
      </c>
      <c r="Y1181" s="8"/>
    </row>
    <row r="1182" spans="1:25" x14ac:dyDescent="0.25">
      <c r="A1182" t="str">
        <f>"14-0065"</f>
        <v>14-0065</v>
      </c>
      <c r="D1182" s="8">
        <v>41669</v>
      </c>
      <c r="F1182" s="8">
        <v>41669</v>
      </c>
      <c r="G1182" s="8">
        <v>41670</v>
      </c>
      <c r="Y1182" s="8"/>
    </row>
    <row r="1183" spans="1:25" x14ac:dyDescent="0.25">
      <c r="A1183" t="str">
        <f>"14-0066"</f>
        <v>14-0066</v>
      </c>
      <c r="D1183" s="8">
        <v>41669</v>
      </c>
      <c r="F1183" s="8">
        <v>41669</v>
      </c>
      <c r="G1183" s="8">
        <v>41669</v>
      </c>
      <c r="Y1183" s="8"/>
    </row>
    <row r="1184" spans="1:25" x14ac:dyDescent="0.25">
      <c r="A1184" t="str">
        <f>"14-0062"</f>
        <v>14-0062</v>
      </c>
      <c r="D1184" s="8">
        <v>41668</v>
      </c>
      <c r="F1184" s="8">
        <v>41668</v>
      </c>
      <c r="G1184" s="8">
        <v>41670</v>
      </c>
      <c r="Y1184" s="8"/>
    </row>
    <row r="1185" spans="1:25" x14ac:dyDescent="0.25">
      <c r="A1185" t="str">
        <f>"14-0063"</f>
        <v>14-0063</v>
      </c>
      <c r="D1185" s="8">
        <v>41668</v>
      </c>
      <c r="F1185" s="8">
        <v>41668</v>
      </c>
      <c r="G1185" s="8">
        <v>41670</v>
      </c>
      <c r="Y1185" s="8"/>
    </row>
    <row r="1186" spans="1:25" x14ac:dyDescent="0.25">
      <c r="A1186" t="str">
        <f>"14-0064"</f>
        <v>14-0064</v>
      </c>
      <c r="D1186" s="8">
        <v>41668</v>
      </c>
      <c r="F1186" s="8">
        <v>41669</v>
      </c>
      <c r="G1186" s="8">
        <v>41675</v>
      </c>
      <c r="Y1186" s="8"/>
    </row>
    <row r="1187" spans="1:25" x14ac:dyDescent="0.25">
      <c r="A1187" t="str">
        <f>"14-0058"</f>
        <v>14-0058</v>
      </c>
      <c r="D1187" s="8">
        <v>41667</v>
      </c>
      <c r="F1187" s="8">
        <v>41667</v>
      </c>
      <c r="G1187" s="8">
        <v>41667</v>
      </c>
      <c r="Y1187" s="8"/>
    </row>
    <row r="1188" spans="1:25" x14ac:dyDescent="0.25">
      <c r="A1188" t="str">
        <f>"14-0059"</f>
        <v>14-0059</v>
      </c>
      <c r="D1188" s="8">
        <v>41667</v>
      </c>
      <c r="F1188" s="8">
        <v>41667</v>
      </c>
      <c r="G1188" s="8">
        <v>41667</v>
      </c>
      <c r="Y1188" s="8"/>
    </row>
    <row r="1189" spans="1:25" x14ac:dyDescent="0.25">
      <c r="A1189" t="str">
        <f>"14-0060"</f>
        <v>14-0060</v>
      </c>
      <c r="D1189" s="8">
        <v>41667</v>
      </c>
      <c r="F1189" s="8">
        <v>41667</v>
      </c>
      <c r="G1189" s="8">
        <v>41667</v>
      </c>
      <c r="Y1189" s="8"/>
    </row>
    <row r="1190" spans="1:25" x14ac:dyDescent="0.25">
      <c r="A1190" t="str">
        <f>"14-0061"</f>
        <v>14-0061</v>
      </c>
      <c r="D1190" s="8">
        <v>41667</v>
      </c>
      <c r="F1190" s="8">
        <v>41676</v>
      </c>
      <c r="G1190" s="8">
        <v>41667</v>
      </c>
      <c r="Y1190" s="8"/>
    </row>
    <row r="1191" spans="1:25" x14ac:dyDescent="0.25">
      <c r="A1191" t="str">
        <f>"14-0048"</f>
        <v>14-0048</v>
      </c>
      <c r="D1191" s="8">
        <v>41666</v>
      </c>
      <c r="F1191" s="8">
        <v>41666</v>
      </c>
      <c r="G1191" s="8">
        <v>41666</v>
      </c>
      <c r="Y1191" s="8"/>
    </row>
    <row r="1192" spans="1:25" x14ac:dyDescent="0.25">
      <c r="A1192" t="str">
        <f>"14-0049"</f>
        <v>14-0049</v>
      </c>
      <c r="D1192" s="8">
        <v>41666</v>
      </c>
      <c r="F1192" s="8">
        <v>41667</v>
      </c>
      <c r="G1192" s="8">
        <v>41669</v>
      </c>
      <c r="Y1192" s="8"/>
    </row>
    <row r="1193" spans="1:25" x14ac:dyDescent="0.25">
      <c r="A1193" t="str">
        <f>"14-0050"</f>
        <v>14-0050</v>
      </c>
      <c r="D1193" s="8">
        <v>41666</v>
      </c>
      <c r="F1193" s="8">
        <v>41666</v>
      </c>
      <c r="G1193" s="8">
        <v>41666</v>
      </c>
      <c r="Y1193" s="8"/>
    </row>
    <row r="1194" spans="1:25" x14ac:dyDescent="0.25">
      <c r="A1194" t="str">
        <f>"14-0051"</f>
        <v>14-0051</v>
      </c>
      <c r="D1194" s="8">
        <v>41666</v>
      </c>
      <c r="F1194" s="8">
        <v>41666</v>
      </c>
      <c r="G1194" s="8">
        <v>41666</v>
      </c>
      <c r="Y1194" s="8"/>
    </row>
    <row r="1195" spans="1:25" x14ac:dyDescent="0.25">
      <c r="A1195" t="str">
        <f>"14-0052"</f>
        <v>14-0052</v>
      </c>
      <c r="D1195" s="8">
        <v>41666</v>
      </c>
      <c r="F1195" s="8">
        <v>41666</v>
      </c>
      <c r="G1195" s="8">
        <v>41666</v>
      </c>
      <c r="Y1195" s="8"/>
    </row>
    <row r="1196" spans="1:25" x14ac:dyDescent="0.25">
      <c r="A1196" t="str">
        <f>"14-0053"</f>
        <v>14-0053</v>
      </c>
      <c r="D1196" s="8">
        <v>41666</v>
      </c>
      <c r="F1196" s="8">
        <v>41666</v>
      </c>
      <c r="G1196" s="8">
        <v>41666</v>
      </c>
      <c r="Y1196" s="8"/>
    </row>
    <row r="1197" spans="1:25" x14ac:dyDescent="0.25">
      <c r="A1197" t="str">
        <f>"14-0054"</f>
        <v>14-0054</v>
      </c>
      <c r="D1197" s="8">
        <v>41666</v>
      </c>
      <c r="F1197" s="8">
        <v>41666</v>
      </c>
      <c r="G1197" s="8">
        <v>41666</v>
      </c>
      <c r="Y1197" s="8"/>
    </row>
    <row r="1198" spans="1:25" x14ac:dyDescent="0.25">
      <c r="A1198" t="str">
        <f>"14-0055"</f>
        <v>14-0055</v>
      </c>
      <c r="D1198" s="8">
        <v>41666</v>
      </c>
      <c r="F1198" s="8">
        <v>41991</v>
      </c>
      <c r="G1198" s="8">
        <v>41666</v>
      </c>
      <c r="Y1198" s="8"/>
    </row>
    <row r="1199" spans="1:25" x14ac:dyDescent="0.25">
      <c r="A1199" t="str">
        <f>"14-0056"</f>
        <v>14-0056</v>
      </c>
      <c r="D1199" s="8">
        <v>41666</v>
      </c>
      <c r="F1199" s="8">
        <v>41666</v>
      </c>
      <c r="G1199" s="8">
        <v>41668</v>
      </c>
      <c r="Y1199" s="8"/>
    </row>
    <row r="1200" spans="1:25" x14ac:dyDescent="0.25">
      <c r="A1200" t="str">
        <f>"14-0057"</f>
        <v>14-0057</v>
      </c>
      <c r="D1200" s="8">
        <v>41666</v>
      </c>
      <c r="F1200" s="8">
        <v>41666</v>
      </c>
      <c r="G1200" s="8">
        <v>41666</v>
      </c>
      <c r="Y1200" s="8"/>
    </row>
    <row r="1201" spans="1:25" x14ac:dyDescent="0.25">
      <c r="A1201" t="str">
        <f>"14-0029B"</f>
        <v>14-0029B</v>
      </c>
      <c r="D1201" s="8">
        <v>41663</v>
      </c>
      <c r="F1201" s="8">
        <v>41663</v>
      </c>
      <c r="G1201" s="8">
        <v>41663</v>
      </c>
      <c r="Y1201" s="8"/>
    </row>
    <row r="1202" spans="1:25" x14ac:dyDescent="0.25">
      <c r="A1202" t="str">
        <f>"14-0047"</f>
        <v>14-0047</v>
      </c>
      <c r="D1202" s="8">
        <v>41663</v>
      </c>
      <c r="F1202" s="8">
        <v>41663</v>
      </c>
      <c r="G1202" s="8">
        <v>41663</v>
      </c>
      <c r="Y1202" s="8"/>
    </row>
    <row r="1203" spans="1:25" x14ac:dyDescent="0.25">
      <c r="A1203" t="str">
        <f>"14-0041"</f>
        <v>14-0041</v>
      </c>
      <c r="D1203" s="8">
        <v>41662</v>
      </c>
      <c r="F1203" s="8">
        <v>41701</v>
      </c>
      <c r="G1203" s="8">
        <v>41662</v>
      </c>
      <c r="Y1203" s="8"/>
    </row>
    <row r="1204" spans="1:25" x14ac:dyDescent="0.25">
      <c r="A1204" t="str">
        <f>"14-0042"</f>
        <v>14-0042</v>
      </c>
      <c r="D1204" s="8">
        <v>41662</v>
      </c>
      <c r="F1204" s="8">
        <v>41662</v>
      </c>
      <c r="G1204" s="8">
        <v>41662</v>
      </c>
      <c r="Y1204" s="8"/>
    </row>
    <row r="1205" spans="1:25" x14ac:dyDescent="0.25">
      <c r="A1205" t="str">
        <f>"14-0043"</f>
        <v>14-0043</v>
      </c>
      <c r="D1205" s="8">
        <v>41662</v>
      </c>
      <c r="F1205" s="8">
        <v>41662</v>
      </c>
      <c r="G1205" s="8">
        <v>41662</v>
      </c>
      <c r="Y1205" s="8"/>
    </row>
    <row r="1206" spans="1:25" x14ac:dyDescent="0.25">
      <c r="A1206" t="str">
        <f>"14-0044"</f>
        <v>14-0044</v>
      </c>
      <c r="D1206" s="8">
        <v>41662</v>
      </c>
      <c r="F1206" s="8">
        <v>41662</v>
      </c>
      <c r="G1206" s="8">
        <v>41662</v>
      </c>
      <c r="Y1206" s="8"/>
    </row>
    <row r="1207" spans="1:25" x14ac:dyDescent="0.25">
      <c r="A1207" t="str">
        <f>"14-0045"</f>
        <v>14-0045</v>
      </c>
      <c r="D1207" s="8">
        <v>41662</v>
      </c>
      <c r="F1207" s="8">
        <v>41662</v>
      </c>
      <c r="G1207" s="8">
        <v>41662</v>
      </c>
      <c r="Y1207" s="8"/>
    </row>
    <row r="1208" spans="1:25" x14ac:dyDescent="0.25">
      <c r="A1208" t="str">
        <f>"14-0046"</f>
        <v>14-0046</v>
      </c>
      <c r="D1208" s="8">
        <v>41662</v>
      </c>
      <c r="F1208" s="8">
        <v>41681</v>
      </c>
      <c r="G1208" s="8">
        <v>41662</v>
      </c>
      <c r="Y1208" s="8"/>
    </row>
    <row r="1209" spans="1:25" x14ac:dyDescent="0.25">
      <c r="A1209" t="str">
        <f>"14-0040"</f>
        <v>14-0040</v>
      </c>
      <c r="D1209" s="8">
        <v>41661</v>
      </c>
      <c r="F1209" s="8">
        <v>41662</v>
      </c>
      <c r="G1209" s="8">
        <v>41661</v>
      </c>
      <c r="Y1209" s="8"/>
    </row>
    <row r="1210" spans="1:25" x14ac:dyDescent="0.25">
      <c r="A1210" t="str">
        <f>"14-0035"</f>
        <v>14-0035</v>
      </c>
      <c r="D1210" s="8">
        <v>41660</v>
      </c>
      <c r="F1210" s="8">
        <v>41660</v>
      </c>
      <c r="G1210" s="8">
        <v>41660</v>
      </c>
      <c r="Y1210" s="8"/>
    </row>
    <row r="1211" spans="1:25" x14ac:dyDescent="0.25">
      <c r="A1211" t="str">
        <f>"14-0036"</f>
        <v>14-0036</v>
      </c>
      <c r="D1211" s="8">
        <v>41660</v>
      </c>
      <c r="F1211" s="8">
        <v>41660</v>
      </c>
      <c r="G1211" s="8">
        <v>41660</v>
      </c>
      <c r="Y1211" s="8"/>
    </row>
    <row r="1212" spans="1:25" x14ac:dyDescent="0.25">
      <c r="A1212" t="str">
        <f>"14-0037"</f>
        <v>14-0037</v>
      </c>
      <c r="D1212" s="8">
        <v>41660</v>
      </c>
      <c r="F1212" s="8">
        <v>41660</v>
      </c>
      <c r="G1212" s="8">
        <v>41660</v>
      </c>
      <c r="Y1212" s="8"/>
    </row>
    <row r="1213" spans="1:25" x14ac:dyDescent="0.25">
      <c r="A1213" t="str">
        <f>"14-0038"</f>
        <v>14-0038</v>
      </c>
      <c r="D1213" s="8">
        <v>41660</v>
      </c>
      <c r="F1213" s="8">
        <v>41660</v>
      </c>
      <c r="G1213" s="8">
        <v>41660</v>
      </c>
      <c r="Y1213" s="8"/>
    </row>
    <row r="1214" spans="1:25" x14ac:dyDescent="0.25">
      <c r="A1214" t="str">
        <f>"14-0039"</f>
        <v>14-0039</v>
      </c>
      <c r="D1214" s="8">
        <v>41660</v>
      </c>
      <c r="F1214" s="8">
        <v>41660</v>
      </c>
      <c r="G1214" s="8">
        <v>41660</v>
      </c>
      <c r="Y1214" s="8"/>
    </row>
    <row r="1215" spans="1:25" x14ac:dyDescent="0.25">
      <c r="A1215" t="str">
        <f>"14-0029"</f>
        <v>14-0029</v>
      </c>
      <c r="D1215" s="8">
        <v>41659</v>
      </c>
      <c r="F1215" s="8">
        <v>41659</v>
      </c>
      <c r="G1215" s="8">
        <v>41654</v>
      </c>
      <c r="Y1215" s="8"/>
    </row>
    <row r="1216" spans="1:25" x14ac:dyDescent="0.25">
      <c r="A1216" t="str">
        <f>"14-0030"</f>
        <v>14-0030</v>
      </c>
      <c r="D1216" s="8">
        <v>41659</v>
      </c>
      <c r="F1216" s="8">
        <v>41659</v>
      </c>
      <c r="G1216" s="8">
        <v>41659</v>
      </c>
      <c r="Y1216" s="8"/>
    </row>
    <row r="1217" spans="1:25" x14ac:dyDescent="0.25">
      <c r="A1217" t="str">
        <f>"14-0031"</f>
        <v>14-0031</v>
      </c>
      <c r="D1217" s="8">
        <v>41659</v>
      </c>
      <c r="F1217" s="8">
        <v>41659</v>
      </c>
      <c r="G1217" s="8">
        <v>41659</v>
      </c>
      <c r="Y1217" s="8"/>
    </row>
    <row r="1218" spans="1:25" x14ac:dyDescent="0.25">
      <c r="A1218" t="str">
        <f>"14-0032"</f>
        <v>14-0032</v>
      </c>
      <c r="D1218" s="8">
        <v>41659</v>
      </c>
      <c r="F1218" s="8">
        <v>41659</v>
      </c>
      <c r="G1218" s="8">
        <v>41659</v>
      </c>
      <c r="Y1218" s="8"/>
    </row>
    <row r="1219" spans="1:25" x14ac:dyDescent="0.25">
      <c r="A1219" t="str">
        <f>"14-0033"</f>
        <v>14-0033</v>
      </c>
      <c r="D1219" s="8">
        <v>41659</v>
      </c>
      <c r="F1219" s="8">
        <v>41659</v>
      </c>
      <c r="G1219" s="8">
        <v>41659</v>
      </c>
      <c r="Y1219" s="8"/>
    </row>
    <row r="1220" spans="1:25" x14ac:dyDescent="0.25">
      <c r="A1220" t="str">
        <f>"14-0034"</f>
        <v>14-0034</v>
      </c>
      <c r="D1220" s="8">
        <v>41659</v>
      </c>
      <c r="F1220" s="8">
        <v>41659</v>
      </c>
      <c r="G1220" s="8">
        <v>41659</v>
      </c>
      <c r="Y1220" s="8"/>
    </row>
    <row r="1221" spans="1:25" x14ac:dyDescent="0.25">
      <c r="A1221" t="str">
        <f>"14-0026"</f>
        <v>14-0026</v>
      </c>
      <c r="D1221" s="8">
        <v>41655</v>
      </c>
      <c r="F1221" s="8">
        <v>41655</v>
      </c>
      <c r="G1221" s="8">
        <v>41655</v>
      </c>
      <c r="Y1221" s="8"/>
    </row>
    <row r="1222" spans="1:25" x14ac:dyDescent="0.25">
      <c r="A1222" t="str">
        <f>"14-0027"</f>
        <v>14-0027</v>
      </c>
      <c r="D1222" s="8">
        <v>41655</v>
      </c>
      <c r="F1222" s="8">
        <v>41655</v>
      </c>
      <c r="G1222" s="8">
        <v>41655</v>
      </c>
      <c r="Y1222" s="8"/>
    </row>
    <row r="1223" spans="1:25" x14ac:dyDescent="0.25">
      <c r="A1223" t="str">
        <f>"14-0028"</f>
        <v>14-0028</v>
      </c>
      <c r="D1223" s="8">
        <v>41655</v>
      </c>
      <c r="F1223" s="8">
        <v>41655</v>
      </c>
      <c r="G1223" s="8">
        <v>41655</v>
      </c>
      <c r="Y1223" s="8"/>
    </row>
    <row r="1224" spans="1:25" x14ac:dyDescent="0.25">
      <c r="A1224" t="str">
        <f>"14-0004B"</f>
        <v>14-0004B</v>
      </c>
      <c r="D1224" s="8">
        <v>41654</v>
      </c>
      <c r="F1224" s="8">
        <v>41654</v>
      </c>
      <c r="G1224" s="8">
        <v>41654</v>
      </c>
      <c r="Y1224" s="8"/>
    </row>
    <row r="1225" spans="1:25" x14ac:dyDescent="0.25">
      <c r="A1225" t="str">
        <f>"14-0006B"</f>
        <v>14-0006B</v>
      </c>
      <c r="D1225" s="8">
        <v>41654</v>
      </c>
      <c r="F1225" s="8">
        <v>41654</v>
      </c>
      <c r="G1225" s="8">
        <v>41654</v>
      </c>
      <c r="Y1225" s="8"/>
    </row>
    <row r="1226" spans="1:25" x14ac:dyDescent="0.25">
      <c r="A1226" t="str">
        <f>"14-0020"</f>
        <v>14-0020</v>
      </c>
      <c r="D1226" s="8">
        <v>41654</v>
      </c>
      <c r="F1226" s="8">
        <v>41654</v>
      </c>
      <c r="G1226" s="8">
        <v>41654</v>
      </c>
      <c r="Y1226" s="8"/>
    </row>
    <row r="1227" spans="1:25" x14ac:dyDescent="0.25">
      <c r="A1227" t="str">
        <f>"14-0021"</f>
        <v>14-0021</v>
      </c>
      <c r="D1227" s="8">
        <v>41654</v>
      </c>
      <c r="F1227" s="8">
        <v>41654</v>
      </c>
      <c r="G1227" s="8">
        <v>41654</v>
      </c>
      <c r="Y1227" s="8"/>
    </row>
    <row r="1228" spans="1:25" x14ac:dyDescent="0.25">
      <c r="A1228" t="str">
        <f>"14-0022"</f>
        <v>14-0022</v>
      </c>
      <c r="D1228" s="8">
        <v>41654</v>
      </c>
      <c r="F1228" s="8">
        <v>41676</v>
      </c>
      <c r="G1228" s="8">
        <v>41654</v>
      </c>
      <c r="Y1228" s="8"/>
    </row>
    <row r="1229" spans="1:25" x14ac:dyDescent="0.25">
      <c r="A1229" t="str">
        <f>"14-0023"</f>
        <v>14-0023</v>
      </c>
      <c r="D1229" s="8">
        <v>41654</v>
      </c>
      <c r="F1229" s="8">
        <v>41654</v>
      </c>
      <c r="G1229" s="8">
        <v>41654</v>
      </c>
      <c r="Y1229" s="8"/>
    </row>
    <row r="1230" spans="1:25" x14ac:dyDescent="0.25">
      <c r="A1230" t="str">
        <f>"14-0024"</f>
        <v>14-0024</v>
      </c>
      <c r="D1230" s="8">
        <v>41654</v>
      </c>
      <c r="F1230" s="8">
        <v>41654</v>
      </c>
      <c r="G1230" s="8">
        <v>41654</v>
      </c>
      <c r="Y1230" s="8"/>
    </row>
    <row r="1231" spans="1:25" x14ac:dyDescent="0.25">
      <c r="A1231" t="str">
        <f>"14-0024B"</f>
        <v>14-0024B</v>
      </c>
      <c r="D1231" s="8">
        <v>41654</v>
      </c>
      <c r="F1231" s="8">
        <v>41654</v>
      </c>
      <c r="G1231" s="8">
        <v>41654</v>
      </c>
      <c r="Y1231" s="8"/>
    </row>
    <row r="1232" spans="1:25" x14ac:dyDescent="0.25">
      <c r="A1232" t="str">
        <f>"14-0025"</f>
        <v>14-0025</v>
      </c>
      <c r="D1232" s="8">
        <v>41654</v>
      </c>
      <c r="F1232" s="8">
        <v>41654</v>
      </c>
      <c r="G1232" s="8">
        <v>41654</v>
      </c>
      <c r="Y1232" s="8"/>
    </row>
    <row r="1233" spans="1:25" x14ac:dyDescent="0.25">
      <c r="A1233" t="str">
        <f>"14-0016"</f>
        <v>14-0016</v>
      </c>
      <c r="D1233" s="8">
        <v>41653</v>
      </c>
      <c r="F1233" s="8">
        <v>41653</v>
      </c>
      <c r="G1233" s="8">
        <v>41653</v>
      </c>
      <c r="Y1233" s="8"/>
    </row>
    <row r="1234" spans="1:25" x14ac:dyDescent="0.25">
      <c r="A1234" t="str">
        <f>"14-0017"</f>
        <v>14-0017</v>
      </c>
      <c r="D1234" s="8">
        <v>41653</v>
      </c>
      <c r="F1234" s="8">
        <v>41675</v>
      </c>
      <c r="G1234" s="8">
        <v>41653</v>
      </c>
      <c r="Y1234" s="8"/>
    </row>
    <row r="1235" spans="1:25" x14ac:dyDescent="0.25">
      <c r="A1235" t="str">
        <f>"14-0018"</f>
        <v>14-0018</v>
      </c>
      <c r="D1235" s="8">
        <v>41653</v>
      </c>
      <c r="F1235" s="8">
        <v>41653</v>
      </c>
      <c r="G1235" s="8">
        <v>41653</v>
      </c>
      <c r="Y1235" s="8"/>
    </row>
    <row r="1236" spans="1:25" x14ac:dyDescent="0.25">
      <c r="A1236" t="str">
        <f>"14-0019"</f>
        <v>14-0019</v>
      </c>
      <c r="D1236" s="8">
        <v>41653</v>
      </c>
      <c r="F1236" s="8">
        <v>41653</v>
      </c>
      <c r="G1236" s="8">
        <v>41653</v>
      </c>
      <c r="Y1236" s="8"/>
    </row>
    <row r="1237" spans="1:25" x14ac:dyDescent="0.25">
      <c r="A1237" t="str">
        <f>"14-0012"</f>
        <v>14-0012</v>
      </c>
      <c r="D1237" s="8">
        <v>41652</v>
      </c>
      <c r="F1237" s="8">
        <v>41652</v>
      </c>
      <c r="G1237" s="8">
        <v>41652</v>
      </c>
      <c r="Y1237" s="8"/>
    </row>
    <row r="1238" spans="1:25" x14ac:dyDescent="0.25">
      <c r="A1238" t="str">
        <f>"14-0012B"</f>
        <v>14-0012B</v>
      </c>
      <c r="D1238" s="8">
        <v>41652</v>
      </c>
      <c r="F1238" s="8">
        <v>41652</v>
      </c>
      <c r="G1238" s="8">
        <v>41652</v>
      </c>
      <c r="Y1238" s="8"/>
    </row>
    <row r="1239" spans="1:25" x14ac:dyDescent="0.25">
      <c r="A1239" t="str">
        <f>"14-0013"</f>
        <v>14-0013</v>
      </c>
      <c r="D1239" s="8">
        <v>41652</v>
      </c>
      <c r="F1239" s="8">
        <v>41656</v>
      </c>
      <c r="G1239" s="8">
        <v>41652</v>
      </c>
      <c r="Y1239" s="8"/>
    </row>
    <row r="1240" spans="1:25" x14ac:dyDescent="0.25">
      <c r="A1240" t="str">
        <f>"14-0014"</f>
        <v>14-0014</v>
      </c>
      <c r="D1240" s="8">
        <v>41652</v>
      </c>
      <c r="F1240" s="8">
        <v>41652</v>
      </c>
      <c r="G1240" s="8">
        <v>41652</v>
      </c>
      <c r="Y1240" s="8"/>
    </row>
    <row r="1241" spans="1:25" x14ac:dyDescent="0.25">
      <c r="A1241" t="str">
        <f>"14-0015"</f>
        <v>14-0015</v>
      </c>
      <c r="D1241" s="8">
        <v>41652</v>
      </c>
      <c r="F1241" s="8">
        <v>41652</v>
      </c>
      <c r="G1241" s="8">
        <v>41652</v>
      </c>
      <c r="Y1241" s="8"/>
    </row>
    <row r="1242" spans="1:25" x14ac:dyDescent="0.25">
      <c r="A1242" t="str">
        <f>"14-0008"</f>
        <v>14-0008</v>
      </c>
      <c r="D1242" s="8">
        <v>41649</v>
      </c>
      <c r="F1242" s="8">
        <v>41670</v>
      </c>
      <c r="G1242" s="8">
        <v>41649</v>
      </c>
      <c r="Y1242" s="8"/>
    </row>
    <row r="1243" spans="1:25" x14ac:dyDescent="0.25">
      <c r="A1243" t="str">
        <f>"14-0009"</f>
        <v>14-0009</v>
      </c>
      <c r="D1243" s="8">
        <v>41649</v>
      </c>
      <c r="F1243" s="8">
        <v>41649</v>
      </c>
      <c r="G1243" s="8">
        <v>41659</v>
      </c>
      <c r="Y1243" s="8"/>
    </row>
    <row r="1244" spans="1:25" x14ac:dyDescent="0.25">
      <c r="A1244" t="str">
        <f>"14-0010"</f>
        <v>14-0010</v>
      </c>
      <c r="D1244" s="8">
        <v>41649</v>
      </c>
      <c r="F1244" s="8">
        <v>41649</v>
      </c>
      <c r="G1244" s="8">
        <v>41649</v>
      </c>
      <c r="Y1244" s="8"/>
    </row>
    <row r="1245" spans="1:25" x14ac:dyDescent="0.25">
      <c r="A1245" t="str">
        <f>"14-0011"</f>
        <v>14-0011</v>
      </c>
      <c r="D1245" s="8">
        <v>41649</v>
      </c>
      <c r="F1245" s="8">
        <v>41655</v>
      </c>
      <c r="G1245" s="8">
        <v>41649</v>
      </c>
      <c r="Y1245" s="8"/>
    </row>
    <row r="1246" spans="1:25" x14ac:dyDescent="0.25">
      <c r="A1246" t="str">
        <f>"14-0005"</f>
        <v>14-0005</v>
      </c>
      <c r="D1246" s="8">
        <v>41648</v>
      </c>
      <c r="F1246" s="8">
        <v>41648</v>
      </c>
      <c r="G1246" s="8">
        <v>41659</v>
      </c>
      <c r="Y1246" s="8"/>
    </row>
    <row r="1247" spans="1:25" x14ac:dyDescent="0.25">
      <c r="A1247" t="str">
        <f>"14-0006"</f>
        <v>14-0006</v>
      </c>
      <c r="D1247" s="8">
        <v>41648</v>
      </c>
      <c r="F1247" s="8">
        <v>41654</v>
      </c>
      <c r="G1247" s="8">
        <v>41649</v>
      </c>
      <c r="Y1247" s="8"/>
    </row>
    <row r="1248" spans="1:25" x14ac:dyDescent="0.25">
      <c r="A1248" t="str">
        <f>"14-0007"</f>
        <v>14-0007</v>
      </c>
      <c r="D1248" s="8">
        <v>41648</v>
      </c>
      <c r="F1248" s="8">
        <v>41649</v>
      </c>
      <c r="G1248" s="8">
        <v>41648</v>
      </c>
      <c r="Y1248" s="8"/>
    </row>
    <row r="1249" spans="1:25" x14ac:dyDescent="0.25">
      <c r="A1249" t="str">
        <f>"13-0659"</f>
        <v>13-0659</v>
      </c>
      <c r="D1249" s="8">
        <v>41647</v>
      </c>
      <c r="F1249" s="8">
        <v>41647</v>
      </c>
      <c r="G1249" s="8">
        <v>41652</v>
      </c>
      <c r="Y1249" s="8"/>
    </row>
    <row r="1250" spans="1:25" x14ac:dyDescent="0.25">
      <c r="A1250" t="str">
        <f>"14-0003"</f>
        <v>14-0003</v>
      </c>
      <c r="D1250" s="8">
        <v>41647</v>
      </c>
      <c r="F1250" s="8">
        <v>41647</v>
      </c>
      <c r="G1250" s="8">
        <v>41649</v>
      </c>
      <c r="Y1250" s="8"/>
    </row>
    <row r="1251" spans="1:25" x14ac:dyDescent="0.25">
      <c r="A1251" t="str">
        <f>"14-0004"</f>
        <v>14-0004</v>
      </c>
      <c r="D1251" s="8">
        <v>41647</v>
      </c>
      <c r="F1251" s="8">
        <v>41647</v>
      </c>
      <c r="G1251" s="8">
        <v>41649</v>
      </c>
      <c r="Y1251" s="8"/>
    </row>
    <row r="1252" spans="1:25" x14ac:dyDescent="0.25">
      <c r="A1252" t="str">
        <f>"14-0002"</f>
        <v>14-0002</v>
      </c>
      <c r="D1252" s="8">
        <v>41645</v>
      </c>
      <c r="F1252" s="8">
        <v>41645</v>
      </c>
      <c r="G1252" s="8">
        <v>41645</v>
      </c>
      <c r="Y1252" s="8"/>
    </row>
    <row r="1253" spans="1:25" x14ac:dyDescent="0.25">
      <c r="A1253" t="str">
        <f>"13-0667"</f>
        <v>13-0667</v>
      </c>
      <c r="D1253" s="8">
        <v>41632</v>
      </c>
      <c r="F1253" s="8">
        <v>41632</v>
      </c>
      <c r="G1253" s="8">
        <v>41632</v>
      </c>
      <c r="Y1253" s="8"/>
    </row>
    <row r="1254" spans="1:25" x14ac:dyDescent="0.25">
      <c r="A1254" t="str">
        <f>"13-0668"</f>
        <v>13-0668</v>
      </c>
      <c r="D1254" s="8">
        <v>41632</v>
      </c>
      <c r="F1254" s="8">
        <v>41632</v>
      </c>
      <c r="G1254" s="8">
        <v>41632</v>
      </c>
      <c r="Y1254" s="8"/>
    </row>
    <row r="1255" spans="1:25" x14ac:dyDescent="0.25">
      <c r="A1255" t="str">
        <f>"13-0665"</f>
        <v>13-0665</v>
      </c>
      <c r="D1255" s="8">
        <v>41631</v>
      </c>
      <c r="F1255" s="8">
        <v>41631</v>
      </c>
      <c r="G1255" s="8">
        <v>41631</v>
      </c>
      <c r="Y1255" s="8"/>
    </row>
    <row r="1256" spans="1:25" x14ac:dyDescent="0.25">
      <c r="A1256" t="str">
        <f>"13-0666"</f>
        <v>13-0666</v>
      </c>
      <c r="D1256" s="8">
        <v>41631</v>
      </c>
      <c r="F1256" s="8">
        <v>41631</v>
      </c>
      <c r="G1256" s="8">
        <v>41631</v>
      </c>
      <c r="Y1256" s="8"/>
    </row>
    <row r="1257" spans="1:25" x14ac:dyDescent="0.25">
      <c r="A1257" t="str">
        <f>"13-0664"</f>
        <v>13-0664</v>
      </c>
      <c r="D1257" s="8">
        <v>41628</v>
      </c>
      <c r="F1257" s="8">
        <v>41628</v>
      </c>
      <c r="G1257" s="8">
        <v>41628</v>
      </c>
      <c r="Y1257" s="8"/>
    </row>
    <row r="1258" spans="1:25" x14ac:dyDescent="0.25">
      <c r="A1258" t="str">
        <f>"13-0660"</f>
        <v>13-0660</v>
      </c>
      <c r="D1258" s="8">
        <v>41627</v>
      </c>
      <c r="F1258" s="8">
        <v>41627</v>
      </c>
      <c r="G1258" s="8">
        <v>41627</v>
      </c>
      <c r="Y1258" s="8"/>
    </row>
    <row r="1259" spans="1:25" x14ac:dyDescent="0.25">
      <c r="A1259" t="str">
        <f>"13-0662"</f>
        <v>13-0662</v>
      </c>
      <c r="D1259" s="8">
        <v>41627</v>
      </c>
      <c r="F1259" s="8">
        <v>41627</v>
      </c>
      <c r="G1259" s="8">
        <v>41627</v>
      </c>
      <c r="Y1259" s="8"/>
    </row>
    <row r="1260" spans="1:25" x14ac:dyDescent="0.25">
      <c r="A1260" t="str">
        <f>"13-0663"</f>
        <v>13-0663</v>
      </c>
      <c r="D1260" s="8">
        <v>41627</v>
      </c>
      <c r="F1260" s="8">
        <v>41627</v>
      </c>
      <c r="G1260" s="8">
        <v>41627</v>
      </c>
      <c r="Y1260" s="8"/>
    </row>
    <row r="1261" spans="1:25" x14ac:dyDescent="0.25">
      <c r="A1261" t="str">
        <f>"13-0656"</f>
        <v>13-0656</v>
      </c>
      <c r="D1261" s="8">
        <v>41626</v>
      </c>
      <c r="F1261" s="8">
        <v>41626</v>
      </c>
      <c r="G1261" s="8">
        <v>41626</v>
      </c>
      <c r="Y1261" s="8"/>
    </row>
    <row r="1262" spans="1:25" x14ac:dyDescent="0.25">
      <c r="A1262" t="str">
        <f>"13-0657"</f>
        <v>13-0657</v>
      </c>
      <c r="D1262" s="8">
        <v>41626</v>
      </c>
      <c r="F1262" s="8">
        <v>41626</v>
      </c>
      <c r="G1262" s="8">
        <v>41626</v>
      </c>
      <c r="Y1262" s="8"/>
    </row>
    <row r="1263" spans="1:25" x14ac:dyDescent="0.25">
      <c r="A1263" t="str">
        <f>"13-0658"</f>
        <v>13-0658</v>
      </c>
      <c r="D1263" s="8">
        <v>41626</v>
      </c>
      <c r="F1263" s="8">
        <v>41626</v>
      </c>
      <c r="G1263" s="8">
        <v>41626</v>
      </c>
      <c r="Y1263" s="8"/>
    </row>
    <row r="1264" spans="1:25" x14ac:dyDescent="0.25">
      <c r="A1264" t="str">
        <f>"13-0639B"</f>
        <v>13-0639B</v>
      </c>
      <c r="D1264" s="8">
        <v>41625</v>
      </c>
      <c r="F1264" s="8">
        <v>41654</v>
      </c>
      <c r="G1264" s="8">
        <v>41625</v>
      </c>
      <c r="Y1264" s="8"/>
    </row>
    <row r="1265" spans="1:25" x14ac:dyDescent="0.25">
      <c r="A1265" t="str">
        <f>"13-0653"</f>
        <v>13-0653</v>
      </c>
      <c r="D1265" s="8">
        <v>41625</v>
      </c>
      <c r="F1265" s="8">
        <v>41625</v>
      </c>
      <c r="G1265" s="8">
        <v>41625</v>
      </c>
      <c r="Y1265" s="8"/>
    </row>
    <row r="1266" spans="1:25" x14ac:dyDescent="0.25">
      <c r="A1266" t="str">
        <f>"13-0654"</f>
        <v>13-0654</v>
      </c>
      <c r="D1266" s="8">
        <v>41625</v>
      </c>
      <c r="F1266" s="8">
        <v>41625</v>
      </c>
      <c r="G1266" s="8">
        <v>41625</v>
      </c>
      <c r="Y1266" s="8"/>
    </row>
    <row r="1267" spans="1:25" x14ac:dyDescent="0.25">
      <c r="A1267" t="str">
        <f>"13-0655"</f>
        <v>13-0655</v>
      </c>
      <c r="D1267" s="8">
        <v>41625</v>
      </c>
      <c r="F1267" s="8">
        <v>41625</v>
      </c>
      <c r="G1267" s="8">
        <v>41625</v>
      </c>
      <c r="Y1267" s="8"/>
    </row>
    <row r="1268" spans="1:25" x14ac:dyDescent="0.25">
      <c r="A1268" t="str">
        <f>"13-0650"</f>
        <v>13-0650</v>
      </c>
      <c r="D1268" s="8">
        <v>41624</v>
      </c>
      <c r="F1268" s="8">
        <v>41624</v>
      </c>
      <c r="G1268" s="8">
        <v>41624</v>
      </c>
      <c r="Y1268" s="8"/>
    </row>
    <row r="1269" spans="1:25" x14ac:dyDescent="0.25">
      <c r="A1269" t="str">
        <f>"13-0651"</f>
        <v>13-0651</v>
      </c>
      <c r="D1269" s="8">
        <v>41624</v>
      </c>
      <c r="F1269" s="8">
        <v>41624</v>
      </c>
      <c r="G1269" s="8">
        <v>41624</v>
      </c>
      <c r="Y1269" s="8"/>
    </row>
    <row r="1270" spans="1:25" x14ac:dyDescent="0.25">
      <c r="A1270" t="str">
        <f>"13-0652"</f>
        <v>13-0652</v>
      </c>
      <c r="D1270" s="8">
        <v>41624</v>
      </c>
      <c r="F1270" s="8">
        <v>41625</v>
      </c>
      <c r="G1270" s="8">
        <v>41624</v>
      </c>
      <c r="Y1270" s="8"/>
    </row>
    <row r="1271" spans="1:25" x14ac:dyDescent="0.25">
      <c r="A1271" t="str">
        <f>"13-0648"</f>
        <v>13-0648</v>
      </c>
      <c r="D1271" s="8">
        <v>41621</v>
      </c>
      <c r="F1271" s="8">
        <v>41621</v>
      </c>
      <c r="G1271" s="8">
        <v>41621</v>
      </c>
      <c r="Y1271" s="8"/>
    </row>
    <row r="1272" spans="1:25" x14ac:dyDescent="0.25">
      <c r="A1272" t="str">
        <f>"13-0649"</f>
        <v>13-0649</v>
      </c>
      <c r="D1272" s="8">
        <v>41621</v>
      </c>
      <c r="F1272" s="8">
        <v>41621</v>
      </c>
      <c r="G1272" s="8">
        <v>41621</v>
      </c>
      <c r="Y1272" s="8"/>
    </row>
    <row r="1273" spans="1:25" x14ac:dyDescent="0.25">
      <c r="A1273" t="str">
        <f>"13-0643"</f>
        <v>13-0643</v>
      </c>
      <c r="D1273" s="8">
        <v>41620</v>
      </c>
      <c r="F1273" s="8">
        <v>41621</v>
      </c>
      <c r="G1273" s="8">
        <v>41614</v>
      </c>
      <c r="Y1273" s="8"/>
    </row>
    <row r="1274" spans="1:25" x14ac:dyDescent="0.25">
      <c r="A1274" t="str">
        <f>"13-0644"</f>
        <v>13-0644</v>
      </c>
      <c r="D1274" s="8">
        <v>41620</v>
      </c>
      <c r="F1274" s="8">
        <v>41620</v>
      </c>
      <c r="G1274" s="8">
        <v>41620</v>
      </c>
      <c r="Y1274" s="8"/>
    </row>
    <row r="1275" spans="1:25" x14ac:dyDescent="0.25">
      <c r="A1275" t="str">
        <f>"13-0645"</f>
        <v>13-0645</v>
      </c>
      <c r="D1275" s="8">
        <v>41620</v>
      </c>
      <c r="F1275" s="8">
        <v>41620</v>
      </c>
      <c r="G1275" s="8">
        <v>41620</v>
      </c>
      <c r="Y1275" s="8"/>
    </row>
    <row r="1276" spans="1:25" x14ac:dyDescent="0.25">
      <c r="A1276" t="str">
        <f>"13-0646"</f>
        <v>13-0646</v>
      </c>
      <c r="D1276" s="8">
        <v>41620</v>
      </c>
      <c r="F1276" s="8">
        <v>41624</v>
      </c>
      <c r="G1276" s="8">
        <v>41620</v>
      </c>
      <c r="Y1276" s="8"/>
    </row>
    <row r="1277" spans="1:25" x14ac:dyDescent="0.25">
      <c r="A1277" t="str">
        <f>"13-0647"</f>
        <v>13-0647</v>
      </c>
      <c r="D1277" s="8">
        <v>41620</v>
      </c>
      <c r="F1277" s="8">
        <v>41624</v>
      </c>
      <c r="G1277" s="8">
        <v>41620</v>
      </c>
      <c r="Y1277" s="8"/>
    </row>
    <row r="1278" spans="1:25" x14ac:dyDescent="0.25">
      <c r="A1278" t="str">
        <f>"13-0637"</f>
        <v>13-0637</v>
      </c>
      <c r="D1278" s="8">
        <v>41619</v>
      </c>
      <c r="F1278" s="8">
        <v>41619</v>
      </c>
      <c r="G1278" s="8">
        <v>41619</v>
      </c>
      <c r="Y1278" s="8"/>
    </row>
    <row r="1279" spans="1:25" x14ac:dyDescent="0.25">
      <c r="A1279" t="str">
        <f>"13-0638"</f>
        <v>13-0638</v>
      </c>
      <c r="D1279" s="8">
        <v>41619</v>
      </c>
      <c r="F1279" s="8">
        <v>41619</v>
      </c>
      <c r="G1279" s="8">
        <v>41619</v>
      </c>
      <c r="Y1279" s="8"/>
    </row>
    <row r="1280" spans="1:25" x14ac:dyDescent="0.25">
      <c r="A1280" t="str">
        <f>"13-0639"</f>
        <v>13-0639</v>
      </c>
      <c r="D1280" s="8">
        <v>41619</v>
      </c>
      <c r="F1280" s="8">
        <v>41619</v>
      </c>
      <c r="G1280" s="8">
        <v>41619</v>
      </c>
      <c r="Y1280" s="8"/>
    </row>
    <row r="1281" spans="1:25" x14ac:dyDescent="0.25">
      <c r="A1281" t="str">
        <f>"13-0640"</f>
        <v>13-0640</v>
      </c>
      <c r="D1281" s="8">
        <v>41619</v>
      </c>
      <c r="F1281" s="8">
        <v>41619</v>
      </c>
      <c r="G1281" s="8">
        <v>41619</v>
      </c>
      <c r="Y1281" s="8"/>
    </row>
    <row r="1282" spans="1:25" x14ac:dyDescent="0.25">
      <c r="A1282" t="str">
        <f>"13-0641"</f>
        <v>13-0641</v>
      </c>
      <c r="D1282" s="8">
        <v>41619</v>
      </c>
      <c r="F1282" s="8">
        <v>41620</v>
      </c>
      <c r="G1282" s="8">
        <v>41600</v>
      </c>
      <c r="Y1282" s="8"/>
    </row>
    <row r="1283" spans="1:25" x14ac:dyDescent="0.25">
      <c r="A1283" t="str">
        <f>"13-0642"</f>
        <v>13-0642</v>
      </c>
      <c r="D1283" s="8">
        <v>41619</v>
      </c>
      <c r="F1283" s="8">
        <v>41619</v>
      </c>
      <c r="G1283" s="8">
        <v>41619</v>
      </c>
      <c r="Y1283" s="8"/>
    </row>
    <row r="1284" spans="1:25" x14ac:dyDescent="0.25">
      <c r="A1284" t="str">
        <f>"13-0215C"</f>
        <v>13-0215C</v>
      </c>
      <c r="D1284" s="8">
        <v>41618</v>
      </c>
      <c r="F1284" s="8">
        <v>41618</v>
      </c>
      <c r="G1284" s="8">
        <v>41618</v>
      </c>
      <c r="Y1284" s="8"/>
    </row>
    <row r="1285" spans="1:25" x14ac:dyDescent="0.25">
      <c r="A1285" t="str">
        <f>"13-0622B"</f>
        <v>13-0622B</v>
      </c>
      <c r="D1285" s="8">
        <v>41618</v>
      </c>
      <c r="F1285" s="8">
        <v>41618</v>
      </c>
      <c r="G1285" s="8">
        <v>41618</v>
      </c>
      <c r="Y1285" s="8"/>
    </row>
    <row r="1286" spans="1:25" x14ac:dyDescent="0.25">
      <c r="A1286" t="str">
        <f>"13-0635"</f>
        <v>13-0635</v>
      </c>
      <c r="D1286" s="8">
        <v>41618</v>
      </c>
      <c r="F1286" s="8">
        <v>41618</v>
      </c>
      <c r="G1286" s="8">
        <v>41557</v>
      </c>
      <c r="Y1286" s="8"/>
    </row>
    <row r="1287" spans="1:25" x14ac:dyDescent="0.25">
      <c r="A1287" t="str">
        <f>"13-0636"</f>
        <v>13-0636</v>
      </c>
      <c r="D1287" s="8">
        <v>41618</v>
      </c>
      <c r="F1287" s="8">
        <v>41618</v>
      </c>
      <c r="G1287" s="8">
        <v>41593</v>
      </c>
      <c r="Y1287" s="8"/>
    </row>
    <row r="1288" spans="1:25" x14ac:dyDescent="0.25">
      <c r="A1288" t="str">
        <f>"13-0633"</f>
        <v>13-0633</v>
      </c>
      <c r="D1288" s="8">
        <v>41617</v>
      </c>
      <c r="F1288" s="8">
        <v>41617</v>
      </c>
      <c r="G1288" s="8">
        <v>41617</v>
      </c>
      <c r="Y1288" s="8"/>
    </row>
    <row r="1289" spans="1:25" x14ac:dyDescent="0.25">
      <c r="A1289" t="str">
        <f>"13-0634"</f>
        <v>13-0634</v>
      </c>
      <c r="D1289" s="8">
        <v>41617</v>
      </c>
      <c r="F1289" s="8">
        <v>41617</v>
      </c>
      <c r="G1289" s="8">
        <v>41617</v>
      </c>
      <c r="Y1289" s="8"/>
    </row>
    <row r="1290" spans="1:25" x14ac:dyDescent="0.25">
      <c r="A1290" t="str">
        <f>"13-0332B"</f>
        <v>13-0332B</v>
      </c>
      <c r="D1290" s="8">
        <v>41614</v>
      </c>
      <c r="F1290" s="8">
        <v>41614</v>
      </c>
      <c r="G1290" s="8">
        <v>41614</v>
      </c>
      <c r="Y1290" s="8"/>
    </row>
    <row r="1291" spans="1:25" x14ac:dyDescent="0.25">
      <c r="A1291" t="str">
        <f>"13-0632"</f>
        <v>13-0632</v>
      </c>
      <c r="D1291" s="8">
        <v>41614</v>
      </c>
      <c r="F1291" s="8">
        <v>41614</v>
      </c>
      <c r="G1291" s="8">
        <v>41614</v>
      </c>
      <c r="Y1291" s="8"/>
    </row>
    <row r="1292" spans="1:25" x14ac:dyDescent="0.25">
      <c r="A1292" t="str">
        <f>"13-0610B"</f>
        <v>13-0610B</v>
      </c>
      <c r="D1292" s="8">
        <v>41612</v>
      </c>
      <c r="F1292" s="8">
        <v>41613</v>
      </c>
      <c r="G1292" s="8">
        <v>41612</v>
      </c>
      <c r="Y1292" s="8"/>
    </row>
    <row r="1293" spans="1:25" x14ac:dyDescent="0.25">
      <c r="A1293" t="str">
        <f>"13-0631"</f>
        <v>13-0631</v>
      </c>
      <c r="D1293" s="8">
        <v>41612</v>
      </c>
      <c r="F1293" s="8">
        <v>41612</v>
      </c>
      <c r="G1293" s="8">
        <v>41612</v>
      </c>
      <c r="Y1293" s="8"/>
    </row>
    <row r="1294" spans="1:25" x14ac:dyDescent="0.25">
      <c r="A1294" t="str">
        <f>"13-0626"</f>
        <v>13-0626</v>
      </c>
      <c r="D1294" s="8">
        <v>41611</v>
      </c>
      <c r="F1294" s="8">
        <v>41612</v>
      </c>
      <c r="G1294" s="8">
        <v>41611</v>
      </c>
      <c r="Y1294" s="8"/>
    </row>
    <row r="1295" spans="1:25" x14ac:dyDescent="0.25">
      <c r="A1295" t="str">
        <f>"13-0627"</f>
        <v>13-0627</v>
      </c>
      <c r="D1295" s="8">
        <v>41611</v>
      </c>
      <c r="F1295" s="8">
        <v>41614</v>
      </c>
      <c r="G1295" s="8">
        <v>41611</v>
      </c>
      <c r="Y1295" s="8"/>
    </row>
    <row r="1296" spans="1:25" x14ac:dyDescent="0.25">
      <c r="A1296" t="str">
        <f>"13-0628"</f>
        <v>13-0628</v>
      </c>
      <c r="D1296" s="8">
        <v>41611</v>
      </c>
      <c r="F1296" s="8">
        <v>41611</v>
      </c>
      <c r="G1296" s="8">
        <v>41611</v>
      </c>
      <c r="Y1296" s="8"/>
    </row>
    <row r="1297" spans="1:25" x14ac:dyDescent="0.25">
      <c r="A1297" t="str">
        <f>"13-0629"</f>
        <v>13-0629</v>
      </c>
      <c r="D1297" s="8">
        <v>41611</v>
      </c>
      <c r="F1297" s="8">
        <v>41611</v>
      </c>
      <c r="G1297" s="8">
        <v>41611</v>
      </c>
      <c r="Y1297" s="8"/>
    </row>
    <row r="1298" spans="1:25" x14ac:dyDescent="0.25">
      <c r="A1298" t="str">
        <f>"13-0630"</f>
        <v>13-0630</v>
      </c>
      <c r="D1298" s="8">
        <v>41611</v>
      </c>
      <c r="F1298" s="8">
        <v>41612</v>
      </c>
      <c r="G1298" s="8">
        <v>41612</v>
      </c>
      <c r="Y1298" s="8"/>
    </row>
    <row r="1299" spans="1:25" x14ac:dyDescent="0.25">
      <c r="A1299" t="str">
        <f>"13-0490C"</f>
        <v>13-0490C</v>
      </c>
      <c r="D1299" s="8">
        <v>41610</v>
      </c>
      <c r="F1299" s="8">
        <v>41610</v>
      </c>
      <c r="G1299" s="8">
        <v>41610</v>
      </c>
      <c r="Y1299" s="8"/>
    </row>
    <row r="1300" spans="1:25" x14ac:dyDescent="0.25">
      <c r="A1300" t="str">
        <f>"13-0625"</f>
        <v>13-0625</v>
      </c>
      <c r="D1300" s="8">
        <v>41610</v>
      </c>
      <c r="F1300" s="8">
        <v>41610</v>
      </c>
      <c r="G1300" s="8">
        <v>41610</v>
      </c>
      <c r="Y1300" s="8"/>
    </row>
    <row r="1301" spans="1:25" x14ac:dyDescent="0.25">
      <c r="A1301" t="str">
        <f>"13-0622"</f>
        <v>13-0622</v>
      </c>
      <c r="D1301" s="8">
        <v>41607</v>
      </c>
      <c r="F1301" s="8">
        <v>41607</v>
      </c>
      <c r="G1301" s="8">
        <v>41607</v>
      </c>
      <c r="Y1301" s="8"/>
    </row>
    <row r="1302" spans="1:25" x14ac:dyDescent="0.25">
      <c r="A1302" t="str">
        <f>"13-0623"</f>
        <v>13-0623</v>
      </c>
      <c r="D1302" s="8">
        <v>41607</v>
      </c>
      <c r="F1302" s="8">
        <v>41607</v>
      </c>
      <c r="G1302" s="8">
        <v>41607</v>
      </c>
      <c r="Y1302" s="8"/>
    </row>
    <row r="1303" spans="1:25" x14ac:dyDescent="0.25">
      <c r="A1303" t="str">
        <f>"13-0624"</f>
        <v>13-0624</v>
      </c>
      <c r="D1303" s="8">
        <v>41607</v>
      </c>
      <c r="F1303" s="8">
        <v>41607</v>
      </c>
      <c r="G1303" s="8">
        <v>41607</v>
      </c>
      <c r="Y1303" s="8"/>
    </row>
    <row r="1304" spans="1:25" x14ac:dyDescent="0.25">
      <c r="A1304" t="str">
        <f>"13-0215B"</f>
        <v>13-0215B</v>
      </c>
      <c r="D1304" s="8">
        <v>41606</v>
      </c>
      <c r="F1304" s="8">
        <v>41606</v>
      </c>
      <c r="G1304" s="8">
        <v>41606</v>
      </c>
      <c r="Y1304" s="8"/>
    </row>
    <row r="1305" spans="1:25" x14ac:dyDescent="0.25">
      <c r="A1305" t="str">
        <f>"13-0619"</f>
        <v>13-0619</v>
      </c>
      <c r="D1305" s="8">
        <v>41606</v>
      </c>
      <c r="F1305" s="8">
        <v>41606</v>
      </c>
      <c r="G1305" s="8">
        <v>41606</v>
      </c>
      <c r="Y1305" s="8"/>
    </row>
    <row r="1306" spans="1:25" x14ac:dyDescent="0.25">
      <c r="A1306" t="str">
        <f>"13-0620"</f>
        <v>13-0620</v>
      </c>
      <c r="D1306" s="8">
        <v>41606</v>
      </c>
      <c r="F1306" s="8">
        <v>41606</v>
      </c>
      <c r="G1306" s="8">
        <v>41606</v>
      </c>
      <c r="Y1306" s="8"/>
    </row>
    <row r="1307" spans="1:25" x14ac:dyDescent="0.25">
      <c r="A1307" t="str">
        <f>"13-0621"</f>
        <v>13-0621</v>
      </c>
      <c r="D1307" s="8">
        <v>41606</v>
      </c>
      <c r="F1307" s="8">
        <v>41606</v>
      </c>
      <c r="G1307" s="8">
        <v>41606</v>
      </c>
      <c r="Y1307" s="8"/>
    </row>
    <row r="1308" spans="1:25" x14ac:dyDescent="0.25">
      <c r="A1308" t="str">
        <f>"13-0613"</f>
        <v>13-0613</v>
      </c>
      <c r="D1308" s="8">
        <v>41605</v>
      </c>
      <c r="F1308" s="8">
        <v>41605</v>
      </c>
      <c r="G1308" s="8">
        <v>41605</v>
      </c>
      <c r="Y1308" s="8"/>
    </row>
    <row r="1309" spans="1:25" x14ac:dyDescent="0.25">
      <c r="A1309" t="str">
        <f>"13-0614"</f>
        <v>13-0614</v>
      </c>
      <c r="D1309" s="8">
        <v>41605</v>
      </c>
      <c r="F1309" s="8">
        <v>41605</v>
      </c>
      <c r="G1309" s="8">
        <v>41605</v>
      </c>
      <c r="Y1309" s="8"/>
    </row>
    <row r="1310" spans="1:25" x14ac:dyDescent="0.25">
      <c r="A1310" t="str">
        <f>"13-0615"</f>
        <v>13-0615</v>
      </c>
      <c r="D1310" s="8">
        <v>41605</v>
      </c>
      <c r="F1310" s="8">
        <v>41605</v>
      </c>
      <c r="G1310" s="8">
        <v>41605</v>
      </c>
      <c r="Y1310" s="8"/>
    </row>
    <row r="1311" spans="1:25" x14ac:dyDescent="0.25">
      <c r="A1311" t="str">
        <f>"13-0616"</f>
        <v>13-0616</v>
      </c>
      <c r="D1311" s="8">
        <v>41605</v>
      </c>
      <c r="F1311" s="8">
        <v>41605</v>
      </c>
      <c r="G1311" s="8">
        <v>41605</v>
      </c>
      <c r="Y1311" s="8"/>
    </row>
    <row r="1312" spans="1:25" x14ac:dyDescent="0.25">
      <c r="A1312" t="str">
        <f>"13-0617"</f>
        <v>13-0617</v>
      </c>
      <c r="D1312" s="8">
        <v>41605</v>
      </c>
      <c r="F1312" s="8">
        <v>41605</v>
      </c>
      <c r="G1312" s="8">
        <v>41605</v>
      </c>
      <c r="Y1312" s="8"/>
    </row>
    <row r="1313" spans="1:25" x14ac:dyDescent="0.25">
      <c r="A1313" t="str">
        <f>"13-0618"</f>
        <v>13-0618</v>
      </c>
      <c r="D1313" s="8">
        <v>41605</v>
      </c>
      <c r="F1313" s="8">
        <v>41605</v>
      </c>
      <c r="G1313" s="8">
        <v>41605</v>
      </c>
      <c r="Y1313" s="8"/>
    </row>
    <row r="1314" spans="1:25" x14ac:dyDescent="0.25">
      <c r="A1314" t="str">
        <f>"13-0590B"</f>
        <v>13-0590B</v>
      </c>
      <c r="D1314" s="8">
        <v>41604</v>
      </c>
      <c r="F1314" s="8">
        <v>41604</v>
      </c>
      <c r="G1314" s="8">
        <v>41604</v>
      </c>
      <c r="Y1314" s="8"/>
    </row>
    <row r="1315" spans="1:25" x14ac:dyDescent="0.25">
      <c r="A1315" t="str">
        <f>"13-0610"</f>
        <v>13-0610</v>
      </c>
      <c r="D1315" s="8">
        <v>41604</v>
      </c>
      <c r="F1315" s="8">
        <v>41611</v>
      </c>
      <c r="G1315" s="8">
        <v>41628</v>
      </c>
      <c r="Y1315" s="8"/>
    </row>
    <row r="1316" spans="1:25" x14ac:dyDescent="0.25">
      <c r="A1316" t="str">
        <f>"13-0611"</f>
        <v>13-0611</v>
      </c>
      <c r="D1316" s="8">
        <v>41604</v>
      </c>
      <c r="F1316" s="8">
        <v>41604</v>
      </c>
      <c r="G1316" s="8">
        <v>41604</v>
      </c>
      <c r="Y1316" s="8"/>
    </row>
    <row r="1317" spans="1:25" x14ac:dyDescent="0.25">
      <c r="A1317" t="str">
        <f>"13-0612"</f>
        <v>13-0612</v>
      </c>
      <c r="D1317" s="8">
        <v>41604</v>
      </c>
      <c r="F1317" s="8">
        <v>41604</v>
      </c>
      <c r="G1317" s="8">
        <v>41604</v>
      </c>
      <c r="Y1317" s="8"/>
    </row>
    <row r="1318" spans="1:25" x14ac:dyDescent="0.25">
      <c r="A1318" t="str">
        <f>"13-0608"</f>
        <v>13-0608</v>
      </c>
      <c r="D1318" s="8">
        <v>41603</v>
      </c>
      <c r="F1318" s="8">
        <v>41603</v>
      </c>
      <c r="G1318" s="8">
        <v>41603</v>
      </c>
      <c r="Y1318" s="8"/>
    </row>
    <row r="1319" spans="1:25" x14ac:dyDescent="0.25">
      <c r="A1319" t="str">
        <f>"13-0609"</f>
        <v>13-0609</v>
      </c>
      <c r="D1319" s="8">
        <v>41603</v>
      </c>
      <c r="F1319" s="8">
        <v>41611</v>
      </c>
      <c r="G1319" s="8">
        <v>41603</v>
      </c>
      <c r="Y1319" s="8"/>
    </row>
    <row r="1320" spans="1:25" x14ac:dyDescent="0.25">
      <c r="A1320" t="str">
        <f>"13-0595B"</f>
        <v>13-0595B</v>
      </c>
      <c r="D1320" s="8">
        <v>41600</v>
      </c>
      <c r="F1320" s="8">
        <v>41600</v>
      </c>
      <c r="G1320" s="8">
        <v>41600</v>
      </c>
      <c r="Y1320" s="8"/>
    </row>
    <row r="1321" spans="1:25" x14ac:dyDescent="0.25">
      <c r="A1321" t="str">
        <f>"13-0604"</f>
        <v>13-0604</v>
      </c>
      <c r="D1321" s="8">
        <v>41600</v>
      </c>
      <c r="F1321" s="8">
        <v>41600</v>
      </c>
      <c r="G1321" s="8">
        <v>41600</v>
      </c>
      <c r="Y1321" s="8"/>
    </row>
    <row r="1322" spans="1:25" x14ac:dyDescent="0.25">
      <c r="A1322" t="str">
        <f>"13-0605"</f>
        <v>13-0605</v>
      </c>
      <c r="D1322" s="8">
        <v>41600</v>
      </c>
      <c r="F1322" s="8">
        <v>41600</v>
      </c>
      <c r="G1322" s="8">
        <v>41600</v>
      </c>
      <c r="Y1322" s="8"/>
    </row>
    <row r="1323" spans="1:25" x14ac:dyDescent="0.25">
      <c r="A1323" t="str">
        <f>"13-0606"</f>
        <v>13-0606</v>
      </c>
      <c r="D1323" s="8">
        <v>41600</v>
      </c>
      <c r="F1323" s="8">
        <v>41600</v>
      </c>
      <c r="G1323" s="8">
        <v>41600</v>
      </c>
      <c r="Y1323" s="8"/>
    </row>
    <row r="1324" spans="1:25" x14ac:dyDescent="0.25">
      <c r="A1324" t="str">
        <f>"13-0607"</f>
        <v>13-0607</v>
      </c>
      <c r="D1324" s="8">
        <v>41600</v>
      </c>
      <c r="F1324" s="8">
        <v>41600</v>
      </c>
      <c r="G1324" s="8">
        <v>41600</v>
      </c>
      <c r="Y1324" s="8"/>
    </row>
    <row r="1325" spans="1:25" x14ac:dyDescent="0.25">
      <c r="A1325" t="str">
        <f>"13-0597"</f>
        <v>13-0597</v>
      </c>
      <c r="D1325" s="8">
        <v>41599</v>
      </c>
      <c r="F1325" s="8">
        <v>41599</v>
      </c>
      <c r="G1325" s="8">
        <v>41599</v>
      </c>
      <c r="Y1325" s="8"/>
    </row>
    <row r="1326" spans="1:25" x14ac:dyDescent="0.25">
      <c r="A1326" t="str">
        <f>"13-0598"</f>
        <v>13-0598</v>
      </c>
      <c r="D1326" s="8">
        <v>41599</v>
      </c>
      <c r="F1326" s="8">
        <v>41599</v>
      </c>
      <c r="G1326" s="8">
        <v>41599</v>
      </c>
      <c r="Y1326" s="8"/>
    </row>
    <row r="1327" spans="1:25" x14ac:dyDescent="0.25">
      <c r="A1327" t="str">
        <f>"13-0599"</f>
        <v>13-0599</v>
      </c>
      <c r="D1327" s="8">
        <v>41599</v>
      </c>
      <c r="F1327" s="8">
        <v>41599</v>
      </c>
      <c r="G1327" s="8">
        <v>41599</v>
      </c>
      <c r="Y1327" s="8"/>
    </row>
    <row r="1328" spans="1:25" x14ac:dyDescent="0.25">
      <c r="A1328" t="str">
        <f>"13-0600"</f>
        <v>13-0600</v>
      </c>
      <c r="D1328" s="8">
        <v>41599</v>
      </c>
      <c r="F1328" s="8">
        <v>41599</v>
      </c>
      <c r="G1328" s="8">
        <v>41599</v>
      </c>
      <c r="Y1328" s="8"/>
    </row>
    <row r="1329" spans="1:25" x14ac:dyDescent="0.25">
      <c r="A1329" t="str">
        <f>"13-0601"</f>
        <v>13-0601</v>
      </c>
      <c r="D1329" s="8">
        <v>41599</v>
      </c>
      <c r="F1329" s="8">
        <v>41604</v>
      </c>
      <c r="G1329" s="8">
        <v>41599</v>
      </c>
      <c r="Y1329" s="8"/>
    </row>
    <row r="1330" spans="1:25" x14ac:dyDescent="0.25">
      <c r="A1330" t="str">
        <f>"13-0602"</f>
        <v>13-0602</v>
      </c>
      <c r="D1330" s="8">
        <v>41599</v>
      </c>
      <c r="F1330" s="8">
        <v>41599</v>
      </c>
      <c r="G1330" s="8">
        <v>41599</v>
      </c>
      <c r="Y1330" s="8"/>
    </row>
    <row r="1331" spans="1:25" x14ac:dyDescent="0.25">
      <c r="A1331" t="str">
        <f>"13-0603"</f>
        <v>13-0603</v>
      </c>
      <c r="D1331" s="8">
        <v>41599</v>
      </c>
      <c r="F1331" s="8">
        <v>41599</v>
      </c>
      <c r="G1331" s="8">
        <v>41599</v>
      </c>
      <c r="Y1331" s="8"/>
    </row>
    <row r="1332" spans="1:25" x14ac:dyDescent="0.25">
      <c r="A1332" t="str">
        <f>"13-0595"</f>
        <v>13-0595</v>
      </c>
      <c r="D1332" s="8">
        <v>41597</v>
      </c>
      <c r="F1332" s="8">
        <v>41652</v>
      </c>
      <c r="G1332" s="8">
        <v>41597</v>
      </c>
      <c r="Y1332" s="8"/>
    </row>
    <row r="1333" spans="1:25" x14ac:dyDescent="0.25">
      <c r="A1333" t="str">
        <f>"13-0596"</f>
        <v>13-0596</v>
      </c>
      <c r="D1333" s="8">
        <v>41597</v>
      </c>
      <c r="F1333" s="8">
        <v>41599</v>
      </c>
      <c r="G1333" s="8">
        <v>41596</v>
      </c>
      <c r="Y1333" s="8"/>
    </row>
    <row r="1334" spans="1:25" x14ac:dyDescent="0.25">
      <c r="A1334" t="str">
        <f>"13-0590"</f>
        <v>13-0590</v>
      </c>
      <c r="D1334" s="8">
        <v>41596</v>
      </c>
      <c r="F1334" s="8">
        <v>41596</v>
      </c>
      <c r="G1334" s="8">
        <v>41596</v>
      </c>
      <c r="Y1334" s="8"/>
    </row>
    <row r="1335" spans="1:25" x14ac:dyDescent="0.25">
      <c r="A1335" t="str">
        <f>"13-0591"</f>
        <v>13-0591</v>
      </c>
      <c r="D1335" s="8">
        <v>41596</v>
      </c>
      <c r="F1335" s="8">
        <v>41596</v>
      </c>
      <c r="G1335" s="8">
        <v>41596</v>
      </c>
      <c r="Y1335" s="8"/>
    </row>
    <row r="1336" spans="1:25" x14ac:dyDescent="0.25">
      <c r="A1336" t="str">
        <f>"13-0592"</f>
        <v>13-0592</v>
      </c>
      <c r="D1336" s="8">
        <v>41596</v>
      </c>
      <c r="F1336" s="8">
        <v>41899</v>
      </c>
      <c r="G1336" s="8">
        <v>41596</v>
      </c>
      <c r="Y1336" s="8"/>
    </row>
    <row r="1337" spans="1:25" x14ac:dyDescent="0.25">
      <c r="A1337" t="str">
        <f>"13-0593"</f>
        <v>13-0593</v>
      </c>
      <c r="D1337" s="8">
        <v>41596</v>
      </c>
      <c r="F1337" s="8">
        <v>41596</v>
      </c>
      <c r="G1337" s="8">
        <v>41596</v>
      </c>
      <c r="Y1337" s="8"/>
    </row>
    <row r="1338" spans="1:25" x14ac:dyDescent="0.25">
      <c r="A1338" t="str">
        <f>"13-0594"</f>
        <v>13-0594</v>
      </c>
      <c r="D1338" s="8">
        <v>41596</v>
      </c>
      <c r="F1338" s="8">
        <v>41596</v>
      </c>
      <c r="G1338" s="8">
        <v>41596</v>
      </c>
      <c r="Y1338" s="8"/>
    </row>
    <row r="1339" spans="1:25" x14ac:dyDescent="0.25">
      <c r="A1339" t="str">
        <f>"13-0582B"</f>
        <v>13-0582B</v>
      </c>
      <c r="D1339" s="8">
        <v>41593</v>
      </c>
      <c r="F1339" s="8">
        <v>41593</v>
      </c>
      <c r="G1339" s="8">
        <v>41593</v>
      </c>
      <c r="Y1339" s="8"/>
    </row>
    <row r="1340" spans="1:25" x14ac:dyDescent="0.25">
      <c r="A1340" t="str">
        <f>"13-0587B"</f>
        <v>13-0587B</v>
      </c>
      <c r="D1340" s="8">
        <v>41593</v>
      </c>
      <c r="F1340" s="8">
        <v>41681</v>
      </c>
      <c r="G1340" s="8">
        <v>41593</v>
      </c>
      <c r="Y1340" s="8"/>
    </row>
    <row r="1341" spans="1:25" x14ac:dyDescent="0.25">
      <c r="A1341" t="str">
        <f>"13-0589"</f>
        <v>13-0589</v>
      </c>
      <c r="D1341" s="8">
        <v>41593</v>
      </c>
      <c r="F1341" s="8">
        <v>41593</v>
      </c>
      <c r="G1341" s="8">
        <v>41593</v>
      </c>
      <c r="Y1341" s="8"/>
    </row>
    <row r="1342" spans="1:25" x14ac:dyDescent="0.25">
      <c r="A1342" t="str">
        <f>"13-0586"</f>
        <v>13-0586</v>
      </c>
      <c r="D1342" s="8">
        <v>41592</v>
      </c>
      <c r="F1342" s="8">
        <v>41592</v>
      </c>
      <c r="G1342" s="8">
        <v>41592</v>
      </c>
      <c r="Y1342" s="8"/>
    </row>
    <row r="1343" spans="1:25" x14ac:dyDescent="0.25">
      <c r="A1343" t="str">
        <f>"13-0587"</f>
        <v>13-0587</v>
      </c>
      <c r="D1343" s="8">
        <v>41592</v>
      </c>
      <c r="F1343" s="8">
        <v>41592</v>
      </c>
      <c r="G1343" s="8">
        <v>41592</v>
      </c>
      <c r="Y1343" s="8"/>
    </row>
    <row r="1344" spans="1:25" x14ac:dyDescent="0.25">
      <c r="A1344" t="str">
        <f>"13-0588"</f>
        <v>13-0588</v>
      </c>
      <c r="D1344" s="8">
        <v>41592</v>
      </c>
      <c r="F1344" s="8">
        <v>41592</v>
      </c>
      <c r="G1344" s="8">
        <v>41592</v>
      </c>
      <c r="Y1344" s="8"/>
    </row>
    <row r="1345" spans="1:25" x14ac:dyDescent="0.25">
      <c r="A1345" t="str">
        <f>"13-0585"</f>
        <v>13-0585</v>
      </c>
      <c r="D1345" s="8">
        <v>41591</v>
      </c>
      <c r="F1345" s="8">
        <v>41591</v>
      </c>
      <c r="G1345" s="8">
        <v>41591</v>
      </c>
      <c r="Y1345" s="8"/>
    </row>
    <row r="1346" spans="1:25" x14ac:dyDescent="0.25">
      <c r="A1346" t="str">
        <f>"13-0560B"</f>
        <v>13-0560B</v>
      </c>
      <c r="D1346" s="8">
        <v>41590</v>
      </c>
      <c r="F1346" s="8">
        <v>41590</v>
      </c>
      <c r="G1346" s="8">
        <v>41590</v>
      </c>
      <c r="Y1346" s="8"/>
    </row>
    <row r="1347" spans="1:25" x14ac:dyDescent="0.25">
      <c r="A1347" t="str">
        <f>"13-0581"</f>
        <v>13-0581</v>
      </c>
      <c r="D1347" s="8">
        <v>41590</v>
      </c>
      <c r="F1347" s="8">
        <v>41590</v>
      </c>
      <c r="G1347" s="8">
        <v>41590</v>
      </c>
      <c r="Y1347" s="8"/>
    </row>
    <row r="1348" spans="1:25" x14ac:dyDescent="0.25">
      <c r="A1348" t="str">
        <f>"13-0582"</f>
        <v>13-0582</v>
      </c>
      <c r="D1348" s="8">
        <v>41590</v>
      </c>
      <c r="F1348" s="8">
        <v>41590</v>
      </c>
      <c r="G1348" s="8">
        <v>41590</v>
      </c>
      <c r="Y1348" s="8"/>
    </row>
    <row r="1349" spans="1:25" x14ac:dyDescent="0.25">
      <c r="A1349" t="str">
        <f>"13-0583"</f>
        <v>13-0583</v>
      </c>
      <c r="D1349" s="8">
        <v>41590</v>
      </c>
      <c r="F1349" s="8">
        <v>41590</v>
      </c>
      <c r="G1349" s="8">
        <v>41590</v>
      </c>
      <c r="Y1349" s="8"/>
    </row>
    <row r="1350" spans="1:25" x14ac:dyDescent="0.25">
      <c r="A1350" t="str">
        <f>"13-0584"</f>
        <v>13-0584</v>
      </c>
      <c r="D1350" s="8">
        <v>41590</v>
      </c>
      <c r="F1350" s="8">
        <v>41590</v>
      </c>
      <c r="G1350" s="8">
        <v>41590</v>
      </c>
      <c r="Y1350" s="8"/>
    </row>
    <row r="1351" spans="1:25" x14ac:dyDescent="0.25">
      <c r="A1351" t="str">
        <f>"13-0579"</f>
        <v>13-0579</v>
      </c>
      <c r="D1351" s="8">
        <v>41586</v>
      </c>
      <c r="F1351" s="8">
        <v>41586</v>
      </c>
      <c r="G1351" s="8">
        <v>41586</v>
      </c>
      <c r="Y1351" s="8"/>
    </row>
    <row r="1352" spans="1:25" x14ac:dyDescent="0.25">
      <c r="A1352" t="str">
        <f>"13-0580"</f>
        <v>13-0580</v>
      </c>
      <c r="D1352" s="8">
        <v>41586</v>
      </c>
      <c r="F1352" s="8">
        <v>41586</v>
      </c>
      <c r="G1352" s="8">
        <v>41586</v>
      </c>
      <c r="Y1352" s="8"/>
    </row>
    <row r="1353" spans="1:25" x14ac:dyDescent="0.25">
      <c r="A1353" t="str">
        <f>"13-0577"</f>
        <v>13-0577</v>
      </c>
      <c r="D1353" s="8">
        <v>41585</v>
      </c>
      <c r="F1353" s="8">
        <v>41585</v>
      </c>
      <c r="G1353" s="8">
        <v>41585</v>
      </c>
      <c r="Y1353" s="8"/>
    </row>
    <row r="1354" spans="1:25" x14ac:dyDescent="0.25">
      <c r="A1354" t="str">
        <f>"13-0578"</f>
        <v>13-0578</v>
      </c>
      <c r="D1354" s="8">
        <v>41585</v>
      </c>
      <c r="F1354" s="8">
        <v>41590</v>
      </c>
      <c r="G1354" s="8">
        <v>41585</v>
      </c>
      <c r="Y1354" s="8"/>
    </row>
    <row r="1355" spans="1:25" x14ac:dyDescent="0.25">
      <c r="A1355" t="str">
        <f>"13-0495B"</f>
        <v>13-0495B</v>
      </c>
      <c r="D1355" s="8">
        <v>41584</v>
      </c>
      <c r="F1355" s="8">
        <v>41584</v>
      </c>
      <c r="G1355" s="8">
        <v>41584</v>
      </c>
      <c r="Y1355" s="8"/>
    </row>
    <row r="1356" spans="1:25" x14ac:dyDescent="0.25">
      <c r="A1356" t="str">
        <f>"13-0573"</f>
        <v>13-0573</v>
      </c>
      <c r="D1356" s="8">
        <v>41584</v>
      </c>
      <c r="F1356" s="8">
        <v>41584</v>
      </c>
      <c r="G1356" s="8">
        <v>41584</v>
      </c>
      <c r="Y1356" s="8"/>
    </row>
    <row r="1357" spans="1:25" x14ac:dyDescent="0.25">
      <c r="A1357" t="str">
        <f>"13-0574"</f>
        <v>13-0574</v>
      </c>
      <c r="D1357" s="8">
        <v>41584</v>
      </c>
      <c r="F1357" s="8">
        <v>41584</v>
      </c>
      <c r="G1357" s="8">
        <v>41584</v>
      </c>
      <c r="Y1357" s="8"/>
    </row>
    <row r="1358" spans="1:25" x14ac:dyDescent="0.25">
      <c r="A1358" t="str">
        <f>"13-0575"</f>
        <v>13-0575</v>
      </c>
      <c r="D1358" s="8">
        <v>41584</v>
      </c>
      <c r="F1358" s="8">
        <v>41584</v>
      </c>
      <c r="G1358" s="8">
        <v>41584</v>
      </c>
      <c r="Y1358" s="8"/>
    </row>
    <row r="1359" spans="1:25" x14ac:dyDescent="0.25">
      <c r="A1359" t="str">
        <f>"13-0576"</f>
        <v>13-0576</v>
      </c>
      <c r="D1359" s="8">
        <v>41584</v>
      </c>
      <c r="F1359" s="8">
        <v>41584</v>
      </c>
      <c r="G1359" s="8">
        <v>41584</v>
      </c>
      <c r="Y1359" s="8"/>
    </row>
    <row r="1360" spans="1:25" x14ac:dyDescent="0.25">
      <c r="A1360" t="str">
        <f>"13-0568"</f>
        <v>13-0568</v>
      </c>
      <c r="D1360" s="8">
        <v>41583</v>
      </c>
      <c r="F1360" s="8">
        <v>41583</v>
      </c>
      <c r="G1360" s="8">
        <v>41583</v>
      </c>
      <c r="Y1360" s="8"/>
    </row>
    <row r="1361" spans="1:25" x14ac:dyDescent="0.25">
      <c r="A1361" t="str">
        <f>"13-0569"</f>
        <v>13-0569</v>
      </c>
      <c r="D1361" s="8">
        <v>41583</v>
      </c>
      <c r="F1361" s="8">
        <v>41583</v>
      </c>
      <c r="G1361" s="8">
        <v>41583</v>
      </c>
      <c r="Y1361" s="8"/>
    </row>
    <row r="1362" spans="1:25" x14ac:dyDescent="0.25">
      <c r="A1362" t="str">
        <f>"13-0570"</f>
        <v>13-0570</v>
      </c>
      <c r="D1362" s="8">
        <v>41583</v>
      </c>
      <c r="F1362" s="8">
        <v>41583</v>
      </c>
      <c r="G1362" s="8">
        <v>41583</v>
      </c>
      <c r="Y1362" s="8"/>
    </row>
    <row r="1363" spans="1:25" x14ac:dyDescent="0.25">
      <c r="A1363" t="str">
        <f>"13-0571"</f>
        <v>13-0571</v>
      </c>
      <c r="D1363" s="8">
        <v>41583</v>
      </c>
      <c r="F1363" s="8">
        <v>41583</v>
      </c>
      <c r="G1363" s="8">
        <v>41583</v>
      </c>
      <c r="Y1363" s="8"/>
    </row>
    <row r="1364" spans="1:25" x14ac:dyDescent="0.25">
      <c r="A1364" t="str">
        <f>"13-0572"</f>
        <v>13-0572</v>
      </c>
      <c r="D1364" s="8">
        <v>41583</v>
      </c>
      <c r="F1364" s="8">
        <v>41583</v>
      </c>
      <c r="G1364" s="8">
        <v>41583</v>
      </c>
      <c r="Y1364" s="8"/>
    </row>
    <row r="1365" spans="1:25" x14ac:dyDescent="0.25">
      <c r="A1365" t="str">
        <f>"13-0513B"</f>
        <v>13-0513B</v>
      </c>
      <c r="D1365" s="8">
        <v>41582</v>
      </c>
      <c r="F1365" s="8">
        <v>41582</v>
      </c>
      <c r="G1365" s="8">
        <v>41582</v>
      </c>
      <c r="Y1365" s="8"/>
    </row>
    <row r="1366" spans="1:25" x14ac:dyDescent="0.25">
      <c r="A1366" t="str">
        <f>"13-0563"</f>
        <v>13-0563</v>
      </c>
      <c r="D1366" s="8">
        <v>41582</v>
      </c>
      <c r="F1366" s="8">
        <v>41582</v>
      </c>
      <c r="G1366" s="8">
        <v>41582</v>
      </c>
      <c r="Y1366" s="8"/>
    </row>
    <row r="1367" spans="1:25" x14ac:dyDescent="0.25">
      <c r="A1367" t="str">
        <f>"13-0564"</f>
        <v>13-0564</v>
      </c>
      <c r="D1367" s="8">
        <v>41582</v>
      </c>
      <c r="F1367" s="8">
        <v>41582</v>
      </c>
      <c r="G1367" s="8">
        <v>41582</v>
      </c>
      <c r="Y1367" s="8"/>
    </row>
    <row r="1368" spans="1:25" x14ac:dyDescent="0.25">
      <c r="A1368" t="str">
        <f>"13-0565"</f>
        <v>13-0565</v>
      </c>
      <c r="D1368" s="8">
        <v>41582</v>
      </c>
      <c r="F1368" s="8">
        <v>41582</v>
      </c>
      <c r="G1368" s="8">
        <v>41582</v>
      </c>
      <c r="Y1368" s="8"/>
    </row>
    <row r="1369" spans="1:25" x14ac:dyDescent="0.25">
      <c r="A1369" t="str">
        <f>"13-0566"</f>
        <v>13-0566</v>
      </c>
      <c r="D1369" s="8">
        <v>41582</v>
      </c>
      <c r="F1369" s="8">
        <v>41582</v>
      </c>
      <c r="G1369" s="8">
        <v>41582</v>
      </c>
      <c r="Y1369" s="8"/>
    </row>
    <row r="1370" spans="1:25" x14ac:dyDescent="0.25">
      <c r="A1370" t="str">
        <f>"13-0567"</f>
        <v>13-0567</v>
      </c>
      <c r="D1370" s="8">
        <v>41582</v>
      </c>
      <c r="F1370" s="8">
        <v>41582</v>
      </c>
      <c r="G1370" s="8">
        <v>41582</v>
      </c>
      <c r="Y1370" s="8"/>
    </row>
    <row r="1371" spans="1:25" x14ac:dyDescent="0.25">
      <c r="A1371" t="str">
        <f>"13-0375B"</f>
        <v>13-0375B</v>
      </c>
      <c r="D1371" s="8">
        <v>41578</v>
      </c>
      <c r="F1371" s="8">
        <v>41578</v>
      </c>
      <c r="G1371" s="8">
        <v>41578</v>
      </c>
      <c r="Y1371" s="8"/>
    </row>
    <row r="1372" spans="1:25" x14ac:dyDescent="0.25">
      <c r="A1372" t="str">
        <f>"13-0561"</f>
        <v>13-0561</v>
      </c>
      <c r="D1372" s="8">
        <v>41578</v>
      </c>
      <c r="F1372" s="8">
        <v>41578</v>
      </c>
      <c r="G1372" s="8">
        <v>41578</v>
      </c>
      <c r="Y1372" s="8"/>
    </row>
    <row r="1373" spans="1:25" x14ac:dyDescent="0.25">
      <c r="A1373" t="str">
        <f>"13-0562"</f>
        <v>13-0562</v>
      </c>
      <c r="D1373" s="8">
        <v>41578</v>
      </c>
      <c r="F1373" s="8">
        <v>41578</v>
      </c>
      <c r="G1373" s="8">
        <v>41578</v>
      </c>
      <c r="Y1373" s="8"/>
    </row>
    <row r="1374" spans="1:25" x14ac:dyDescent="0.25">
      <c r="A1374" t="str">
        <f>"13-0560"</f>
        <v>13-0560</v>
      </c>
      <c r="D1374" s="8">
        <v>41577</v>
      </c>
      <c r="F1374" s="8">
        <v>41577</v>
      </c>
      <c r="G1374" s="8">
        <v>41577</v>
      </c>
      <c r="Y1374" s="8"/>
    </row>
    <row r="1375" spans="1:25" x14ac:dyDescent="0.25">
      <c r="A1375" t="str">
        <f>"13-0559"</f>
        <v>13-0559</v>
      </c>
      <c r="D1375" s="8">
        <v>41576</v>
      </c>
      <c r="F1375" s="8">
        <v>41576</v>
      </c>
      <c r="G1375" s="8">
        <v>41576</v>
      </c>
      <c r="Y1375" s="8"/>
    </row>
    <row r="1376" spans="1:25" x14ac:dyDescent="0.25">
      <c r="A1376" t="str">
        <f>"13-0558"</f>
        <v>13-0558</v>
      </c>
      <c r="D1376" s="8">
        <v>41572</v>
      </c>
      <c r="F1376" s="8">
        <v>41575</v>
      </c>
      <c r="G1376" s="8">
        <v>41572</v>
      </c>
      <c r="Y1376" s="8"/>
    </row>
    <row r="1377" spans="1:25" x14ac:dyDescent="0.25">
      <c r="A1377" t="str">
        <f>"13-0556"</f>
        <v>13-0556</v>
      </c>
      <c r="D1377" s="8">
        <v>41571</v>
      </c>
      <c r="F1377" s="8">
        <v>41571</v>
      </c>
      <c r="G1377" s="8">
        <v>41571</v>
      </c>
      <c r="Y1377" s="8"/>
    </row>
    <row r="1378" spans="1:25" x14ac:dyDescent="0.25">
      <c r="A1378" t="str">
        <f>"13-0557"</f>
        <v>13-0557</v>
      </c>
      <c r="D1378" s="8">
        <v>41571</v>
      </c>
      <c r="F1378" s="8">
        <v>41571</v>
      </c>
      <c r="G1378" s="8">
        <v>41571</v>
      </c>
      <c r="Y1378" s="8"/>
    </row>
    <row r="1379" spans="1:25" x14ac:dyDescent="0.25">
      <c r="A1379" t="str">
        <f>"13-0555"</f>
        <v>13-0555</v>
      </c>
      <c r="D1379" s="8">
        <v>41570</v>
      </c>
      <c r="F1379" s="8">
        <v>41570</v>
      </c>
      <c r="G1379" s="8">
        <v>41570</v>
      </c>
      <c r="Y1379" s="8"/>
    </row>
    <row r="1380" spans="1:25" x14ac:dyDescent="0.25">
      <c r="A1380" t="str">
        <f>"13-0553"</f>
        <v>13-0553</v>
      </c>
      <c r="D1380" s="8">
        <v>41569</v>
      </c>
      <c r="F1380" s="8">
        <v>41569</v>
      </c>
      <c r="G1380" s="8">
        <v>41569</v>
      </c>
      <c r="Y1380" s="8"/>
    </row>
    <row r="1381" spans="1:25" x14ac:dyDescent="0.25">
      <c r="A1381" t="str">
        <f>"13-0554"</f>
        <v>13-0554</v>
      </c>
      <c r="D1381" s="8">
        <v>41569</v>
      </c>
      <c r="F1381" s="8">
        <v>41569</v>
      </c>
      <c r="G1381" s="8">
        <v>41569</v>
      </c>
      <c r="Y1381" s="8"/>
    </row>
    <row r="1382" spans="1:25" x14ac:dyDescent="0.25">
      <c r="A1382" t="str">
        <f>"13-0549"</f>
        <v>13-0549</v>
      </c>
      <c r="D1382" s="8">
        <v>41568</v>
      </c>
      <c r="F1382" s="8">
        <v>41568</v>
      </c>
      <c r="G1382" s="8">
        <v>41568</v>
      </c>
      <c r="Y1382" s="8"/>
    </row>
    <row r="1383" spans="1:25" x14ac:dyDescent="0.25">
      <c r="A1383" t="str">
        <f>"13-0550"</f>
        <v>13-0550</v>
      </c>
      <c r="D1383" s="8">
        <v>41568</v>
      </c>
      <c r="F1383" s="8">
        <v>41568</v>
      </c>
      <c r="G1383" s="8">
        <v>41568</v>
      </c>
      <c r="Y1383" s="8"/>
    </row>
    <row r="1384" spans="1:25" x14ac:dyDescent="0.25">
      <c r="A1384" t="str">
        <f>"13-0551"</f>
        <v>13-0551</v>
      </c>
      <c r="D1384" s="8">
        <v>41568</v>
      </c>
      <c r="F1384" s="8">
        <v>41568</v>
      </c>
      <c r="G1384" s="8">
        <v>41568</v>
      </c>
      <c r="Y1384" s="8"/>
    </row>
    <row r="1385" spans="1:25" x14ac:dyDescent="0.25">
      <c r="A1385" t="str">
        <f>"13-0552"</f>
        <v>13-0552</v>
      </c>
      <c r="D1385" s="8">
        <v>41568</v>
      </c>
      <c r="F1385" s="8">
        <v>41568</v>
      </c>
      <c r="G1385" s="8">
        <v>41568</v>
      </c>
      <c r="Y1385" s="8"/>
    </row>
    <row r="1386" spans="1:25" x14ac:dyDescent="0.25">
      <c r="A1386" t="str">
        <f>"13-0543"</f>
        <v>13-0543</v>
      </c>
      <c r="D1386" s="8">
        <v>41565</v>
      </c>
      <c r="F1386" s="8">
        <v>41568</v>
      </c>
      <c r="G1386" s="8">
        <v>41565</v>
      </c>
      <c r="Y1386" s="8"/>
    </row>
    <row r="1387" spans="1:25" x14ac:dyDescent="0.25">
      <c r="A1387" t="str">
        <f>"13-0544"</f>
        <v>13-0544</v>
      </c>
      <c r="D1387" s="8">
        <v>41565</v>
      </c>
      <c r="F1387" s="8">
        <v>41565</v>
      </c>
      <c r="G1387" s="8">
        <v>41565</v>
      </c>
      <c r="Y1387" s="8"/>
    </row>
    <row r="1388" spans="1:25" x14ac:dyDescent="0.25">
      <c r="A1388" t="str">
        <f>"13-0545"</f>
        <v>13-0545</v>
      </c>
      <c r="D1388" s="8">
        <v>41565</v>
      </c>
      <c r="F1388" s="8">
        <v>41565</v>
      </c>
      <c r="G1388" s="8">
        <v>41565</v>
      </c>
      <c r="Y1388" s="8"/>
    </row>
    <row r="1389" spans="1:25" x14ac:dyDescent="0.25">
      <c r="A1389" t="str">
        <f>"13-0546"</f>
        <v>13-0546</v>
      </c>
      <c r="D1389" s="8">
        <v>41565</v>
      </c>
      <c r="F1389" s="8">
        <v>41565</v>
      </c>
      <c r="G1389" s="8">
        <v>41565</v>
      </c>
      <c r="Y1389" s="8"/>
    </row>
    <row r="1390" spans="1:25" x14ac:dyDescent="0.25">
      <c r="A1390" t="str">
        <f>"13-0547"</f>
        <v>13-0547</v>
      </c>
      <c r="D1390" s="8">
        <v>41565</v>
      </c>
      <c r="F1390" s="8">
        <v>41565</v>
      </c>
      <c r="G1390" s="8">
        <v>41565</v>
      </c>
      <c r="Y1390" s="8"/>
    </row>
    <row r="1391" spans="1:25" x14ac:dyDescent="0.25">
      <c r="A1391" t="str">
        <f>"13-0548"</f>
        <v>13-0548</v>
      </c>
      <c r="D1391" s="8">
        <v>41565</v>
      </c>
      <c r="F1391" s="8">
        <v>41565</v>
      </c>
      <c r="G1391" s="8">
        <v>41565</v>
      </c>
      <c r="Y1391" s="8"/>
    </row>
    <row r="1392" spans="1:25" x14ac:dyDescent="0.25">
      <c r="A1392" t="str">
        <f>"13-0542"</f>
        <v>13-0542</v>
      </c>
      <c r="D1392" s="8">
        <v>41564</v>
      </c>
      <c r="F1392" s="8">
        <v>41564</v>
      </c>
      <c r="G1392" s="8">
        <v>41564</v>
      </c>
      <c r="Y1392" s="8"/>
    </row>
    <row r="1393" spans="1:25" x14ac:dyDescent="0.25">
      <c r="A1393" t="str">
        <f>"13-0539"</f>
        <v>13-0539</v>
      </c>
      <c r="D1393" s="8">
        <v>41563</v>
      </c>
      <c r="F1393" s="8">
        <v>41563</v>
      </c>
      <c r="G1393" s="8">
        <v>41563</v>
      </c>
      <c r="Y1393" s="8"/>
    </row>
    <row r="1394" spans="1:25" x14ac:dyDescent="0.25">
      <c r="A1394" t="str">
        <f>"13-0540"</f>
        <v>13-0540</v>
      </c>
      <c r="D1394" s="8">
        <v>41563</v>
      </c>
      <c r="F1394" s="8">
        <v>41563</v>
      </c>
      <c r="G1394" s="8">
        <v>41563</v>
      </c>
      <c r="Y1394" s="8"/>
    </row>
    <row r="1395" spans="1:25" x14ac:dyDescent="0.25">
      <c r="A1395" t="str">
        <f>"13-0541"</f>
        <v>13-0541</v>
      </c>
      <c r="D1395" s="8">
        <v>41563</v>
      </c>
      <c r="F1395" s="8">
        <v>41563</v>
      </c>
      <c r="G1395" s="8">
        <v>41563</v>
      </c>
      <c r="Y1395" s="8"/>
    </row>
    <row r="1396" spans="1:25" x14ac:dyDescent="0.25">
      <c r="A1396" t="str">
        <f>"13-0536"</f>
        <v>13-0536</v>
      </c>
      <c r="D1396" s="8">
        <v>41562</v>
      </c>
      <c r="F1396" s="8">
        <v>41562</v>
      </c>
      <c r="G1396" s="8">
        <v>41562</v>
      </c>
      <c r="Y1396" s="8"/>
    </row>
    <row r="1397" spans="1:25" x14ac:dyDescent="0.25">
      <c r="A1397" t="str">
        <f>"13-0537"</f>
        <v>13-0537</v>
      </c>
      <c r="D1397" s="8">
        <v>41562</v>
      </c>
      <c r="F1397" s="8">
        <v>41562</v>
      </c>
      <c r="G1397" s="8">
        <v>41562</v>
      </c>
      <c r="Y1397" s="8"/>
    </row>
    <row r="1398" spans="1:25" x14ac:dyDescent="0.25">
      <c r="A1398" t="str">
        <f>"13-0538"</f>
        <v>13-0538</v>
      </c>
      <c r="D1398" s="8">
        <v>41562</v>
      </c>
      <c r="F1398" s="8">
        <v>41562</v>
      </c>
      <c r="G1398" s="8">
        <v>41562</v>
      </c>
      <c r="Y1398" s="8"/>
    </row>
    <row r="1399" spans="1:25" x14ac:dyDescent="0.25">
      <c r="A1399" t="str">
        <f>"13-0534"</f>
        <v>13-0534</v>
      </c>
      <c r="D1399" s="8">
        <v>41561</v>
      </c>
      <c r="F1399" s="8">
        <v>41561</v>
      </c>
      <c r="G1399" s="8">
        <v>41561</v>
      </c>
      <c r="Y1399" s="8"/>
    </row>
    <row r="1400" spans="1:25" x14ac:dyDescent="0.25">
      <c r="A1400" t="str">
        <f>"13-0535"</f>
        <v>13-0535</v>
      </c>
      <c r="D1400" s="8">
        <v>41561</v>
      </c>
      <c r="F1400" s="8">
        <v>41561</v>
      </c>
      <c r="G1400" s="8">
        <v>41561</v>
      </c>
      <c r="Y1400" s="8"/>
    </row>
    <row r="1401" spans="1:25" x14ac:dyDescent="0.25">
      <c r="A1401" t="str">
        <f>"13-0533"</f>
        <v>13-0533</v>
      </c>
      <c r="D1401" s="8">
        <v>41558</v>
      </c>
      <c r="F1401" s="8">
        <v>41558</v>
      </c>
      <c r="G1401" s="8">
        <v>41558</v>
      </c>
      <c r="Y1401" s="8"/>
    </row>
    <row r="1402" spans="1:25" x14ac:dyDescent="0.25">
      <c r="A1402" t="str">
        <f>"13-0524"</f>
        <v>13-0524</v>
      </c>
      <c r="D1402" s="8">
        <v>41557</v>
      </c>
      <c r="F1402" s="8">
        <v>41557</v>
      </c>
      <c r="G1402" s="8">
        <v>41557</v>
      </c>
      <c r="Y1402" s="8"/>
    </row>
    <row r="1403" spans="1:25" x14ac:dyDescent="0.25">
      <c r="A1403" t="str">
        <f>"13-0525"</f>
        <v>13-0525</v>
      </c>
      <c r="D1403" s="8">
        <v>41557</v>
      </c>
      <c r="F1403" s="8">
        <v>41557</v>
      </c>
      <c r="G1403" s="8">
        <v>41557</v>
      </c>
      <c r="Y1403" s="8"/>
    </row>
    <row r="1404" spans="1:25" x14ac:dyDescent="0.25">
      <c r="A1404" t="str">
        <f>"13-0526"</f>
        <v>13-0526</v>
      </c>
      <c r="D1404" s="8">
        <v>41557</v>
      </c>
      <c r="F1404" s="8">
        <v>41557</v>
      </c>
      <c r="G1404" s="8">
        <v>41557</v>
      </c>
      <c r="Y1404" s="8"/>
    </row>
    <row r="1405" spans="1:25" x14ac:dyDescent="0.25">
      <c r="A1405" t="str">
        <f>"13-0527"</f>
        <v>13-0527</v>
      </c>
      <c r="D1405" s="8">
        <v>41557</v>
      </c>
      <c r="F1405" s="8">
        <v>41557</v>
      </c>
      <c r="G1405" s="8">
        <v>41557</v>
      </c>
      <c r="Y1405" s="8"/>
    </row>
    <row r="1406" spans="1:25" x14ac:dyDescent="0.25">
      <c r="A1406" t="str">
        <f>"13-0528"</f>
        <v>13-0528</v>
      </c>
      <c r="D1406" s="8">
        <v>41557</v>
      </c>
      <c r="F1406" s="8">
        <v>41557</v>
      </c>
      <c r="G1406" s="8">
        <v>41557</v>
      </c>
      <c r="Y1406" s="8"/>
    </row>
    <row r="1407" spans="1:25" x14ac:dyDescent="0.25">
      <c r="A1407" t="str">
        <f>"13-0529"</f>
        <v>13-0529</v>
      </c>
      <c r="D1407" s="8">
        <v>41557</v>
      </c>
      <c r="F1407" s="8">
        <v>41557</v>
      </c>
      <c r="G1407" s="8">
        <v>41557</v>
      </c>
      <c r="Y1407" s="8"/>
    </row>
    <row r="1408" spans="1:25" x14ac:dyDescent="0.25">
      <c r="A1408" t="str">
        <f>"13-0530"</f>
        <v>13-0530</v>
      </c>
      <c r="D1408" s="8">
        <v>41557</v>
      </c>
      <c r="F1408" s="8">
        <v>41676</v>
      </c>
      <c r="G1408" s="8">
        <v>41557</v>
      </c>
      <c r="Y1408" s="8"/>
    </row>
    <row r="1409" spans="1:25" x14ac:dyDescent="0.25">
      <c r="A1409" t="str">
        <f>"13-0531"</f>
        <v>13-0531</v>
      </c>
      <c r="D1409" s="8">
        <v>41557</v>
      </c>
      <c r="F1409" s="8">
        <v>41557</v>
      </c>
      <c r="G1409" s="8">
        <v>41557</v>
      </c>
      <c r="Y1409" s="8"/>
    </row>
    <row r="1410" spans="1:25" x14ac:dyDescent="0.25">
      <c r="A1410" t="str">
        <f>"13-0532"</f>
        <v>13-0532</v>
      </c>
      <c r="D1410" s="8">
        <v>41557</v>
      </c>
      <c r="F1410" s="8">
        <v>41557</v>
      </c>
      <c r="G1410" s="8">
        <v>41557</v>
      </c>
      <c r="Y1410" s="8"/>
    </row>
    <row r="1411" spans="1:25" x14ac:dyDescent="0.25">
      <c r="A1411" t="str">
        <f>"13-0518"</f>
        <v>13-0518</v>
      </c>
      <c r="D1411" s="8">
        <v>41556</v>
      </c>
      <c r="F1411" s="8">
        <v>41556</v>
      </c>
      <c r="G1411" s="8">
        <v>41556</v>
      </c>
      <c r="Y1411" s="8"/>
    </row>
    <row r="1412" spans="1:25" x14ac:dyDescent="0.25">
      <c r="A1412" t="str">
        <f>"13-0519"</f>
        <v>13-0519</v>
      </c>
      <c r="D1412" s="8">
        <v>41556</v>
      </c>
      <c r="F1412" s="8">
        <v>41556</v>
      </c>
      <c r="G1412" s="8">
        <v>41556</v>
      </c>
      <c r="Y1412" s="8"/>
    </row>
    <row r="1413" spans="1:25" x14ac:dyDescent="0.25">
      <c r="A1413" t="str">
        <f>"13-0520"</f>
        <v>13-0520</v>
      </c>
      <c r="D1413" s="8">
        <v>41556</v>
      </c>
      <c r="F1413" s="8">
        <v>41556</v>
      </c>
      <c r="G1413" s="8">
        <v>41556</v>
      </c>
      <c r="Y1413" s="8"/>
    </row>
    <row r="1414" spans="1:25" x14ac:dyDescent="0.25">
      <c r="A1414" t="str">
        <f>"13-0521"</f>
        <v>13-0521</v>
      </c>
      <c r="D1414" s="8">
        <v>41556</v>
      </c>
      <c r="F1414" s="8">
        <v>41556</v>
      </c>
      <c r="G1414" s="8">
        <v>41556</v>
      </c>
      <c r="Y1414" s="8"/>
    </row>
    <row r="1415" spans="1:25" x14ac:dyDescent="0.25">
      <c r="A1415" t="str">
        <f>"13-0522"</f>
        <v>13-0522</v>
      </c>
      <c r="D1415" s="8">
        <v>41556</v>
      </c>
      <c r="F1415" s="8">
        <v>41603</v>
      </c>
      <c r="G1415" s="8">
        <v>41556</v>
      </c>
      <c r="Y1415" s="8"/>
    </row>
    <row r="1416" spans="1:25" x14ac:dyDescent="0.25">
      <c r="A1416" t="str">
        <f>"13-0523"</f>
        <v>13-0523</v>
      </c>
      <c r="D1416" s="8">
        <v>41556</v>
      </c>
      <c r="F1416" s="8">
        <v>41556</v>
      </c>
      <c r="G1416" s="8">
        <v>41556</v>
      </c>
      <c r="Y1416" s="8"/>
    </row>
    <row r="1417" spans="1:25" x14ac:dyDescent="0.25">
      <c r="A1417" t="str">
        <f>"13-0500C"</f>
        <v>13-0500C</v>
      </c>
      <c r="D1417" s="8">
        <v>41555</v>
      </c>
      <c r="F1417" s="8">
        <v>41555</v>
      </c>
      <c r="G1417" s="8">
        <v>41555</v>
      </c>
      <c r="Y1417" s="8"/>
    </row>
    <row r="1418" spans="1:25" x14ac:dyDescent="0.25">
      <c r="A1418" t="str">
        <f>"13-0503B"</f>
        <v>13-0503B</v>
      </c>
      <c r="D1418" s="8">
        <v>41555</v>
      </c>
      <c r="F1418" s="8">
        <v>41555</v>
      </c>
      <c r="G1418" s="8">
        <v>41555</v>
      </c>
      <c r="Y1418" s="8"/>
    </row>
    <row r="1419" spans="1:25" x14ac:dyDescent="0.25">
      <c r="A1419" t="str">
        <f>"13-0515"</f>
        <v>13-0515</v>
      </c>
      <c r="D1419" s="8">
        <v>41555</v>
      </c>
      <c r="F1419" s="8">
        <v>41555</v>
      </c>
      <c r="G1419" s="8">
        <v>41555</v>
      </c>
      <c r="Y1419" s="8"/>
    </row>
    <row r="1420" spans="1:25" x14ac:dyDescent="0.25">
      <c r="A1420" t="str">
        <f>"13-0516"</f>
        <v>13-0516</v>
      </c>
      <c r="D1420" s="8">
        <v>41555</v>
      </c>
      <c r="F1420" s="8">
        <v>41555</v>
      </c>
      <c r="G1420" s="8">
        <v>41555</v>
      </c>
      <c r="Y1420" s="8"/>
    </row>
    <row r="1421" spans="1:25" x14ac:dyDescent="0.25">
      <c r="A1421" t="str">
        <f>"13-0517"</f>
        <v>13-0517</v>
      </c>
      <c r="D1421" s="8">
        <v>41555</v>
      </c>
      <c r="F1421" s="8">
        <v>41555</v>
      </c>
      <c r="G1421" s="8">
        <v>41555</v>
      </c>
      <c r="Y1421" s="8"/>
    </row>
    <row r="1422" spans="1:25" x14ac:dyDescent="0.25">
      <c r="A1422" t="str">
        <f>"13-0513"</f>
        <v>13-0513</v>
      </c>
      <c r="D1422" s="8">
        <v>41554</v>
      </c>
      <c r="F1422" s="8">
        <v>41555</v>
      </c>
      <c r="G1422" s="8">
        <v>41554</v>
      </c>
      <c r="Y1422" s="8"/>
    </row>
    <row r="1423" spans="1:25" x14ac:dyDescent="0.25">
      <c r="A1423" t="str">
        <f>"13-0514"</f>
        <v>13-0514</v>
      </c>
      <c r="D1423" s="8">
        <v>41554</v>
      </c>
      <c r="F1423" s="8">
        <v>41554</v>
      </c>
      <c r="G1423" s="8">
        <v>41554</v>
      </c>
      <c r="Y1423" s="8"/>
    </row>
    <row r="1424" spans="1:25" x14ac:dyDescent="0.25">
      <c r="A1424" t="str">
        <f>"13-0509"</f>
        <v>13-0509</v>
      </c>
      <c r="D1424" s="8">
        <v>41551</v>
      </c>
      <c r="F1424" s="8">
        <v>41551</v>
      </c>
      <c r="G1424" s="8">
        <v>41551</v>
      </c>
      <c r="Y1424" s="8"/>
    </row>
    <row r="1425" spans="1:25" x14ac:dyDescent="0.25">
      <c r="A1425" t="str">
        <f>"13-0510"</f>
        <v>13-0510</v>
      </c>
      <c r="D1425" s="8">
        <v>41551</v>
      </c>
      <c r="F1425" s="8">
        <v>41551</v>
      </c>
      <c r="G1425" s="8">
        <v>41551</v>
      </c>
      <c r="Y1425" s="8"/>
    </row>
    <row r="1426" spans="1:25" x14ac:dyDescent="0.25">
      <c r="A1426" t="str">
        <f>"13-0511"</f>
        <v>13-0511</v>
      </c>
      <c r="D1426" s="8">
        <v>41551</v>
      </c>
      <c r="F1426" s="8">
        <v>41551</v>
      </c>
      <c r="G1426" s="8">
        <v>41551</v>
      </c>
      <c r="Y1426" s="8"/>
    </row>
    <row r="1427" spans="1:25" x14ac:dyDescent="0.25">
      <c r="A1427" t="str">
        <f>"13-0512"</f>
        <v>13-0512</v>
      </c>
      <c r="D1427" s="8">
        <v>41551</v>
      </c>
      <c r="F1427" s="8">
        <v>41554</v>
      </c>
      <c r="G1427" s="8">
        <v>41551</v>
      </c>
      <c r="Y1427" s="8"/>
    </row>
    <row r="1428" spans="1:25" x14ac:dyDescent="0.25">
      <c r="A1428" t="str">
        <f>"13-0501"</f>
        <v>13-0501</v>
      </c>
      <c r="D1428" s="8">
        <v>41550</v>
      </c>
      <c r="F1428" s="8">
        <v>41550</v>
      </c>
      <c r="G1428" s="8">
        <v>41550</v>
      </c>
      <c r="Y1428" s="8"/>
    </row>
    <row r="1429" spans="1:25" x14ac:dyDescent="0.25">
      <c r="A1429" t="str">
        <f>"13-0502"</f>
        <v>13-0502</v>
      </c>
      <c r="D1429" s="8">
        <v>41550</v>
      </c>
      <c r="F1429" s="8">
        <v>41554</v>
      </c>
      <c r="G1429" s="8">
        <v>41554</v>
      </c>
      <c r="Y1429" s="8"/>
    </row>
    <row r="1430" spans="1:25" x14ac:dyDescent="0.25">
      <c r="A1430" t="str">
        <f>"13-0503"</f>
        <v>13-0503</v>
      </c>
      <c r="D1430" s="8">
        <v>41550</v>
      </c>
      <c r="F1430" s="8">
        <v>41550</v>
      </c>
      <c r="G1430" s="8">
        <v>41550</v>
      </c>
      <c r="Y1430" s="8"/>
    </row>
    <row r="1431" spans="1:25" x14ac:dyDescent="0.25">
      <c r="A1431" t="str">
        <f>"13-0504"</f>
        <v>13-0504</v>
      </c>
      <c r="D1431" s="8">
        <v>41550</v>
      </c>
      <c r="F1431" s="8">
        <v>41554</v>
      </c>
      <c r="G1431" s="8">
        <v>41550</v>
      </c>
      <c r="Y1431" s="8"/>
    </row>
    <row r="1432" spans="1:25" x14ac:dyDescent="0.25">
      <c r="A1432" t="str">
        <f>"13-0505"</f>
        <v>13-0505</v>
      </c>
      <c r="D1432" s="8">
        <v>41550</v>
      </c>
      <c r="F1432" s="8">
        <v>41551</v>
      </c>
      <c r="G1432" s="8">
        <v>41550</v>
      </c>
      <c r="Y1432" s="8"/>
    </row>
    <row r="1433" spans="1:25" x14ac:dyDescent="0.25">
      <c r="A1433" t="str">
        <f>"13-0506"</f>
        <v>13-0506</v>
      </c>
      <c r="D1433" s="8">
        <v>41550</v>
      </c>
      <c r="F1433" s="8">
        <v>41551</v>
      </c>
      <c r="G1433" s="8">
        <v>41550</v>
      </c>
      <c r="Y1433" s="8"/>
    </row>
    <row r="1434" spans="1:25" x14ac:dyDescent="0.25">
      <c r="A1434" t="str">
        <f>"13-0507"</f>
        <v>13-0507</v>
      </c>
      <c r="D1434" s="8">
        <v>41550</v>
      </c>
      <c r="F1434" s="8">
        <v>41550</v>
      </c>
      <c r="G1434" s="8">
        <v>41550</v>
      </c>
      <c r="Y1434" s="8"/>
    </row>
    <row r="1435" spans="1:25" x14ac:dyDescent="0.25">
      <c r="A1435" t="str">
        <f>"13-0508"</f>
        <v>13-0508</v>
      </c>
      <c r="D1435" s="8">
        <v>41550</v>
      </c>
      <c r="F1435" s="8">
        <v>41550</v>
      </c>
      <c r="G1435" s="8">
        <v>41550</v>
      </c>
      <c r="Y1435" s="8"/>
    </row>
    <row r="1436" spans="1:25" x14ac:dyDescent="0.25">
      <c r="A1436" t="str">
        <f>"13-0500"</f>
        <v>13-0500</v>
      </c>
      <c r="D1436" s="8">
        <v>41549</v>
      </c>
      <c r="F1436" s="8">
        <v>41549</v>
      </c>
      <c r="G1436" s="8">
        <v>41550</v>
      </c>
      <c r="Y1436" s="8"/>
    </row>
    <row r="1437" spans="1:25" x14ac:dyDescent="0.25">
      <c r="A1437" t="str">
        <f>"13-0500B"</f>
        <v>13-0500B</v>
      </c>
      <c r="D1437" s="8">
        <v>41549</v>
      </c>
      <c r="F1437" s="8">
        <v>41550</v>
      </c>
      <c r="G1437" s="8">
        <v>41549</v>
      </c>
      <c r="Y1437" s="8"/>
    </row>
    <row r="1438" spans="1:25" x14ac:dyDescent="0.25">
      <c r="A1438" t="str">
        <f>"13-0460B"</f>
        <v>13-0460B</v>
      </c>
      <c r="D1438" s="8">
        <v>41548</v>
      </c>
      <c r="F1438" s="8">
        <v>41548</v>
      </c>
      <c r="G1438" s="8">
        <v>41548</v>
      </c>
      <c r="Y1438" s="8"/>
    </row>
    <row r="1439" spans="1:25" x14ac:dyDescent="0.25">
      <c r="A1439" t="str">
        <f>"13-0497"</f>
        <v>13-0497</v>
      </c>
      <c r="D1439" s="8">
        <v>41548</v>
      </c>
      <c r="F1439" s="8">
        <v>41548</v>
      </c>
      <c r="G1439" s="8">
        <v>41548</v>
      </c>
      <c r="Y1439" s="8"/>
    </row>
    <row r="1440" spans="1:25" x14ac:dyDescent="0.25">
      <c r="A1440" t="str">
        <f>"13-0498"</f>
        <v>13-0498</v>
      </c>
      <c r="D1440" s="8">
        <v>41548</v>
      </c>
      <c r="F1440" s="8">
        <v>41548</v>
      </c>
      <c r="G1440" s="8">
        <v>41548</v>
      </c>
      <c r="Y1440" s="8"/>
    </row>
    <row r="1441" spans="1:25" x14ac:dyDescent="0.25">
      <c r="A1441" t="str">
        <f>"13-0499"</f>
        <v>13-0499</v>
      </c>
      <c r="D1441" s="8">
        <v>41548</v>
      </c>
      <c r="F1441" s="8">
        <v>41548</v>
      </c>
      <c r="G1441" s="8">
        <v>41548</v>
      </c>
      <c r="Y1441" s="8"/>
    </row>
    <row r="1442" spans="1:25" x14ac:dyDescent="0.25">
      <c r="A1442" t="str">
        <f>"13-0493"</f>
        <v>13-0493</v>
      </c>
      <c r="D1442" s="8">
        <v>41547</v>
      </c>
      <c r="F1442" s="8">
        <v>41547</v>
      </c>
      <c r="G1442" s="8">
        <v>41547</v>
      </c>
      <c r="Y1442" s="8"/>
    </row>
    <row r="1443" spans="1:25" x14ac:dyDescent="0.25">
      <c r="A1443" t="str">
        <f>"13-0494"</f>
        <v>13-0494</v>
      </c>
      <c r="D1443" s="8">
        <v>41547</v>
      </c>
      <c r="F1443" s="8">
        <v>41547</v>
      </c>
      <c r="G1443" s="8">
        <v>41544</v>
      </c>
      <c r="Y1443" s="8"/>
    </row>
    <row r="1444" spans="1:25" x14ac:dyDescent="0.25">
      <c r="A1444" t="str">
        <f>"13-0495"</f>
        <v>13-0495</v>
      </c>
      <c r="D1444" s="8">
        <v>41547</v>
      </c>
      <c r="F1444" s="8">
        <v>41547</v>
      </c>
      <c r="G1444" s="8">
        <v>41547</v>
      </c>
      <c r="Y1444" s="8"/>
    </row>
    <row r="1445" spans="1:25" x14ac:dyDescent="0.25">
      <c r="A1445" t="str">
        <f>"13-0496"</f>
        <v>13-0496</v>
      </c>
      <c r="D1445" s="8">
        <v>41547</v>
      </c>
      <c r="F1445" s="8">
        <v>41550</v>
      </c>
      <c r="G1445" s="8">
        <v>41547</v>
      </c>
      <c r="Y1445" s="8"/>
    </row>
    <row r="1446" spans="1:25" x14ac:dyDescent="0.25">
      <c r="A1446" t="str">
        <f>"13-0492"</f>
        <v>13-0492</v>
      </c>
      <c r="D1446" s="8">
        <v>41544</v>
      </c>
      <c r="F1446" s="8">
        <v>41544</v>
      </c>
      <c r="G1446" s="8">
        <v>41544</v>
      </c>
      <c r="Y1446" s="8"/>
    </row>
    <row r="1447" spans="1:25" x14ac:dyDescent="0.25">
      <c r="A1447" t="str">
        <f>"13-0490B"</f>
        <v>13-0490B</v>
      </c>
      <c r="D1447" s="8">
        <v>41543</v>
      </c>
      <c r="F1447" s="8">
        <v>41543</v>
      </c>
      <c r="G1447" s="8">
        <v>41543</v>
      </c>
      <c r="Y1447" s="8"/>
    </row>
    <row r="1448" spans="1:25" x14ac:dyDescent="0.25">
      <c r="A1448" t="str">
        <f>"13-0491"</f>
        <v>13-0491</v>
      </c>
      <c r="D1448" s="8">
        <v>41543</v>
      </c>
      <c r="F1448" s="8">
        <v>41547</v>
      </c>
      <c r="G1448" s="8">
        <v>41543</v>
      </c>
      <c r="Y1448" s="8"/>
    </row>
    <row r="1449" spans="1:25" x14ac:dyDescent="0.25">
      <c r="A1449" t="str">
        <f>"13-0487"</f>
        <v>13-0487</v>
      </c>
      <c r="D1449" s="8">
        <v>41542</v>
      </c>
      <c r="F1449" s="8">
        <v>41542</v>
      </c>
      <c r="G1449" s="8">
        <v>41572</v>
      </c>
      <c r="Y1449" s="8"/>
    </row>
    <row r="1450" spans="1:25" x14ac:dyDescent="0.25">
      <c r="A1450" t="str">
        <f>"13-0488"</f>
        <v>13-0488</v>
      </c>
      <c r="D1450" s="8">
        <v>41542</v>
      </c>
      <c r="F1450" s="8">
        <v>41542</v>
      </c>
      <c r="G1450" s="8">
        <v>41542</v>
      </c>
      <c r="Y1450" s="8"/>
    </row>
    <row r="1451" spans="1:25" x14ac:dyDescent="0.25">
      <c r="A1451" t="str">
        <f>"13-0489"</f>
        <v>13-0489</v>
      </c>
      <c r="D1451" s="8">
        <v>41542</v>
      </c>
      <c r="F1451" s="8">
        <v>41542</v>
      </c>
      <c r="G1451" s="8">
        <v>41542</v>
      </c>
      <c r="Y1451" s="8"/>
    </row>
    <row r="1452" spans="1:25" x14ac:dyDescent="0.25">
      <c r="A1452" t="str">
        <f>"13-0490"</f>
        <v>13-0490</v>
      </c>
      <c r="D1452" s="8">
        <v>41542</v>
      </c>
      <c r="F1452" s="8">
        <v>41543</v>
      </c>
      <c r="G1452" s="8">
        <v>41537</v>
      </c>
      <c r="Y1452" s="8"/>
    </row>
    <row r="1453" spans="1:25" x14ac:dyDescent="0.25">
      <c r="A1453" t="str">
        <f>"13-0486"</f>
        <v>13-0486</v>
      </c>
      <c r="D1453" s="8">
        <v>41541</v>
      </c>
      <c r="F1453" s="8">
        <v>41541</v>
      </c>
      <c r="G1453" s="8">
        <v>41541</v>
      </c>
      <c r="Y1453" s="8"/>
    </row>
    <row r="1454" spans="1:25" x14ac:dyDescent="0.25">
      <c r="A1454" t="str">
        <f>"13-0481"</f>
        <v>13-0481</v>
      </c>
      <c r="D1454" s="8">
        <v>41540</v>
      </c>
      <c r="F1454" s="8">
        <v>41540</v>
      </c>
      <c r="G1454" s="8">
        <v>41540</v>
      </c>
      <c r="Y1454" s="8"/>
    </row>
    <row r="1455" spans="1:25" x14ac:dyDescent="0.25">
      <c r="A1455" t="str">
        <f>"13-0482"</f>
        <v>13-0482</v>
      </c>
      <c r="D1455" s="8">
        <v>41540</v>
      </c>
      <c r="F1455" s="8">
        <v>41540</v>
      </c>
      <c r="G1455" s="8">
        <v>41540</v>
      </c>
      <c r="Y1455" s="8"/>
    </row>
    <row r="1456" spans="1:25" x14ac:dyDescent="0.25">
      <c r="A1456" t="str">
        <f>"13-0483"</f>
        <v>13-0483</v>
      </c>
      <c r="D1456" s="8">
        <v>41540</v>
      </c>
      <c r="F1456" s="8">
        <v>41540</v>
      </c>
      <c r="G1456" s="8">
        <v>41540</v>
      </c>
      <c r="Y1456" s="8"/>
    </row>
    <row r="1457" spans="1:25" x14ac:dyDescent="0.25">
      <c r="A1457" t="str">
        <f>"13-0484"</f>
        <v>13-0484</v>
      </c>
      <c r="D1457" s="8">
        <v>41540</v>
      </c>
      <c r="F1457" s="8">
        <v>41540</v>
      </c>
      <c r="G1457" s="8">
        <v>41540</v>
      </c>
      <c r="Y1457" s="8"/>
    </row>
    <row r="1458" spans="1:25" x14ac:dyDescent="0.25">
      <c r="A1458" t="str">
        <f>"13-0485"</f>
        <v>13-0485</v>
      </c>
      <c r="D1458" s="8">
        <v>41540</v>
      </c>
      <c r="F1458" s="8">
        <v>41540</v>
      </c>
      <c r="G1458" s="8">
        <v>41540</v>
      </c>
      <c r="Y1458" s="8"/>
    </row>
    <row r="1459" spans="1:25" x14ac:dyDescent="0.25">
      <c r="A1459" t="str">
        <f>"13-0479"</f>
        <v>13-0479</v>
      </c>
      <c r="D1459" s="8">
        <v>41537</v>
      </c>
      <c r="F1459" s="8">
        <v>41537</v>
      </c>
      <c r="G1459" s="8">
        <v>41537</v>
      </c>
      <c r="Y1459" s="8"/>
    </row>
    <row r="1460" spans="1:25" x14ac:dyDescent="0.25">
      <c r="A1460" t="str">
        <f>"13-0480"</f>
        <v>13-0480</v>
      </c>
      <c r="D1460" s="8">
        <v>41537</v>
      </c>
      <c r="F1460" s="8">
        <v>41537</v>
      </c>
      <c r="G1460" s="8">
        <v>41537</v>
      </c>
      <c r="Y1460" s="8"/>
    </row>
    <row r="1461" spans="1:25" x14ac:dyDescent="0.25">
      <c r="A1461" t="str">
        <f>"13-0478"</f>
        <v>13-0478</v>
      </c>
      <c r="D1461" s="8">
        <v>41536</v>
      </c>
      <c r="F1461" s="8">
        <v>41536</v>
      </c>
      <c r="G1461" s="8">
        <v>41536</v>
      </c>
      <c r="Y1461" s="8"/>
    </row>
    <row r="1462" spans="1:25" x14ac:dyDescent="0.25">
      <c r="A1462" t="str">
        <f>"13-0462B"</f>
        <v>13-0462B</v>
      </c>
      <c r="D1462" s="8">
        <v>41534</v>
      </c>
      <c r="F1462" s="8">
        <v>41556</v>
      </c>
      <c r="G1462" s="8">
        <v>41537</v>
      </c>
      <c r="Y1462" s="8"/>
    </row>
    <row r="1463" spans="1:25" x14ac:dyDescent="0.25">
      <c r="A1463" t="str">
        <f>"13-0476"</f>
        <v>13-0476</v>
      </c>
      <c r="D1463" s="8">
        <v>41533</v>
      </c>
      <c r="F1463" s="8">
        <v>41533</v>
      </c>
      <c r="G1463" s="8">
        <v>41533</v>
      </c>
      <c r="Y1463" s="8"/>
    </row>
    <row r="1464" spans="1:25" x14ac:dyDescent="0.25">
      <c r="A1464" t="str">
        <f>"13-0477"</f>
        <v>13-0477</v>
      </c>
      <c r="D1464" s="8">
        <v>41533</v>
      </c>
      <c r="F1464" s="8">
        <v>41533</v>
      </c>
      <c r="G1464" s="8">
        <v>41533</v>
      </c>
      <c r="Y1464" s="8"/>
    </row>
    <row r="1465" spans="1:25" x14ac:dyDescent="0.25">
      <c r="A1465" t="str">
        <f>"13-0475"</f>
        <v>13-0475</v>
      </c>
      <c r="D1465" s="8">
        <v>41530</v>
      </c>
      <c r="F1465" s="8">
        <v>41530</v>
      </c>
      <c r="G1465" s="8">
        <v>41530</v>
      </c>
      <c r="Y1465" s="8"/>
    </row>
    <row r="1466" spans="1:25" x14ac:dyDescent="0.25">
      <c r="A1466" t="str">
        <f>"13-0473"</f>
        <v>13-0473</v>
      </c>
      <c r="D1466" s="8">
        <v>41529</v>
      </c>
      <c r="F1466" s="8">
        <v>41529</v>
      </c>
      <c r="G1466" s="8">
        <v>41529</v>
      </c>
      <c r="Y1466" s="8"/>
    </row>
    <row r="1467" spans="1:25" x14ac:dyDescent="0.25">
      <c r="A1467" t="str">
        <f>"13-0474"</f>
        <v>13-0474</v>
      </c>
      <c r="D1467" s="8">
        <v>41529</v>
      </c>
      <c r="F1467" s="8">
        <v>41530</v>
      </c>
      <c r="G1467" s="8">
        <v>41529</v>
      </c>
      <c r="Y1467" s="8"/>
    </row>
    <row r="1468" spans="1:25" x14ac:dyDescent="0.25">
      <c r="A1468" t="str">
        <f>"13-0472"</f>
        <v>13-0472</v>
      </c>
      <c r="D1468" s="8">
        <v>41528</v>
      </c>
      <c r="F1468" s="8">
        <v>41528</v>
      </c>
      <c r="G1468" s="8">
        <v>41528</v>
      </c>
      <c r="Y1468" s="8"/>
    </row>
    <row r="1469" spans="1:25" x14ac:dyDescent="0.25">
      <c r="A1469" t="str">
        <f>"13-0471"</f>
        <v>13-0471</v>
      </c>
      <c r="D1469" s="8">
        <v>41527</v>
      </c>
      <c r="F1469" s="8">
        <v>41527</v>
      </c>
      <c r="G1469" s="8">
        <v>41527</v>
      </c>
      <c r="Y1469" s="8"/>
    </row>
    <row r="1470" spans="1:25" x14ac:dyDescent="0.25">
      <c r="A1470" t="str">
        <f>"13-0426B"</f>
        <v>13-0426B</v>
      </c>
      <c r="D1470" s="8">
        <v>41523</v>
      </c>
      <c r="F1470" s="8">
        <v>41523</v>
      </c>
      <c r="G1470" s="8">
        <v>41523</v>
      </c>
      <c r="Y1470" s="8"/>
    </row>
    <row r="1471" spans="1:25" x14ac:dyDescent="0.25">
      <c r="A1471" t="str">
        <f>"13-0464"</f>
        <v>13-0464</v>
      </c>
      <c r="D1471" s="8">
        <v>41523</v>
      </c>
      <c r="F1471" s="8">
        <v>41523</v>
      </c>
      <c r="G1471" s="8">
        <v>41523</v>
      </c>
      <c r="Y1471" s="8"/>
    </row>
    <row r="1472" spans="1:25" x14ac:dyDescent="0.25">
      <c r="A1472" t="str">
        <f>"13-0465"</f>
        <v>13-0465</v>
      </c>
      <c r="D1472" s="8">
        <v>41523</v>
      </c>
      <c r="F1472" s="8">
        <v>41523</v>
      </c>
      <c r="G1472" s="8">
        <v>41523</v>
      </c>
      <c r="Y1472" s="8"/>
    </row>
    <row r="1473" spans="1:25" x14ac:dyDescent="0.25">
      <c r="A1473" t="str">
        <f>"13-0466"</f>
        <v>13-0466</v>
      </c>
      <c r="D1473" s="8">
        <v>41523</v>
      </c>
      <c r="F1473" s="8">
        <v>41523</v>
      </c>
      <c r="G1473" s="8">
        <v>41523</v>
      </c>
      <c r="Y1473" s="8"/>
    </row>
    <row r="1474" spans="1:25" x14ac:dyDescent="0.25">
      <c r="A1474" t="str">
        <f>"13-0467"</f>
        <v>13-0467</v>
      </c>
      <c r="D1474" s="8">
        <v>41523</v>
      </c>
      <c r="F1474" s="8">
        <v>41523</v>
      </c>
      <c r="G1474" s="8">
        <v>41523</v>
      </c>
      <c r="Y1474" s="8"/>
    </row>
    <row r="1475" spans="1:25" x14ac:dyDescent="0.25">
      <c r="A1475" t="str">
        <f>"13-0468"</f>
        <v>13-0468</v>
      </c>
      <c r="D1475" s="8">
        <v>41523</v>
      </c>
      <c r="F1475" s="8">
        <v>41523</v>
      </c>
      <c r="G1475" s="8">
        <v>41523</v>
      </c>
      <c r="Y1475" s="8"/>
    </row>
    <row r="1476" spans="1:25" x14ac:dyDescent="0.25">
      <c r="A1476" t="str">
        <f>"13-0455B"</f>
        <v>13-0455B</v>
      </c>
      <c r="D1476" s="8">
        <v>41522</v>
      </c>
      <c r="F1476" s="8">
        <v>41526</v>
      </c>
      <c r="G1476" s="8">
        <v>41522</v>
      </c>
      <c r="Y1476" s="8"/>
    </row>
    <row r="1477" spans="1:25" x14ac:dyDescent="0.25">
      <c r="A1477" t="str">
        <f>"13-0460"</f>
        <v>13-0460</v>
      </c>
      <c r="D1477" s="8">
        <v>41522</v>
      </c>
      <c r="F1477" s="8">
        <v>41548</v>
      </c>
      <c r="G1477" s="8">
        <v>41523</v>
      </c>
      <c r="Y1477" s="8"/>
    </row>
    <row r="1478" spans="1:25" x14ac:dyDescent="0.25">
      <c r="A1478" t="str">
        <f>"13-0461"</f>
        <v>13-0461</v>
      </c>
      <c r="D1478" s="8">
        <v>41522</v>
      </c>
      <c r="F1478" s="8">
        <v>41578</v>
      </c>
      <c r="G1478" s="8">
        <v>41523</v>
      </c>
      <c r="Y1478" s="8"/>
    </row>
    <row r="1479" spans="1:25" x14ac:dyDescent="0.25">
      <c r="A1479" t="str">
        <f>"13-0462"</f>
        <v>13-0462</v>
      </c>
      <c r="D1479" s="8">
        <v>41522</v>
      </c>
      <c r="F1479" s="8">
        <v>41528</v>
      </c>
      <c r="G1479" s="8">
        <v>41523</v>
      </c>
      <c r="Y1479" s="8"/>
    </row>
    <row r="1480" spans="1:25" x14ac:dyDescent="0.25">
      <c r="A1480" t="str">
        <f>"13-0463"</f>
        <v>13-0463</v>
      </c>
      <c r="D1480" s="8">
        <v>41522</v>
      </c>
      <c r="F1480" s="8">
        <v>41522</v>
      </c>
      <c r="G1480" s="8">
        <v>41522</v>
      </c>
      <c r="Y1480" s="8"/>
    </row>
    <row r="1481" spans="1:25" x14ac:dyDescent="0.25">
      <c r="A1481" t="str">
        <f>"13-0440B"</f>
        <v>13-0440B</v>
      </c>
      <c r="D1481" s="8">
        <v>41521</v>
      </c>
      <c r="F1481" s="8">
        <v>41521</v>
      </c>
      <c r="G1481" s="8">
        <v>41521</v>
      </c>
      <c r="Y1481" s="8"/>
    </row>
    <row r="1482" spans="1:25" x14ac:dyDescent="0.25">
      <c r="A1482" t="str">
        <f>"13-0458"</f>
        <v>13-0458</v>
      </c>
      <c r="D1482" s="8">
        <v>41521</v>
      </c>
      <c r="F1482" s="8">
        <v>41521</v>
      </c>
      <c r="G1482" s="8">
        <v>41521</v>
      </c>
      <c r="Y1482" s="8"/>
    </row>
    <row r="1483" spans="1:25" x14ac:dyDescent="0.25">
      <c r="A1483" t="str">
        <f>"13-0459"</f>
        <v>13-0459</v>
      </c>
      <c r="D1483" s="8">
        <v>41521</v>
      </c>
      <c r="F1483" s="8">
        <v>41521</v>
      </c>
      <c r="G1483" s="8">
        <v>41521</v>
      </c>
      <c r="Y1483" s="8"/>
    </row>
    <row r="1484" spans="1:25" x14ac:dyDescent="0.25">
      <c r="A1484" t="str">
        <f>"13-0455"</f>
        <v>13-0455</v>
      </c>
      <c r="D1484" s="8">
        <v>41520</v>
      </c>
      <c r="F1484" s="8">
        <v>41522</v>
      </c>
      <c r="G1484" s="8">
        <v>41523</v>
      </c>
      <c r="Y1484" s="8"/>
    </row>
    <row r="1485" spans="1:25" x14ac:dyDescent="0.25">
      <c r="A1485" t="str">
        <f>"13-0456"</f>
        <v>13-0456</v>
      </c>
      <c r="D1485" s="8">
        <v>41520</v>
      </c>
      <c r="F1485" s="8">
        <v>41523</v>
      </c>
      <c r="G1485" s="8">
        <v>41530</v>
      </c>
      <c r="Y1485" s="8"/>
    </row>
    <row r="1486" spans="1:25" x14ac:dyDescent="0.25">
      <c r="A1486" t="str">
        <f>"13-0457"</f>
        <v>13-0457</v>
      </c>
      <c r="D1486" s="8">
        <v>41520</v>
      </c>
      <c r="F1486" s="8">
        <v>41520</v>
      </c>
      <c r="G1486" s="8">
        <v>41520</v>
      </c>
      <c r="Y1486" s="8"/>
    </row>
    <row r="1487" spans="1:25" x14ac:dyDescent="0.25">
      <c r="A1487" t="str">
        <f>"13-0421B"</f>
        <v>13-0421B</v>
      </c>
      <c r="D1487" s="8">
        <v>41519</v>
      </c>
      <c r="F1487" s="8">
        <v>41519</v>
      </c>
      <c r="G1487" s="8">
        <v>41519</v>
      </c>
      <c r="Y1487" s="8"/>
    </row>
    <row r="1488" spans="1:25" x14ac:dyDescent="0.25">
      <c r="A1488" t="str">
        <f>"13-0454"</f>
        <v>13-0454</v>
      </c>
      <c r="D1488" s="8">
        <v>41519</v>
      </c>
      <c r="F1488" s="8">
        <v>41519</v>
      </c>
      <c r="G1488" s="8">
        <v>41519</v>
      </c>
      <c r="Y1488" s="8"/>
    </row>
    <row r="1489" spans="1:25" x14ac:dyDescent="0.25">
      <c r="A1489" t="str">
        <f>"13-0454B"</f>
        <v>13-0454B</v>
      </c>
      <c r="D1489" s="8">
        <v>41519</v>
      </c>
      <c r="F1489" s="8">
        <v>41519</v>
      </c>
      <c r="G1489" s="8">
        <v>41519</v>
      </c>
      <c r="Y1489" s="8"/>
    </row>
    <row r="1490" spans="1:25" x14ac:dyDescent="0.25">
      <c r="A1490" t="str">
        <f>"13-0451"</f>
        <v>13-0451</v>
      </c>
      <c r="D1490" s="8">
        <v>41516</v>
      </c>
      <c r="F1490" s="8">
        <v>41565</v>
      </c>
      <c r="G1490" s="8">
        <v>41516</v>
      </c>
      <c r="Y1490" s="8"/>
    </row>
    <row r="1491" spans="1:25" x14ac:dyDescent="0.25">
      <c r="A1491" t="str">
        <f>"13-0452"</f>
        <v>13-0452</v>
      </c>
      <c r="D1491" s="8">
        <v>41516</v>
      </c>
      <c r="F1491" s="8">
        <v>41516</v>
      </c>
      <c r="G1491" s="8">
        <v>41516</v>
      </c>
      <c r="Y1491" s="8"/>
    </row>
    <row r="1492" spans="1:25" x14ac:dyDescent="0.25">
      <c r="A1492" t="str">
        <f>"13-0453"</f>
        <v>13-0453</v>
      </c>
      <c r="D1492" s="8">
        <v>41516</v>
      </c>
      <c r="F1492" s="8">
        <v>41516</v>
      </c>
      <c r="G1492" s="8">
        <v>41516</v>
      </c>
      <c r="Y1492" s="8"/>
    </row>
    <row r="1493" spans="1:25" x14ac:dyDescent="0.25">
      <c r="A1493" t="str">
        <f>"13-0447"</f>
        <v>13-0447</v>
      </c>
      <c r="D1493" s="8">
        <v>41515</v>
      </c>
      <c r="F1493" s="8">
        <v>41515</v>
      </c>
      <c r="G1493" s="8">
        <v>41515</v>
      </c>
      <c r="Y1493" s="8"/>
    </row>
    <row r="1494" spans="1:25" x14ac:dyDescent="0.25">
      <c r="A1494" t="str">
        <f>"13-0448"</f>
        <v>13-0448</v>
      </c>
      <c r="D1494" s="8">
        <v>41515</v>
      </c>
      <c r="F1494" s="8">
        <v>41515</v>
      </c>
      <c r="G1494" s="8">
        <v>41515</v>
      </c>
      <c r="Y1494" s="8"/>
    </row>
    <row r="1495" spans="1:25" x14ac:dyDescent="0.25">
      <c r="A1495" t="str">
        <f>"13-0449"</f>
        <v>13-0449</v>
      </c>
      <c r="D1495" s="8">
        <v>41515</v>
      </c>
      <c r="F1495" s="8">
        <v>41515</v>
      </c>
      <c r="G1495" s="8">
        <v>41515</v>
      </c>
      <c r="Y1495" s="8"/>
    </row>
    <row r="1496" spans="1:25" x14ac:dyDescent="0.25">
      <c r="A1496" t="str">
        <f>"13-0450"</f>
        <v>13-0450</v>
      </c>
      <c r="D1496" s="8">
        <v>41515</v>
      </c>
      <c r="F1496" s="8">
        <v>41604</v>
      </c>
      <c r="G1496" s="8">
        <v>41515</v>
      </c>
      <c r="Y1496" s="8"/>
    </row>
    <row r="1497" spans="1:25" x14ac:dyDescent="0.25">
      <c r="A1497" t="str">
        <f>"13-0442"</f>
        <v>13-0442</v>
      </c>
      <c r="D1497" s="8">
        <v>41514</v>
      </c>
      <c r="F1497" s="8">
        <v>41514</v>
      </c>
      <c r="G1497" s="8">
        <v>41514</v>
      </c>
      <c r="Y1497" s="8"/>
    </row>
    <row r="1498" spans="1:25" x14ac:dyDescent="0.25">
      <c r="A1498" t="str">
        <f>"13-0443"</f>
        <v>13-0443</v>
      </c>
      <c r="D1498" s="8">
        <v>41514</v>
      </c>
      <c r="F1498" s="8">
        <v>41535</v>
      </c>
      <c r="G1498" s="8">
        <v>41514</v>
      </c>
      <c r="Y1498" s="8"/>
    </row>
    <row r="1499" spans="1:25" x14ac:dyDescent="0.25">
      <c r="A1499" t="str">
        <f>"13-0444"</f>
        <v>13-0444</v>
      </c>
      <c r="D1499" s="8">
        <v>41514</v>
      </c>
      <c r="F1499" s="8">
        <v>41514</v>
      </c>
      <c r="G1499" s="8">
        <v>41514</v>
      </c>
      <c r="Y1499" s="8"/>
    </row>
    <row r="1500" spans="1:25" x14ac:dyDescent="0.25">
      <c r="A1500" t="str">
        <f>"13-0445"</f>
        <v>13-0445</v>
      </c>
      <c r="D1500" s="8">
        <v>41514</v>
      </c>
      <c r="F1500" s="8">
        <v>41514</v>
      </c>
      <c r="G1500" s="8">
        <v>41514</v>
      </c>
      <c r="Y1500" s="8"/>
    </row>
    <row r="1501" spans="1:25" x14ac:dyDescent="0.25">
      <c r="A1501" t="str">
        <f>"13-0446"</f>
        <v>13-0446</v>
      </c>
      <c r="D1501" s="8">
        <v>41514</v>
      </c>
      <c r="F1501" s="8">
        <v>41514</v>
      </c>
      <c r="G1501" s="8">
        <v>41527</v>
      </c>
      <c r="Y1501" s="8"/>
    </row>
    <row r="1502" spans="1:25" x14ac:dyDescent="0.25">
      <c r="A1502" t="str">
        <f>"13-0440"</f>
        <v>13-0440</v>
      </c>
      <c r="D1502" s="8">
        <v>41513</v>
      </c>
      <c r="F1502" s="8">
        <v>41513</v>
      </c>
      <c r="G1502" s="8">
        <v>41513</v>
      </c>
      <c r="Y1502" s="8"/>
    </row>
    <row r="1503" spans="1:25" x14ac:dyDescent="0.25">
      <c r="A1503" t="str">
        <f>"13-0441"</f>
        <v>13-0441</v>
      </c>
      <c r="D1503" s="8">
        <v>41513</v>
      </c>
      <c r="F1503" s="8">
        <v>41513</v>
      </c>
      <c r="G1503" s="8">
        <v>41512</v>
      </c>
      <c r="Y1503" s="8"/>
    </row>
    <row r="1504" spans="1:25" x14ac:dyDescent="0.25">
      <c r="A1504" t="str">
        <f>"13-0356B"</f>
        <v>13-0356B</v>
      </c>
      <c r="D1504" s="8">
        <v>41512</v>
      </c>
      <c r="F1504" s="8">
        <v>41512</v>
      </c>
      <c r="G1504" s="8">
        <v>41512</v>
      </c>
      <c r="Y1504" s="8"/>
    </row>
    <row r="1505" spans="1:25" x14ac:dyDescent="0.25">
      <c r="A1505" t="str">
        <f>"13-0437B"</f>
        <v>13-0437B</v>
      </c>
      <c r="D1505" s="8">
        <v>41512</v>
      </c>
      <c r="F1505" s="8">
        <v>41514</v>
      </c>
      <c r="G1505" s="8">
        <v>41512</v>
      </c>
      <c r="Y1505" s="8"/>
    </row>
    <row r="1506" spans="1:25" x14ac:dyDescent="0.25">
      <c r="A1506" t="str">
        <f>"13-0438"</f>
        <v>13-0438</v>
      </c>
      <c r="D1506" s="8">
        <v>41512</v>
      </c>
      <c r="F1506" s="8">
        <v>41512</v>
      </c>
      <c r="G1506" s="8">
        <v>41512</v>
      </c>
      <c r="Y1506" s="8"/>
    </row>
    <row r="1507" spans="1:25" x14ac:dyDescent="0.25">
      <c r="A1507" t="str">
        <f>"13-0439"</f>
        <v>13-0439</v>
      </c>
      <c r="D1507" s="8">
        <v>41512</v>
      </c>
      <c r="F1507" s="8">
        <v>41512</v>
      </c>
      <c r="G1507" s="8">
        <v>41512</v>
      </c>
      <c r="Y1507" s="8"/>
    </row>
    <row r="1508" spans="1:25" x14ac:dyDescent="0.25">
      <c r="A1508" t="str">
        <f>"13-0437"</f>
        <v>13-0437</v>
      </c>
      <c r="D1508" s="8">
        <v>41509</v>
      </c>
      <c r="F1508" s="8">
        <v>41509</v>
      </c>
      <c r="G1508" s="8">
        <v>41509</v>
      </c>
      <c r="Y1508" s="8"/>
    </row>
    <row r="1509" spans="1:25" x14ac:dyDescent="0.25">
      <c r="A1509" t="str">
        <f>"13-0436"</f>
        <v>13-0436</v>
      </c>
      <c r="D1509" s="8">
        <v>41508</v>
      </c>
      <c r="F1509" s="8">
        <v>41508</v>
      </c>
      <c r="G1509" s="8">
        <v>41508</v>
      </c>
      <c r="Y1509" s="8"/>
    </row>
    <row r="1510" spans="1:25" x14ac:dyDescent="0.25">
      <c r="A1510" t="str">
        <f>"13-0435"</f>
        <v>13-0435</v>
      </c>
      <c r="D1510" s="8">
        <v>41507</v>
      </c>
      <c r="F1510" s="8">
        <v>41507</v>
      </c>
      <c r="G1510" s="8">
        <v>41507</v>
      </c>
      <c r="Y1510" s="8"/>
    </row>
    <row r="1511" spans="1:25" x14ac:dyDescent="0.25">
      <c r="A1511" t="str">
        <f>"13-0434"</f>
        <v>13-0434</v>
      </c>
      <c r="D1511" s="8">
        <v>41502</v>
      </c>
      <c r="F1511" s="8">
        <v>41502</v>
      </c>
      <c r="G1511" s="8">
        <v>41502</v>
      </c>
      <c r="Y1511" s="8"/>
    </row>
    <row r="1512" spans="1:25" x14ac:dyDescent="0.25">
      <c r="A1512" t="str">
        <f>"13-0433"</f>
        <v>13-0433</v>
      </c>
      <c r="D1512" s="8">
        <v>41500</v>
      </c>
      <c r="F1512" s="8">
        <v>41500</v>
      </c>
      <c r="G1512" s="8">
        <v>41500</v>
      </c>
      <c r="Y1512" s="8"/>
    </row>
    <row r="1513" spans="1:25" x14ac:dyDescent="0.25">
      <c r="A1513" t="str">
        <f>"13-0431"</f>
        <v>13-0431</v>
      </c>
      <c r="D1513" s="8">
        <v>41499</v>
      </c>
      <c r="F1513" s="8">
        <v>41499</v>
      </c>
      <c r="G1513" s="8">
        <v>41499</v>
      </c>
      <c r="Y1513" s="8"/>
    </row>
    <row r="1514" spans="1:25" x14ac:dyDescent="0.25">
      <c r="A1514" t="str">
        <f>"13-0432"</f>
        <v>13-0432</v>
      </c>
      <c r="D1514" s="8">
        <v>41499</v>
      </c>
      <c r="F1514" s="8">
        <v>41499</v>
      </c>
      <c r="G1514" s="8">
        <v>41499</v>
      </c>
      <c r="Y1514" s="8"/>
    </row>
    <row r="1515" spans="1:25" x14ac:dyDescent="0.25">
      <c r="A1515" t="str">
        <f>"13-0430"</f>
        <v>13-0430</v>
      </c>
      <c r="D1515" s="8">
        <v>41495</v>
      </c>
      <c r="G1515" s="8">
        <v>41501</v>
      </c>
    </row>
    <row r="1516" spans="1:25" x14ac:dyDescent="0.25">
      <c r="A1516" t="str">
        <f>"13-0429"</f>
        <v>13-0429</v>
      </c>
      <c r="D1516" s="8">
        <v>41494</v>
      </c>
      <c r="F1516" s="8">
        <v>41494</v>
      </c>
      <c r="G1516" s="8">
        <v>41494</v>
      </c>
      <c r="Y1516" s="8"/>
    </row>
    <row r="1517" spans="1:25" x14ac:dyDescent="0.25">
      <c r="A1517" t="str">
        <f>"13-0424B"</f>
        <v>13-0424B</v>
      </c>
      <c r="D1517" s="8">
        <v>41493</v>
      </c>
      <c r="F1517" s="8">
        <v>41493</v>
      </c>
      <c r="G1517" s="8">
        <v>41493</v>
      </c>
      <c r="Y1517" s="8"/>
    </row>
    <row r="1518" spans="1:25" x14ac:dyDescent="0.25">
      <c r="A1518" t="str">
        <f>"13-0428"</f>
        <v>13-0428</v>
      </c>
      <c r="D1518" s="8">
        <v>41493</v>
      </c>
      <c r="F1518" s="8">
        <v>41523</v>
      </c>
      <c r="G1518" s="8">
        <v>41523</v>
      </c>
      <c r="Y1518" s="8"/>
    </row>
    <row r="1519" spans="1:25" x14ac:dyDescent="0.25">
      <c r="A1519" t="str">
        <f>"13-0426"</f>
        <v>13-0426</v>
      </c>
      <c r="D1519" s="8">
        <v>41492</v>
      </c>
      <c r="F1519" s="8">
        <v>41492</v>
      </c>
      <c r="G1519" s="8">
        <v>41492</v>
      </c>
      <c r="Y1519" s="8"/>
    </row>
    <row r="1520" spans="1:25" x14ac:dyDescent="0.25">
      <c r="A1520" t="str">
        <f>"13-0427"</f>
        <v>13-0427</v>
      </c>
      <c r="D1520" s="8">
        <v>41492</v>
      </c>
      <c r="F1520" s="8">
        <v>41492</v>
      </c>
      <c r="G1520" s="8">
        <v>41492</v>
      </c>
      <c r="Y1520" s="8"/>
    </row>
    <row r="1521" spans="1:25" x14ac:dyDescent="0.25">
      <c r="A1521" t="str">
        <f>"13-0425"</f>
        <v>13-0425</v>
      </c>
      <c r="D1521" s="8">
        <v>41491</v>
      </c>
      <c r="F1521" s="8">
        <v>41491</v>
      </c>
      <c r="G1521" s="8">
        <v>41491</v>
      </c>
      <c r="Y1521" s="8"/>
    </row>
    <row r="1522" spans="1:25" x14ac:dyDescent="0.25">
      <c r="A1522" t="str">
        <f>"13-0424"</f>
        <v>13-0424</v>
      </c>
      <c r="D1522" s="8">
        <v>41488</v>
      </c>
      <c r="F1522" s="8">
        <v>41491</v>
      </c>
      <c r="G1522" s="8">
        <v>41488</v>
      </c>
      <c r="Y1522" s="8"/>
    </row>
    <row r="1523" spans="1:25" x14ac:dyDescent="0.25">
      <c r="A1523" t="str">
        <f>"13-0415B"</f>
        <v>13-0415B</v>
      </c>
      <c r="D1523" s="8">
        <v>41487</v>
      </c>
      <c r="F1523" s="8">
        <v>41487</v>
      </c>
      <c r="G1523" s="8">
        <v>41487</v>
      </c>
      <c r="Y1523" s="8"/>
    </row>
    <row r="1524" spans="1:25" x14ac:dyDescent="0.25">
      <c r="A1524" t="str">
        <f>"13-0421"</f>
        <v>13-0421</v>
      </c>
      <c r="D1524" s="8">
        <v>41487</v>
      </c>
      <c r="F1524" s="8">
        <v>41487</v>
      </c>
      <c r="G1524" s="8">
        <v>41487</v>
      </c>
      <c r="Y1524" s="8"/>
    </row>
    <row r="1525" spans="1:25" x14ac:dyDescent="0.25">
      <c r="A1525" t="str">
        <f>"13-0422"</f>
        <v>13-0422</v>
      </c>
      <c r="D1525" s="8">
        <v>41487</v>
      </c>
      <c r="F1525" s="8">
        <v>41487</v>
      </c>
      <c r="G1525" s="8">
        <v>41487</v>
      </c>
      <c r="Y1525" s="8"/>
    </row>
    <row r="1526" spans="1:25" x14ac:dyDescent="0.25">
      <c r="A1526" t="str">
        <f>"13-0423"</f>
        <v>13-0423</v>
      </c>
      <c r="D1526" s="8">
        <v>41487</v>
      </c>
      <c r="F1526" s="8">
        <v>41509</v>
      </c>
      <c r="G1526" s="8">
        <v>41487</v>
      </c>
      <c r="Y1526" s="8"/>
    </row>
    <row r="1527" spans="1:25" x14ac:dyDescent="0.25">
      <c r="A1527" t="str">
        <f>"13-0418"</f>
        <v>13-0418</v>
      </c>
      <c r="D1527" s="8">
        <v>41486</v>
      </c>
      <c r="F1527" s="8">
        <v>41486</v>
      </c>
      <c r="G1527" s="8">
        <v>41486</v>
      </c>
      <c r="Y1527" s="8"/>
    </row>
    <row r="1528" spans="1:25" x14ac:dyDescent="0.25">
      <c r="A1528" t="str">
        <f>"13-0419"</f>
        <v>13-0419</v>
      </c>
      <c r="D1528" s="8">
        <v>41486</v>
      </c>
      <c r="F1528" s="8">
        <v>41486</v>
      </c>
      <c r="G1528" s="8">
        <v>41486</v>
      </c>
      <c r="Y1528" s="8"/>
    </row>
    <row r="1529" spans="1:25" x14ac:dyDescent="0.25">
      <c r="A1529" t="str">
        <f>"13-0420"</f>
        <v>13-0420</v>
      </c>
      <c r="D1529" s="8">
        <v>41486</v>
      </c>
      <c r="F1529" s="8">
        <v>41486</v>
      </c>
      <c r="G1529" s="8">
        <v>41486</v>
      </c>
      <c r="Y1529" s="8"/>
    </row>
    <row r="1530" spans="1:25" x14ac:dyDescent="0.25">
      <c r="A1530" t="str">
        <f>"13-0416"</f>
        <v>13-0416</v>
      </c>
      <c r="D1530" s="8">
        <v>41485</v>
      </c>
      <c r="F1530" s="8">
        <v>41485</v>
      </c>
      <c r="G1530" s="8">
        <v>41485</v>
      </c>
      <c r="Y1530" s="8"/>
    </row>
    <row r="1531" spans="1:25" x14ac:dyDescent="0.25">
      <c r="A1531" t="str">
        <f>"13-0417"</f>
        <v>13-0417</v>
      </c>
      <c r="D1531" s="8">
        <v>41485</v>
      </c>
      <c r="F1531" s="8">
        <v>41485</v>
      </c>
      <c r="G1531" s="8">
        <v>41485</v>
      </c>
      <c r="Y1531" s="8"/>
    </row>
    <row r="1532" spans="1:25" x14ac:dyDescent="0.25">
      <c r="A1532" t="str">
        <f>"13-0409"</f>
        <v>13-0409</v>
      </c>
      <c r="D1532" s="8">
        <v>41484</v>
      </c>
      <c r="F1532" s="8">
        <v>41484</v>
      </c>
      <c r="G1532" s="8">
        <v>41484</v>
      </c>
      <c r="Y1532" s="8"/>
    </row>
    <row r="1533" spans="1:25" x14ac:dyDescent="0.25">
      <c r="A1533" t="str">
        <f>"13-0410"</f>
        <v>13-0410</v>
      </c>
      <c r="D1533" s="8">
        <v>41484</v>
      </c>
      <c r="F1533" s="8">
        <v>41484</v>
      </c>
      <c r="G1533" s="8">
        <v>41484</v>
      </c>
      <c r="Y1533" s="8"/>
    </row>
    <row r="1534" spans="1:25" x14ac:dyDescent="0.25">
      <c r="A1534" t="str">
        <f>"13-0411"</f>
        <v>13-0411</v>
      </c>
      <c r="D1534" s="8">
        <v>41484</v>
      </c>
      <c r="F1534" s="8">
        <v>41484</v>
      </c>
      <c r="G1534" s="8">
        <v>41484</v>
      </c>
      <c r="Y1534" s="8"/>
    </row>
    <row r="1535" spans="1:25" x14ac:dyDescent="0.25">
      <c r="A1535" t="str">
        <f>"13-0412"</f>
        <v>13-0412</v>
      </c>
      <c r="D1535" s="8">
        <v>41484</v>
      </c>
      <c r="F1535" s="8">
        <v>41484</v>
      </c>
      <c r="G1535" s="8">
        <v>41484</v>
      </c>
      <c r="Y1535" s="8"/>
    </row>
    <row r="1536" spans="1:25" x14ac:dyDescent="0.25">
      <c r="A1536" t="str">
        <f>"13-0413"</f>
        <v>13-0413</v>
      </c>
      <c r="D1536" s="8">
        <v>41484</v>
      </c>
      <c r="F1536" s="8">
        <v>41484</v>
      </c>
      <c r="G1536" s="8">
        <v>41484</v>
      </c>
      <c r="Y1536" s="8"/>
    </row>
    <row r="1537" spans="1:25" x14ac:dyDescent="0.25">
      <c r="A1537" t="str">
        <f>"13-0414"</f>
        <v>13-0414</v>
      </c>
      <c r="D1537" s="8">
        <v>41484</v>
      </c>
      <c r="F1537" s="8">
        <v>41484</v>
      </c>
      <c r="G1537" s="8">
        <v>41484</v>
      </c>
      <c r="Y1537" s="8"/>
    </row>
    <row r="1538" spans="1:25" x14ac:dyDescent="0.25">
      <c r="A1538" t="str">
        <f>"13-0415"</f>
        <v>13-0415</v>
      </c>
      <c r="D1538" s="8">
        <v>41484</v>
      </c>
      <c r="F1538" s="8">
        <v>41484</v>
      </c>
      <c r="G1538" s="8">
        <v>41484</v>
      </c>
      <c r="Y1538" s="8"/>
    </row>
    <row r="1539" spans="1:25" x14ac:dyDescent="0.25">
      <c r="A1539" t="str">
        <f>"13-0405"</f>
        <v>13-0405</v>
      </c>
      <c r="D1539" s="8">
        <v>41481</v>
      </c>
      <c r="F1539" s="8">
        <v>41481</v>
      </c>
      <c r="G1539" s="8">
        <v>41481</v>
      </c>
      <c r="Y1539" s="8"/>
    </row>
    <row r="1540" spans="1:25" x14ac:dyDescent="0.25">
      <c r="A1540" t="str">
        <f>"13-0406"</f>
        <v>13-0406</v>
      </c>
      <c r="D1540" s="8">
        <v>41481</v>
      </c>
      <c r="F1540" s="8">
        <v>41481</v>
      </c>
      <c r="G1540" s="8">
        <v>41481</v>
      </c>
      <c r="Y1540" s="8"/>
    </row>
    <row r="1541" spans="1:25" x14ac:dyDescent="0.25">
      <c r="A1541" t="str">
        <f>"13-0407"</f>
        <v>13-0407</v>
      </c>
      <c r="D1541" s="8">
        <v>41481</v>
      </c>
      <c r="F1541" s="8">
        <v>41481</v>
      </c>
      <c r="G1541" s="8">
        <v>41481</v>
      </c>
      <c r="Y1541" s="8"/>
    </row>
    <row r="1542" spans="1:25" x14ac:dyDescent="0.25">
      <c r="A1542" t="str">
        <f>"13-0408"</f>
        <v>13-0408</v>
      </c>
      <c r="D1542" s="8">
        <v>41481</v>
      </c>
      <c r="F1542" s="8">
        <v>41481</v>
      </c>
      <c r="G1542" s="8">
        <v>41481</v>
      </c>
      <c r="Y1542" s="8"/>
    </row>
    <row r="1543" spans="1:25" x14ac:dyDescent="0.25">
      <c r="A1543" t="str">
        <f>"13-0404"</f>
        <v>13-0404</v>
      </c>
      <c r="D1543" s="8">
        <v>41480</v>
      </c>
      <c r="F1543" s="8">
        <v>41480</v>
      </c>
      <c r="G1543" s="8">
        <v>41480</v>
      </c>
      <c r="Y1543" s="8"/>
    </row>
    <row r="1544" spans="1:25" x14ac:dyDescent="0.25">
      <c r="A1544" t="str">
        <f>"13-0399"</f>
        <v>13-0399</v>
      </c>
      <c r="D1544" s="8">
        <v>41479</v>
      </c>
      <c r="F1544" s="8">
        <v>41479</v>
      </c>
      <c r="G1544" s="8">
        <v>41479</v>
      </c>
      <c r="Y1544" s="8"/>
    </row>
    <row r="1545" spans="1:25" x14ac:dyDescent="0.25">
      <c r="A1545" t="str">
        <f>"13-0400"</f>
        <v>13-0400</v>
      </c>
      <c r="D1545" s="8">
        <v>41479</v>
      </c>
      <c r="F1545" s="8">
        <v>41479</v>
      </c>
      <c r="G1545" s="8">
        <v>41479</v>
      </c>
      <c r="Y1545" s="8"/>
    </row>
    <row r="1546" spans="1:25" x14ac:dyDescent="0.25">
      <c r="A1546" t="str">
        <f>"13-0401"</f>
        <v>13-0401</v>
      </c>
      <c r="D1546" s="8">
        <v>41479</v>
      </c>
      <c r="F1546" s="8">
        <v>41479</v>
      </c>
      <c r="G1546" s="8">
        <v>41479</v>
      </c>
      <c r="Y1546" s="8"/>
    </row>
    <row r="1547" spans="1:25" x14ac:dyDescent="0.25">
      <c r="A1547" t="str">
        <f>"13-0402"</f>
        <v>13-0402</v>
      </c>
      <c r="D1547" s="8">
        <v>41479</v>
      </c>
      <c r="F1547" s="8">
        <v>41479</v>
      </c>
      <c r="G1547" s="8">
        <v>41479</v>
      </c>
      <c r="Y1547" s="8"/>
    </row>
    <row r="1548" spans="1:25" x14ac:dyDescent="0.25">
      <c r="A1548" t="str">
        <f>"13-0403"</f>
        <v>13-0403</v>
      </c>
      <c r="D1548" s="8">
        <v>41479</v>
      </c>
      <c r="F1548" s="8">
        <v>41479</v>
      </c>
      <c r="G1548" s="8">
        <v>41479</v>
      </c>
      <c r="Y1548" s="8"/>
    </row>
    <row r="1549" spans="1:25" x14ac:dyDescent="0.25">
      <c r="A1549" t="str">
        <f>"13-0397"</f>
        <v>13-0397</v>
      </c>
      <c r="D1549" s="8">
        <v>41478</v>
      </c>
      <c r="F1549" s="8">
        <v>41480</v>
      </c>
      <c r="G1549" s="8">
        <v>41480</v>
      </c>
      <c r="Y1549" s="8"/>
    </row>
    <row r="1550" spans="1:25" x14ac:dyDescent="0.25">
      <c r="A1550" t="str">
        <f>"13-0398"</f>
        <v>13-0398</v>
      </c>
      <c r="D1550" s="8">
        <v>41478</v>
      </c>
      <c r="F1550" s="8">
        <v>41479</v>
      </c>
      <c r="G1550" s="8">
        <v>41479</v>
      </c>
      <c r="Y1550" s="8"/>
    </row>
    <row r="1551" spans="1:25" x14ac:dyDescent="0.25">
      <c r="A1551" t="str">
        <f>"13-0291B"</f>
        <v>13-0291B</v>
      </c>
      <c r="D1551" s="8">
        <v>41477</v>
      </c>
      <c r="F1551" s="8">
        <v>41477</v>
      </c>
      <c r="G1551" s="8">
        <v>41477</v>
      </c>
      <c r="Y1551" s="8"/>
    </row>
    <row r="1552" spans="1:25" x14ac:dyDescent="0.25">
      <c r="A1552" t="str">
        <f>"13-0386B"</f>
        <v>13-0386B</v>
      </c>
      <c r="D1552" s="8">
        <v>41477</v>
      </c>
      <c r="F1552" s="8">
        <v>41477</v>
      </c>
      <c r="G1552" s="8">
        <v>41477</v>
      </c>
      <c r="Y1552" s="8"/>
    </row>
    <row r="1553" spans="1:25" x14ac:dyDescent="0.25">
      <c r="A1553" t="str">
        <f>"13-0394"</f>
        <v>13-0394</v>
      </c>
      <c r="D1553" s="8">
        <v>41477</v>
      </c>
      <c r="F1553" s="8">
        <v>41477</v>
      </c>
      <c r="G1553" s="8">
        <v>41477</v>
      </c>
      <c r="Y1553" s="8"/>
    </row>
    <row r="1554" spans="1:25" x14ac:dyDescent="0.25">
      <c r="A1554" t="str">
        <f>"13-0394B"</f>
        <v>13-0394B</v>
      </c>
      <c r="D1554" s="8">
        <v>41477</v>
      </c>
      <c r="F1554" s="8">
        <v>41477</v>
      </c>
      <c r="G1554" s="8">
        <v>41477</v>
      </c>
      <c r="Y1554" s="8"/>
    </row>
    <row r="1555" spans="1:25" x14ac:dyDescent="0.25">
      <c r="A1555" t="str">
        <f>"13-0395"</f>
        <v>13-0395</v>
      </c>
      <c r="D1555" s="8">
        <v>41477</v>
      </c>
      <c r="F1555" s="8">
        <v>41477</v>
      </c>
      <c r="G1555" s="8">
        <v>41477</v>
      </c>
      <c r="Y1555" s="8"/>
    </row>
    <row r="1556" spans="1:25" x14ac:dyDescent="0.25">
      <c r="A1556" t="str">
        <f>"13-0396"</f>
        <v>13-0396</v>
      </c>
      <c r="D1556" s="8">
        <v>41477</v>
      </c>
      <c r="F1556" s="8">
        <v>41477</v>
      </c>
      <c r="G1556" s="8">
        <v>41477</v>
      </c>
      <c r="Y1556" s="8"/>
    </row>
    <row r="1557" spans="1:25" x14ac:dyDescent="0.25">
      <c r="A1557" t="str">
        <f>"13-0393B"</f>
        <v>13-0393B</v>
      </c>
      <c r="D1557" s="8">
        <v>41474</v>
      </c>
      <c r="F1557" s="8">
        <v>41474</v>
      </c>
      <c r="G1557" s="8">
        <v>41474</v>
      </c>
      <c r="Y1557" s="8"/>
    </row>
    <row r="1558" spans="1:25" x14ac:dyDescent="0.25">
      <c r="A1558" t="str">
        <f>"13-0381B"</f>
        <v>13-0381B</v>
      </c>
      <c r="D1558" s="8">
        <v>41473</v>
      </c>
      <c r="F1558" s="8">
        <v>41473</v>
      </c>
      <c r="G1558" s="8">
        <v>41473</v>
      </c>
      <c r="Y1558" s="8"/>
    </row>
    <row r="1559" spans="1:25" x14ac:dyDescent="0.25">
      <c r="A1559" t="str">
        <f>"13-0389B"</f>
        <v>13-0389B</v>
      </c>
      <c r="D1559" s="8">
        <v>41473</v>
      </c>
      <c r="F1559" s="8">
        <v>41479</v>
      </c>
      <c r="G1559" s="8">
        <v>41473</v>
      </c>
      <c r="Y1559" s="8"/>
    </row>
    <row r="1560" spans="1:25" x14ac:dyDescent="0.25">
      <c r="A1560" t="str">
        <f>"13-0391"</f>
        <v>13-0391</v>
      </c>
      <c r="D1560" s="8">
        <v>41473</v>
      </c>
      <c r="F1560" s="8">
        <v>41473</v>
      </c>
      <c r="G1560" s="8">
        <v>41473</v>
      </c>
      <c r="Y1560" s="8"/>
    </row>
    <row r="1561" spans="1:25" x14ac:dyDescent="0.25">
      <c r="A1561" t="str">
        <f>"13-0392"</f>
        <v>13-0392</v>
      </c>
      <c r="D1561" s="8">
        <v>41473</v>
      </c>
      <c r="F1561" s="8">
        <v>41473</v>
      </c>
      <c r="G1561" s="8">
        <v>41473</v>
      </c>
      <c r="Y1561" s="8"/>
    </row>
    <row r="1562" spans="1:25" x14ac:dyDescent="0.25">
      <c r="A1562" t="str">
        <f>"13-0393"</f>
        <v>13-0393</v>
      </c>
      <c r="D1562" s="8">
        <v>41473</v>
      </c>
      <c r="F1562" s="8">
        <v>41473</v>
      </c>
      <c r="G1562" s="8">
        <v>41481</v>
      </c>
      <c r="Y1562" s="8"/>
    </row>
    <row r="1563" spans="1:25" x14ac:dyDescent="0.25">
      <c r="A1563" t="str">
        <f>"13-0384B"</f>
        <v>13-0384B</v>
      </c>
      <c r="D1563" s="8">
        <v>41472</v>
      </c>
      <c r="F1563" s="8">
        <v>41472</v>
      </c>
      <c r="G1563" s="8">
        <v>41472</v>
      </c>
      <c r="Y1563" s="8"/>
    </row>
    <row r="1564" spans="1:25" x14ac:dyDescent="0.25">
      <c r="A1564" t="str">
        <f>"13-0387"</f>
        <v>13-0387</v>
      </c>
      <c r="D1564" s="8">
        <v>41472</v>
      </c>
      <c r="F1564" s="8">
        <v>41472</v>
      </c>
      <c r="G1564" s="8">
        <v>41472</v>
      </c>
      <c r="Y1564" s="8"/>
    </row>
    <row r="1565" spans="1:25" x14ac:dyDescent="0.25">
      <c r="A1565" t="str">
        <f>"13-0388"</f>
        <v>13-0388</v>
      </c>
      <c r="D1565" s="8">
        <v>41472</v>
      </c>
      <c r="F1565" s="8">
        <v>41472</v>
      </c>
      <c r="G1565" s="8">
        <v>41472</v>
      </c>
      <c r="Y1565" s="8"/>
    </row>
    <row r="1566" spans="1:25" x14ac:dyDescent="0.25">
      <c r="A1566" t="str">
        <f>"13-0389"</f>
        <v>13-0389</v>
      </c>
      <c r="D1566" s="8">
        <v>41472</v>
      </c>
      <c r="F1566" s="8">
        <v>41472</v>
      </c>
      <c r="G1566" s="8">
        <v>41472</v>
      </c>
      <c r="Y1566" s="8"/>
    </row>
    <row r="1567" spans="1:25" x14ac:dyDescent="0.25">
      <c r="A1567" t="str">
        <f>"13-0384"</f>
        <v>13-0384</v>
      </c>
      <c r="D1567" s="8">
        <v>41471</v>
      </c>
      <c r="F1567" s="8">
        <v>41471</v>
      </c>
      <c r="G1567" s="8">
        <v>41471</v>
      </c>
      <c r="Y1567" s="8"/>
    </row>
    <row r="1568" spans="1:25" x14ac:dyDescent="0.25">
      <c r="A1568" t="str">
        <f>"13-0385"</f>
        <v>13-0385</v>
      </c>
      <c r="D1568" s="8">
        <v>41471</v>
      </c>
      <c r="F1568" s="8">
        <v>41471</v>
      </c>
      <c r="G1568" s="8">
        <v>41471</v>
      </c>
      <c r="Y1568" s="8"/>
    </row>
    <row r="1569" spans="1:25" x14ac:dyDescent="0.25">
      <c r="A1569" t="str">
        <f>"13-0386"</f>
        <v>13-0386</v>
      </c>
      <c r="D1569" s="8">
        <v>41471</v>
      </c>
      <c r="F1569" s="8">
        <v>41471</v>
      </c>
      <c r="G1569" s="8">
        <v>41471</v>
      </c>
      <c r="Y1569" s="8"/>
    </row>
    <row r="1570" spans="1:25" x14ac:dyDescent="0.25">
      <c r="A1570" t="str">
        <f>"13-0377"</f>
        <v>13-0377</v>
      </c>
      <c r="D1570" s="8">
        <v>41470</v>
      </c>
      <c r="F1570" s="8">
        <v>41470</v>
      </c>
      <c r="G1570" s="8">
        <v>41470</v>
      </c>
      <c r="Y1570" s="8"/>
    </row>
    <row r="1571" spans="1:25" x14ac:dyDescent="0.25">
      <c r="A1571" t="str">
        <f>"13-0378"</f>
        <v>13-0378</v>
      </c>
      <c r="D1571" s="8">
        <v>41470</v>
      </c>
      <c r="F1571" s="8">
        <v>41470</v>
      </c>
      <c r="G1571" s="8">
        <v>41470</v>
      </c>
      <c r="Y1571" s="8"/>
    </row>
    <row r="1572" spans="1:25" x14ac:dyDescent="0.25">
      <c r="A1572" t="str">
        <f>"13-0379"</f>
        <v>13-0379</v>
      </c>
      <c r="D1572" s="8">
        <v>41470</v>
      </c>
      <c r="F1572" s="8">
        <v>41470</v>
      </c>
      <c r="G1572" s="8">
        <v>41470</v>
      </c>
      <c r="Y1572" s="8"/>
    </row>
    <row r="1573" spans="1:25" x14ac:dyDescent="0.25">
      <c r="A1573" t="str">
        <f>"13-0380"</f>
        <v>13-0380</v>
      </c>
      <c r="D1573" s="8">
        <v>41470</v>
      </c>
      <c r="F1573" s="8">
        <v>41470</v>
      </c>
      <c r="G1573" s="8">
        <v>41470</v>
      </c>
      <c r="Y1573" s="8"/>
    </row>
    <row r="1574" spans="1:25" x14ac:dyDescent="0.25">
      <c r="A1574" t="str">
        <f>"13-0381"</f>
        <v>13-0381</v>
      </c>
      <c r="D1574" s="8">
        <v>41470</v>
      </c>
      <c r="F1574" s="8">
        <v>41470</v>
      </c>
      <c r="G1574" s="8">
        <v>41473</v>
      </c>
      <c r="Y1574" s="8"/>
    </row>
    <row r="1575" spans="1:25" x14ac:dyDescent="0.25">
      <c r="A1575" t="str">
        <f>"13-0382"</f>
        <v>13-0382</v>
      </c>
      <c r="D1575" s="8">
        <v>41470</v>
      </c>
      <c r="F1575" s="8">
        <v>41470</v>
      </c>
      <c r="G1575" s="8">
        <v>41470</v>
      </c>
      <c r="Y1575" s="8"/>
    </row>
    <row r="1576" spans="1:25" x14ac:dyDescent="0.25">
      <c r="A1576" t="str">
        <f>"13-0383"</f>
        <v>13-0383</v>
      </c>
      <c r="D1576" s="8">
        <v>41470</v>
      </c>
      <c r="F1576" s="8">
        <v>41470</v>
      </c>
      <c r="G1576" s="8">
        <v>41470</v>
      </c>
      <c r="Y1576" s="8"/>
    </row>
    <row r="1577" spans="1:25" x14ac:dyDescent="0.25">
      <c r="A1577" t="str">
        <f>"13-0376"</f>
        <v>13-0376</v>
      </c>
      <c r="D1577" s="8">
        <v>41467</v>
      </c>
      <c r="F1577" s="8">
        <v>41467</v>
      </c>
      <c r="G1577" s="8">
        <v>41467</v>
      </c>
      <c r="Y1577" s="8"/>
    </row>
    <row r="1578" spans="1:25" x14ac:dyDescent="0.25">
      <c r="A1578" t="str">
        <f>"13-0374"</f>
        <v>13-0374</v>
      </c>
      <c r="D1578" s="8">
        <v>41466</v>
      </c>
      <c r="F1578" s="8">
        <v>41466</v>
      </c>
      <c r="G1578" s="8">
        <v>41466</v>
      </c>
      <c r="Y1578" s="8"/>
    </row>
    <row r="1579" spans="1:25" x14ac:dyDescent="0.25">
      <c r="A1579" t="str">
        <f>"13-0375"</f>
        <v>13-0375</v>
      </c>
      <c r="D1579" s="8">
        <v>41466</v>
      </c>
      <c r="F1579" s="8">
        <v>41772</v>
      </c>
      <c r="G1579" s="8">
        <v>41466</v>
      </c>
      <c r="Y1579" s="8"/>
    </row>
    <row r="1580" spans="1:25" x14ac:dyDescent="0.25">
      <c r="A1580" t="str">
        <f>"13-0368"</f>
        <v>13-0368</v>
      </c>
      <c r="D1580" s="8">
        <v>41465</v>
      </c>
      <c r="F1580" s="8">
        <v>41506</v>
      </c>
      <c r="G1580" s="8">
        <v>41465</v>
      </c>
      <c r="Y1580" s="8"/>
    </row>
    <row r="1581" spans="1:25" x14ac:dyDescent="0.25">
      <c r="A1581" t="str">
        <f>"13-0369"</f>
        <v>13-0369</v>
      </c>
      <c r="D1581" s="8">
        <v>41465</v>
      </c>
      <c r="F1581" s="8">
        <v>41465</v>
      </c>
      <c r="G1581" s="8">
        <v>41465</v>
      </c>
      <c r="Y1581" s="8"/>
    </row>
    <row r="1582" spans="1:25" x14ac:dyDescent="0.25">
      <c r="A1582" t="str">
        <f>"13-0370"</f>
        <v>13-0370</v>
      </c>
      <c r="D1582" s="8">
        <v>41465</v>
      </c>
      <c r="F1582" s="8">
        <v>41558</v>
      </c>
      <c r="G1582" s="8">
        <v>41465</v>
      </c>
      <c r="Y1582" s="8"/>
    </row>
    <row r="1583" spans="1:25" x14ac:dyDescent="0.25">
      <c r="A1583" t="str">
        <f>"13-0371"</f>
        <v>13-0371</v>
      </c>
      <c r="D1583" s="8">
        <v>41465</v>
      </c>
      <c r="F1583" s="8">
        <v>41465</v>
      </c>
      <c r="G1583" s="8">
        <v>41465</v>
      </c>
      <c r="Y1583" s="8"/>
    </row>
    <row r="1584" spans="1:25" x14ac:dyDescent="0.25">
      <c r="A1584" t="str">
        <f>"13-0372"</f>
        <v>13-0372</v>
      </c>
      <c r="D1584" s="8">
        <v>41465</v>
      </c>
      <c r="F1584" s="8">
        <v>41465</v>
      </c>
      <c r="G1584" s="8">
        <v>41465</v>
      </c>
      <c r="Y1584" s="8"/>
    </row>
    <row r="1585" spans="1:25" x14ac:dyDescent="0.25">
      <c r="A1585" t="str">
        <f>"13-0373"</f>
        <v>13-0373</v>
      </c>
      <c r="D1585" s="8">
        <v>41465</v>
      </c>
      <c r="F1585" s="8">
        <v>41465</v>
      </c>
      <c r="G1585" s="8">
        <v>41465</v>
      </c>
      <c r="Y1585" s="8"/>
    </row>
    <row r="1586" spans="1:25" x14ac:dyDescent="0.25">
      <c r="A1586" t="str">
        <f>"13-0367"</f>
        <v>13-0367</v>
      </c>
      <c r="D1586" s="8">
        <v>41464</v>
      </c>
      <c r="F1586" s="8">
        <v>41464</v>
      </c>
      <c r="G1586" s="8">
        <v>41464</v>
      </c>
      <c r="Y1586" s="8"/>
    </row>
    <row r="1587" spans="1:25" x14ac:dyDescent="0.25">
      <c r="A1587" t="str">
        <f>"13-0365"</f>
        <v>13-0365</v>
      </c>
      <c r="D1587" s="8">
        <v>41463</v>
      </c>
      <c r="F1587" s="8">
        <v>41465</v>
      </c>
      <c r="G1587" s="8">
        <v>41463</v>
      </c>
      <c r="Y1587" s="8"/>
    </row>
    <row r="1588" spans="1:25" x14ac:dyDescent="0.25">
      <c r="A1588" t="str">
        <f>"13-0366"</f>
        <v>13-0366</v>
      </c>
      <c r="D1588" s="8">
        <v>41463</v>
      </c>
      <c r="F1588" s="8">
        <v>41463</v>
      </c>
      <c r="G1588" s="8">
        <v>41463</v>
      </c>
      <c r="Y1588" s="8"/>
    </row>
    <row r="1589" spans="1:25" x14ac:dyDescent="0.25">
      <c r="A1589" t="str">
        <f>"13-0364"</f>
        <v>13-0364</v>
      </c>
      <c r="D1589" s="8">
        <v>41461</v>
      </c>
      <c r="F1589" s="8">
        <v>41463</v>
      </c>
      <c r="G1589" s="8">
        <v>41461</v>
      </c>
      <c r="Y1589" s="8"/>
    </row>
    <row r="1590" spans="1:25" x14ac:dyDescent="0.25">
      <c r="A1590" t="str">
        <f>"13-0361"</f>
        <v>13-0361</v>
      </c>
      <c r="D1590" s="8">
        <v>41460</v>
      </c>
      <c r="F1590" s="8">
        <v>41460</v>
      </c>
      <c r="G1590" s="8">
        <v>41460</v>
      </c>
      <c r="Y1590" s="8"/>
    </row>
    <row r="1591" spans="1:25" x14ac:dyDescent="0.25">
      <c r="A1591" t="str">
        <f>"13-0362"</f>
        <v>13-0362</v>
      </c>
      <c r="D1591" s="8">
        <v>41460</v>
      </c>
      <c r="F1591" s="8">
        <v>41460</v>
      </c>
      <c r="G1591" s="8">
        <v>41460</v>
      </c>
      <c r="Y1591" s="8"/>
    </row>
    <row r="1592" spans="1:25" x14ac:dyDescent="0.25">
      <c r="A1592" t="str">
        <f>"13-0363"</f>
        <v>13-0363</v>
      </c>
      <c r="D1592" s="8">
        <v>41460</v>
      </c>
      <c r="F1592" s="8">
        <v>41460</v>
      </c>
      <c r="G1592" s="8">
        <v>41460</v>
      </c>
      <c r="Y1592" s="8"/>
    </row>
    <row r="1593" spans="1:25" x14ac:dyDescent="0.25">
      <c r="A1593" t="str">
        <f>"13-0299B"</f>
        <v>13-0299B</v>
      </c>
      <c r="D1593" s="8">
        <v>41459</v>
      </c>
      <c r="F1593" s="8">
        <v>41459</v>
      </c>
      <c r="G1593" s="8">
        <v>41459</v>
      </c>
      <c r="Y1593" s="8"/>
    </row>
    <row r="1594" spans="1:25" x14ac:dyDescent="0.25">
      <c r="A1594" t="str">
        <f>"13-0357"</f>
        <v>13-0357</v>
      </c>
      <c r="D1594" s="8">
        <v>41459</v>
      </c>
      <c r="F1594" s="8">
        <v>41459</v>
      </c>
      <c r="G1594" s="8">
        <v>41459</v>
      </c>
      <c r="Y1594" s="8"/>
    </row>
    <row r="1595" spans="1:25" x14ac:dyDescent="0.25">
      <c r="A1595" t="str">
        <f>"13-0358"</f>
        <v>13-0358</v>
      </c>
      <c r="D1595" s="8">
        <v>41459</v>
      </c>
      <c r="F1595" s="8">
        <v>41459</v>
      </c>
      <c r="G1595" s="8">
        <v>41459</v>
      </c>
      <c r="Y1595" s="8"/>
    </row>
    <row r="1596" spans="1:25" x14ac:dyDescent="0.25">
      <c r="A1596" t="str">
        <f>"13-0359"</f>
        <v>13-0359</v>
      </c>
      <c r="D1596" s="8">
        <v>41459</v>
      </c>
      <c r="F1596" s="8">
        <v>41459</v>
      </c>
      <c r="G1596" s="8">
        <v>41459</v>
      </c>
      <c r="Y1596" s="8"/>
    </row>
    <row r="1597" spans="1:25" x14ac:dyDescent="0.25">
      <c r="A1597" t="str">
        <f>"13-0360"</f>
        <v>13-0360</v>
      </c>
      <c r="D1597" s="8">
        <v>41459</v>
      </c>
      <c r="F1597" s="8">
        <v>41459</v>
      </c>
      <c r="G1597" s="8">
        <v>41459</v>
      </c>
      <c r="Y1597" s="8"/>
    </row>
    <row r="1598" spans="1:25" x14ac:dyDescent="0.25">
      <c r="A1598" t="str">
        <f>"13-0355"</f>
        <v>13-0355</v>
      </c>
      <c r="D1598" s="8">
        <v>41458</v>
      </c>
      <c r="F1598" s="8">
        <v>41458</v>
      </c>
      <c r="G1598" s="8">
        <v>41458</v>
      </c>
      <c r="Y1598" s="8"/>
    </row>
    <row r="1599" spans="1:25" x14ac:dyDescent="0.25">
      <c r="A1599" t="str">
        <f>"13-0355B"</f>
        <v>13-0355B</v>
      </c>
      <c r="D1599" s="8">
        <v>41458</v>
      </c>
      <c r="F1599" s="8">
        <v>41458</v>
      </c>
      <c r="G1599" s="8">
        <v>41458</v>
      </c>
      <c r="Y1599" s="8"/>
    </row>
    <row r="1600" spans="1:25" x14ac:dyDescent="0.25">
      <c r="A1600" t="str">
        <f>"13-0356"</f>
        <v>13-0356</v>
      </c>
      <c r="D1600" s="8">
        <v>41458</v>
      </c>
      <c r="F1600" s="8">
        <v>41460</v>
      </c>
      <c r="G1600" s="8">
        <v>41460</v>
      </c>
      <c r="Y1600" s="8"/>
    </row>
    <row r="1601" spans="1:25" x14ac:dyDescent="0.25">
      <c r="A1601" t="str">
        <f>"13-0352"</f>
        <v>13-0352</v>
      </c>
      <c r="D1601" s="8">
        <v>41457</v>
      </c>
      <c r="F1601" s="8">
        <v>41457</v>
      </c>
      <c r="G1601" s="8">
        <v>41457</v>
      </c>
      <c r="Y1601" s="8"/>
    </row>
    <row r="1602" spans="1:25" x14ac:dyDescent="0.25">
      <c r="A1602" t="str">
        <f>"13-0353"</f>
        <v>13-0353</v>
      </c>
      <c r="D1602" s="8">
        <v>41457</v>
      </c>
      <c r="F1602" s="8">
        <v>41457</v>
      </c>
      <c r="G1602" s="8">
        <v>41457</v>
      </c>
      <c r="Y1602" s="8"/>
    </row>
    <row r="1603" spans="1:25" x14ac:dyDescent="0.25">
      <c r="A1603" t="str">
        <f>"13-0354"</f>
        <v>13-0354</v>
      </c>
      <c r="D1603" s="8">
        <v>41457</v>
      </c>
      <c r="F1603" s="8">
        <v>41457</v>
      </c>
      <c r="G1603" s="8">
        <v>41457</v>
      </c>
      <c r="Y1603" s="8"/>
    </row>
    <row r="1604" spans="1:25" x14ac:dyDescent="0.25">
      <c r="A1604" t="str">
        <f>"13-0350"</f>
        <v>13-0350</v>
      </c>
      <c r="D1604" s="8">
        <v>41456</v>
      </c>
      <c r="F1604" s="8">
        <v>41456</v>
      </c>
      <c r="G1604" s="8">
        <v>41456</v>
      </c>
      <c r="Y1604" s="8"/>
    </row>
    <row r="1605" spans="1:25" x14ac:dyDescent="0.25">
      <c r="A1605" t="str">
        <f>"13-0351"</f>
        <v>13-0351</v>
      </c>
      <c r="D1605" s="8">
        <v>41456</v>
      </c>
      <c r="F1605" s="8">
        <v>41611</v>
      </c>
      <c r="G1605" s="8">
        <v>41459</v>
      </c>
      <c r="Y1605" s="8"/>
    </row>
    <row r="1606" spans="1:25" x14ac:dyDescent="0.25">
      <c r="A1606" t="str">
        <f>"13-0349"</f>
        <v>13-0349</v>
      </c>
      <c r="D1606" s="8">
        <v>41453</v>
      </c>
      <c r="F1606" s="8">
        <v>41453</v>
      </c>
      <c r="G1606" s="8">
        <v>41453</v>
      </c>
      <c r="Y1606" s="8"/>
    </row>
    <row r="1607" spans="1:25" x14ac:dyDescent="0.25">
      <c r="A1607" t="str">
        <f>"13-0320B"</f>
        <v>13-0320B</v>
      </c>
      <c r="D1607" s="8">
        <v>41452</v>
      </c>
      <c r="F1607" s="8">
        <v>41452</v>
      </c>
      <c r="G1607" s="8">
        <v>41452</v>
      </c>
      <c r="Y1607" s="8"/>
    </row>
    <row r="1608" spans="1:25" x14ac:dyDescent="0.25">
      <c r="A1608" t="str">
        <f>"13-0342"</f>
        <v>13-0342</v>
      </c>
      <c r="D1608" s="8">
        <v>41452</v>
      </c>
      <c r="F1608" s="8">
        <v>41452</v>
      </c>
      <c r="G1608" s="8">
        <v>41452</v>
      </c>
      <c r="Y1608" s="8"/>
    </row>
    <row r="1609" spans="1:25" x14ac:dyDescent="0.25">
      <c r="A1609" t="str">
        <f>"13-0343"</f>
        <v>13-0343</v>
      </c>
      <c r="D1609" s="8">
        <v>41452</v>
      </c>
      <c r="F1609" s="8">
        <v>41452</v>
      </c>
      <c r="G1609" s="8">
        <v>41452</v>
      </c>
      <c r="Y1609" s="8"/>
    </row>
    <row r="1610" spans="1:25" x14ac:dyDescent="0.25">
      <c r="A1610" t="str">
        <f>"13-0344"</f>
        <v>13-0344</v>
      </c>
      <c r="D1610" s="8">
        <v>41452</v>
      </c>
      <c r="F1610" s="8">
        <v>41452</v>
      </c>
      <c r="G1610" s="8">
        <v>41452</v>
      </c>
      <c r="Y1610" s="8"/>
    </row>
    <row r="1611" spans="1:25" x14ac:dyDescent="0.25">
      <c r="A1611" t="str">
        <f>"13-0345"</f>
        <v>13-0345</v>
      </c>
      <c r="D1611" s="8">
        <v>41452</v>
      </c>
      <c r="F1611" s="8">
        <v>41452</v>
      </c>
      <c r="G1611" s="8">
        <v>41452</v>
      </c>
      <c r="Y1611" s="8"/>
    </row>
    <row r="1612" spans="1:25" x14ac:dyDescent="0.25">
      <c r="A1612" t="str">
        <f>"13-0346"</f>
        <v>13-0346</v>
      </c>
      <c r="D1612" s="8">
        <v>41452</v>
      </c>
      <c r="F1612" s="8">
        <v>41452</v>
      </c>
      <c r="G1612" s="8">
        <v>41452</v>
      </c>
      <c r="Y1612" s="8"/>
    </row>
    <row r="1613" spans="1:25" x14ac:dyDescent="0.25">
      <c r="A1613" t="str">
        <f>"13-0347"</f>
        <v>13-0347</v>
      </c>
      <c r="D1613" s="8">
        <v>41452</v>
      </c>
      <c r="F1613" s="8">
        <v>41452</v>
      </c>
      <c r="G1613" s="8">
        <v>41452</v>
      </c>
      <c r="Y1613" s="8"/>
    </row>
    <row r="1614" spans="1:25" x14ac:dyDescent="0.25">
      <c r="A1614" t="str">
        <f>"13-0348"</f>
        <v>13-0348</v>
      </c>
      <c r="D1614" s="8">
        <v>41452</v>
      </c>
      <c r="F1614" s="8">
        <v>41452</v>
      </c>
      <c r="G1614" s="8">
        <v>41452</v>
      </c>
      <c r="Y1614" s="8"/>
    </row>
    <row r="1615" spans="1:25" x14ac:dyDescent="0.25">
      <c r="A1615" t="str">
        <f>"13-0336"</f>
        <v>13-0336</v>
      </c>
      <c r="D1615" s="8">
        <v>41451</v>
      </c>
      <c r="F1615" s="8">
        <v>41451</v>
      </c>
      <c r="G1615" s="8">
        <v>41451</v>
      </c>
      <c r="Y1615" s="8"/>
    </row>
    <row r="1616" spans="1:25" x14ac:dyDescent="0.25">
      <c r="A1616" t="str">
        <f>"13-0337"</f>
        <v>13-0337</v>
      </c>
      <c r="D1616" s="8">
        <v>41451</v>
      </c>
      <c r="F1616" s="8">
        <v>41487</v>
      </c>
      <c r="G1616" s="8">
        <v>41451</v>
      </c>
      <c r="Y1616" s="8"/>
    </row>
    <row r="1617" spans="1:25" x14ac:dyDescent="0.25">
      <c r="A1617" t="str">
        <f>"13-0338"</f>
        <v>13-0338</v>
      </c>
      <c r="D1617" s="8">
        <v>41451</v>
      </c>
      <c r="F1617" s="8">
        <v>41451</v>
      </c>
      <c r="G1617" s="8">
        <v>41451</v>
      </c>
      <c r="Y1617" s="8"/>
    </row>
    <row r="1618" spans="1:25" x14ac:dyDescent="0.25">
      <c r="A1618" t="str">
        <f>"13-0339"</f>
        <v>13-0339</v>
      </c>
      <c r="D1618" s="8">
        <v>41451</v>
      </c>
      <c r="F1618" s="8">
        <v>41458</v>
      </c>
      <c r="G1618" s="8">
        <v>41452</v>
      </c>
      <c r="Y1618" s="8"/>
    </row>
    <row r="1619" spans="1:25" x14ac:dyDescent="0.25">
      <c r="A1619" t="str">
        <f>"13-0340"</f>
        <v>13-0340</v>
      </c>
      <c r="D1619" s="8">
        <v>41451</v>
      </c>
      <c r="F1619" s="8">
        <v>41451</v>
      </c>
      <c r="G1619" s="8">
        <v>41451</v>
      </c>
      <c r="Y1619" s="8"/>
    </row>
    <row r="1620" spans="1:25" x14ac:dyDescent="0.25">
      <c r="A1620" t="str">
        <f>"13-0341"</f>
        <v>13-0341</v>
      </c>
      <c r="D1620" s="8">
        <v>41451</v>
      </c>
      <c r="F1620" s="8">
        <v>41451</v>
      </c>
      <c r="G1620" s="8">
        <v>41451</v>
      </c>
      <c r="Y1620" s="8"/>
    </row>
    <row r="1621" spans="1:25" x14ac:dyDescent="0.25">
      <c r="A1621" t="str">
        <f>"13-0334"</f>
        <v>13-0334</v>
      </c>
      <c r="D1621" s="8">
        <v>41450</v>
      </c>
      <c r="F1621" s="8">
        <v>41450</v>
      </c>
      <c r="G1621" s="8">
        <v>41450</v>
      </c>
      <c r="Y1621" s="8"/>
    </row>
    <row r="1622" spans="1:25" x14ac:dyDescent="0.25">
      <c r="A1622" t="str">
        <f>"13-0335"</f>
        <v>13-0335</v>
      </c>
      <c r="D1622" s="8">
        <v>41450</v>
      </c>
      <c r="F1622" s="8">
        <v>41450</v>
      </c>
      <c r="G1622" s="8">
        <v>41450</v>
      </c>
      <c r="Y1622" s="8"/>
    </row>
    <row r="1623" spans="1:25" x14ac:dyDescent="0.25">
      <c r="A1623" t="str">
        <f>"13-0330"</f>
        <v>13-0330</v>
      </c>
      <c r="D1623" s="8">
        <v>41449</v>
      </c>
      <c r="F1623" s="8">
        <v>41449</v>
      </c>
      <c r="G1623" s="8">
        <v>41449</v>
      </c>
      <c r="Y1623" s="8"/>
    </row>
    <row r="1624" spans="1:25" x14ac:dyDescent="0.25">
      <c r="A1624" t="str">
        <f>"13-0331"</f>
        <v>13-0331</v>
      </c>
      <c r="D1624" s="8">
        <v>41449</v>
      </c>
      <c r="F1624" s="8">
        <v>41449</v>
      </c>
      <c r="G1624" s="8">
        <v>41449</v>
      </c>
      <c r="Y1624" s="8"/>
    </row>
    <row r="1625" spans="1:25" x14ac:dyDescent="0.25">
      <c r="A1625" t="str">
        <f>"13-0331B"</f>
        <v>13-0331B</v>
      </c>
      <c r="D1625" s="8">
        <v>41449</v>
      </c>
      <c r="F1625" s="8">
        <v>41449</v>
      </c>
      <c r="G1625" s="8">
        <v>41449</v>
      </c>
      <c r="Y1625" s="8"/>
    </row>
    <row r="1626" spans="1:25" x14ac:dyDescent="0.25">
      <c r="A1626" t="str">
        <f>"13-0332"</f>
        <v>13-0332</v>
      </c>
      <c r="D1626" s="8">
        <v>41449</v>
      </c>
      <c r="F1626" s="8">
        <v>41449</v>
      </c>
      <c r="G1626" s="8">
        <v>41449</v>
      </c>
      <c r="Y1626" s="8"/>
    </row>
    <row r="1627" spans="1:25" x14ac:dyDescent="0.25">
      <c r="A1627" t="str">
        <f>"13-0333"</f>
        <v>13-0333</v>
      </c>
      <c r="D1627" s="8">
        <v>41449</v>
      </c>
      <c r="F1627" s="8">
        <v>41449</v>
      </c>
      <c r="G1627" s="8">
        <v>41449</v>
      </c>
      <c r="Y1627" s="8"/>
    </row>
    <row r="1628" spans="1:25" x14ac:dyDescent="0.25">
      <c r="A1628" t="str">
        <f>"13-0326"</f>
        <v>13-0326</v>
      </c>
      <c r="D1628" s="8">
        <v>41445</v>
      </c>
      <c r="F1628" s="8">
        <v>41445</v>
      </c>
      <c r="G1628" s="8">
        <v>41445</v>
      </c>
      <c r="Y1628" s="8"/>
    </row>
    <row r="1629" spans="1:25" x14ac:dyDescent="0.25">
      <c r="A1629" t="str">
        <f>"13-0327"</f>
        <v>13-0327</v>
      </c>
      <c r="D1629" s="8">
        <v>41445</v>
      </c>
      <c r="F1629" s="8">
        <v>41445</v>
      </c>
      <c r="G1629" s="8">
        <v>41445</v>
      </c>
      <c r="Y1629" s="8"/>
    </row>
    <row r="1630" spans="1:25" x14ac:dyDescent="0.25">
      <c r="A1630" t="str">
        <f>"13-0328"</f>
        <v>13-0328</v>
      </c>
      <c r="D1630" s="8">
        <v>41445</v>
      </c>
      <c r="F1630" s="8">
        <v>41445</v>
      </c>
      <c r="G1630" s="8">
        <v>41445</v>
      </c>
      <c r="Y1630" s="8"/>
    </row>
    <row r="1631" spans="1:25" x14ac:dyDescent="0.25">
      <c r="A1631" t="str">
        <f>"13-0329"</f>
        <v>13-0329</v>
      </c>
      <c r="D1631" s="8">
        <v>41445</v>
      </c>
      <c r="F1631" s="8">
        <v>41445</v>
      </c>
      <c r="G1631" s="8">
        <v>41445</v>
      </c>
      <c r="Y1631" s="8"/>
    </row>
    <row r="1632" spans="1:25" x14ac:dyDescent="0.25">
      <c r="A1632" t="str">
        <f>"13-0323"</f>
        <v>13-0323</v>
      </c>
      <c r="D1632" s="8">
        <v>41444</v>
      </c>
      <c r="F1632" s="8">
        <v>41444</v>
      </c>
      <c r="G1632" s="8">
        <v>41444</v>
      </c>
      <c r="Y1632" s="8"/>
    </row>
    <row r="1633" spans="1:25" x14ac:dyDescent="0.25">
      <c r="A1633" t="str">
        <f>"13-0323B"</f>
        <v>13-0323B</v>
      </c>
      <c r="D1633" s="8">
        <v>41444</v>
      </c>
      <c r="F1633" s="8">
        <v>41444</v>
      </c>
      <c r="G1633" s="8">
        <v>41444</v>
      </c>
      <c r="Y1633" s="8"/>
    </row>
    <row r="1634" spans="1:25" x14ac:dyDescent="0.25">
      <c r="A1634" t="str">
        <f>"13-0324"</f>
        <v>13-0324</v>
      </c>
      <c r="D1634" s="8">
        <v>41444</v>
      </c>
      <c r="F1634" s="8">
        <v>41444</v>
      </c>
      <c r="G1634" s="8">
        <v>41444</v>
      </c>
      <c r="Y1634" s="8"/>
    </row>
    <row r="1635" spans="1:25" x14ac:dyDescent="0.25">
      <c r="A1635" t="str">
        <f>"13-0325"</f>
        <v>13-0325</v>
      </c>
      <c r="D1635" s="8">
        <v>41444</v>
      </c>
      <c r="F1635" s="8">
        <v>41444</v>
      </c>
      <c r="G1635" s="8">
        <v>41444</v>
      </c>
      <c r="Y1635" s="8"/>
    </row>
    <row r="1636" spans="1:25" x14ac:dyDescent="0.25">
      <c r="A1636" t="str">
        <f>"13-0322"</f>
        <v>13-0322</v>
      </c>
      <c r="D1636" s="8">
        <v>41443</v>
      </c>
      <c r="F1636" s="8">
        <v>41443</v>
      </c>
      <c r="G1636" s="8">
        <v>41443</v>
      </c>
      <c r="Y1636" s="8"/>
    </row>
    <row r="1637" spans="1:25" x14ac:dyDescent="0.25">
      <c r="A1637" t="str">
        <f>"13-0318B"</f>
        <v>13-0318B</v>
      </c>
      <c r="D1637" s="8">
        <v>41442</v>
      </c>
      <c r="F1637" s="8">
        <v>41442</v>
      </c>
      <c r="G1637" s="8">
        <v>41442</v>
      </c>
      <c r="Y1637" s="8"/>
    </row>
    <row r="1638" spans="1:25" x14ac:dyDescent="0.25">
      <c r="A1638" t="str">
        <f>"13-0319"</f>
        <v>13-0319</v>
      </c>
      <c r="D1638" s="8">
        <v>41442</v>
      </c>
      <c r="F1638" s="8">
        <v>41442</v>
      </c>
      <c r="G1638" s="8">
        <v>41442</v>
      </c>
      <c r="Y1638" s="8"/>
    </row>
    <row r="1639" spans="1:25" x14ac:dyDescent="0.25">
      <c r="A1639" t="str">
        <f>"13-0320"</f>
        <v>13-0320</v>
      </c>
      <c r="D1639" s="8">
        <v>41442</v>
      </c>
      <c r="F1639" s="8">
        <v>41452</v>
      </c>
      <c r="G1639" s="8">
        <v>41442</v>
      </c>
      <c r="Y1639" s="8"/>
    </row>
    <row r="1640" spans="1:25" x14ac:dyDescent="0.25">
      <c r="A1640" t="str">
        <f>"13-0321"</f>
        <v>13-0321</v>
      </c>
      <c r="D1640" s="8">
        <v>41442</v>
      </c>
      <c r="F1640" s="8">
        <v>41442</v>
      </c>
      <c r="G1640" s="8">
        <v>41442</v>
      </c>
      <c r="Y1640" s="8"/>
    </row>
    <row r="1641" spans="1:25" x14ac:dyDescent="0.25">
      <c r="A1641" t="str">
        <f>"13-0281B"</f>
        <v>13-0281B</v>
      </c>
      <c r="D1641" s="8">
        <v>41439</v>
      </c>
      <c r="F1641" s="8">
        <v>41439</v>
      </c>
      <c r="G1641" s="8">
        <v>41439</v>
      </c>
      <c r="Y1641" s="8"/>
    </row>
    <row r="1642" spans="1:25" x14ac:dyDescent="0.25">
      <c r="A1642" t="str">
        <f>"13-0317"</f>
        <v>13-0317</v>
      </c>
      <c r="D1642" s="8">
        <v>41439</v>
      </c>
      <c r="F1642" s="8">
        <v>41439</v>
      </c>
      <c r="G1642" s="8">
        <v>41439</v>
      </c>
      <c r="Y1642" s="8"/>
    </row>
    <row r="1643" spans="1:25" x14ac:dyDescent="0.25">
      <c r="A1643" t="str">
        <f>"13-0318"</f>
        <v>13-0318</v>
      </c>
      <c r="D1643" s="8">
        <v>41439</v>
      </c>
      <c r="F1643" s="8">
        <v>41439</v>
      </c>
      <c r="G1643" s="8">
        <v>41439</v>
      </c>
      <c r="Y1643" s="8"/>
    </row>
    <row r="1644" spans="1:25" x14ac:dyDescent="0.25">
      <c r="A1644" t="str">
        <f>"13-0311"</f>
        <v>13-0311</v>
      </c>
      <c r="D1644" s="8">
        <v>41438</v>
      </c>
      <c r="F1644" s="8">
        <v>41438</v>
      </c>
      <c r="G1644" s="8">
        <v>41438</v>
      </c>
      <c r="Y1644" s="8"/>
    </row>
    <row r="1645" spans="1:25" x14ac:dyDescent="0.25">
      <c r="A1645" t="str">
        <f>"13-0312"</f>
        <v>13-0312</v>
      </c>
      <c r="D1645" s="8">
        <v>41438</v>
      </c>
      <c r="F1645" s="8">
        <v>41438</v>
      </c>
      <c r="G1645" s="8">
        <v>41438</v>
      </c>
      <c r="Y1645" s="8"/>
    </row>
    <row r="1646" spans="1:25" x14ac:dyDescent="0.25">
      <c r="A1646" t="str">
        <f>"13-0312B"</f>
        <v>13-0312B</v>
      </c>
      <c r="D1646" s="8">
        <v>41438</v>
      </c>
      <c r="F1646" s="8">
        <v>41438</v>
      </c>
      <c r="G1646" s="8">
        <v>41438</v>
      </c>
      <c r="Y1646" s="8"/>
    </row>
    <row r="1647" spans="1:25" x14ac:dyDescent="0.25">
      <c r="A1647" t="str">
        <f>"13-0312C"</f>
        <v>13-0312C</v>
      </c>
      <c r="D1647" s="8">
        <v>41438</v>
      </c>
      <c r="F1647" s="8">
        <v>41442</v>
      </c>
      <c r="G1647" s="8">
        <v>41438</v>
      </c>
      <c r="Y1647" s="8"/>
    </row>
    <row r="1648" spans="1:25" x14ac:dyDescent="0.25">
      <c r="A1648" t="str">
        <f>"13-0313"</f>
        <v>13-0313</v>
      </c>
      <c r="D1648" s="8">
        <v>41438</v>
      </c>
      <c r="F1648" s="8">
        <v>41438</v>
      </c>
      <c r="G1648" s="8">
        <v>41442</v>
      </c>
      <c r="Y1648" s="8"/>
    </row>
    <row r="1649" spans="1:25" x14ac:dyDescent="0.25">
      <c r="A1649" t="str">
        <f>"13-0314"</f>
        <v>13-0314</v>
      </c>
      <c r="D1649" s="8">
        <v>41438</v>
      </c>
      <c r="F1649" s="8">
        <v>41439</v>
      </c>
      <c r="G1649" s="8">
        <v>41436</v>
      </c>
      <c r="Y1649" s="8"/>
    </row>
    <row r="1650" spans="1:25" x14ac:dyDescent="0.25">
      <c r="A1650" t="str">
        <f>"13-0315"</f>
        <v>13-0315</v>
      </c>
      <c r="D1650" s="8">
        <v>41438</v>
      </c>
      <c r="F1650" s="8">
        <v>41438</v>
      </c>
      <c r="G1650" s="8">
        <v>41438</v>
      </c>
      <c r="Y1650" s="8"/>
    </row>
    <row r="1651" spans="1:25" x14ac:dyDescent="0.25">
      <c r="A1651" t="str">
        <f>"13-0316"</f>
        <v>13-0316</v>
      </c>
      <c r="D1651" s="8">
        <v>41438</v>
      </c>
      <c r="F1651" s="8">
        <v>41438</v>
      </c>
      <c r="G1651" s="8">
        <v>41438</v>
      </c>
      <c r="Y1651" s="8"/>
    </row>
    <row r="1652" spans="1:25" x14ac:dyDescent="0.25">
      <c r="A1652" t="str">
        <f>"13-0307"</f>
        <v>13-0307</v>
      </c>
      <c r="D1652" s="8">
        <v>41437</v>
      </c>
      <c r="F1652" s="8">
        <v>41437</v>
      </c>
      <c r="G1652" s="8">
        <v>41437</v>
      </c>
      <c r="Y1652" s="8"/>
    </row>
    <row r="1653" spans="1:25" x14ac:dyDescent="0.25">
      <c r="A1653" t="str">
        <f>"13-0308"</f>
        <v>13-0308</v>
      </c>
      <c r="D1653" s="8">
        <v>41437</v>
      </c>
      <c r="F1653" s="8">
        <v>41438</v>
      </c>
      <c r="G1653" s="8">
        <v>41437</v>
      </c>
      <c r="Y1653" s="8"/>
    </row>
    <row r="1654" spans="1:25" x14ac:dyDescent="0.25">
      <c r="A1654" t="str">
        <f>"13-0310"</f>
        <v>13-0310</v>
      </c>
      <c r="D1654" s="8">
        <v>41437</v>
      </c>
      <c r="F1654" s="8">
        <v>41437</v>
      </c>
      <c r="G1654" s="8">
        <v>41437</v>
      </c>
      <c r="Y1654" s="8"/>
    </row>
    <row r="1655" spans="1:25" x14ac:dyDescent="0.25">
      <c r="A1655" t="str">
        <f>"13-0304"</f>
        <v>13-0304</v>
      </c>
      <c r="D1655" s="8">
        <v>41436</v>
      </c>
      <c r="F1655" s="8">
        <v>41436</v>
      </c>
      <c r="G1655" s="8">
        <v>41436</v>
      </c>
      <c r="Y1655" s="8"/>
    </row>
    <row r="1656" spans="1:25" x14ac:dyDescent="0.25">
      <c r="A1656" t="str">
        <f>"13-0305"</f>
        <v>13-0305</v>
      </c>
      <c r="D1656" s="8">
        <v>41436</v>
      </c>
      <c r="F1656" s="8">
        <v>41436</v>
      </c>
      <c r="G1656" s="8">
        <v>41436</v>
      </c>
      <c r="Y1656" s="8"/>
    </row>
    <row r="1657" spans="1:25" x14ac:dyDescent="0.25">
      <c r="A1657" t="str">
        <f>"13-0306"</f>
        <v>13-0306</v>
      </c>
      <c r="D1657" s="8">
        <v>41436</v>
      </c>
      <c r="F1657" s="8">
        <v>41436</v>
      </c>
      <c r="G1657" s="8">
        <v>41436</v>
      </c>
      <c r="Y1657" s="8"/>
    </row>
    <row r="1658" spans="1:25" x14ac:dyDescent="0.25">
      <c r="A1658" t="str">
        <f>"13-0287B"</f>
        <v>13-0287B</v>
      </c>
      <c r="D1658" s="8">
        <v>41435</v>
      </c>
      <c r="F1658" s="8">
        <v>41435</v>
      </c>
      <c r="G1658" s="8">
        <v>41435</v>
      </c>
      <c r="Y1658" s="8"/>
    </row>
    <row r="1659" spans="1:25" x14ac:dyDescent="0.25">
      <c r="A1659" t="str">
        <f>"13-0302B"</f>
        <v>13-0302B</v>
      </c>
      <c r="D1659" s="8">
        <v>41435</v>
      </c>
      <c r="F1659" s="8">
        <v>41435</v>
      </c>
      <c r="G1659" s="8">
        <v>41435</v>
      </c>
      <c r="Y1659" s="8"/>
    </row>
    <row r="1660" spans="1:25" x14ac:dyDescent="0.25">
      <c r="A1660" t="str">
        <f>"13-0303"</f>
        <v>13-0303</v>
      </c>
      <c r="D1660" s="8">
        <v>41435</v>
      </c>
      <c r="F1660" s="8">
        <v>41435</v>
      </c>
      <c r="G1660" s="8">
        <v>41435</v>
      </c>
      <c r="Y1660" s="8"/>
    </row>
    <row r="1661" spans="1:25" x14ac:dyDescent="0.25">
      <c r="A1661" t="str">
        <f>"13-0301"</f>
        <v>13-0301</v>
      </c>
      <c r="D1661" s="8">
        <v>41432</v>
      </c>
      <c r="F1661" s="8">
        <v>41432</v>
      </c>
      <c r="G1661" s="8">
        <v>41432</v>
      </c>
      <c r="Y1661" s="8"/>
    </row>
    <row r="1662" spans="1:25" x14ac:dyDescent="0.25">
      <c r="A1662" t="str">
        <f>"13-0302"</f>
        <v>13-0302</v>
      </c>
      <c r="D1662" s="8">
        <v>41432</v>
      </c>
      <c r="F1662" s="8">
        <v>41432</v>
      </c>
      <c r="G1662" s="8">
        <v>41425</v>
      </c>
      <c r="Y1662" s="8"/>
    </row>
    <row r="1663" spans="1:25" x14ac:dyDescent="0.25">
      <c r="A1663" t="str">
        <f>"13-0284"</f>
        <v>13-0284</v>
      </c>
      <c r="D1663" s="8">
        <v>41431</v>
      </c>
      <c r="F1663" s="8">
        <v>41431</v>
      </c>
      <c r="G1663" s="8">
        <v>41431</v>
      </c>
      <c r="Y1663" s="8"/>
    </row>
    <row r="1664" spans="1:25" x14ac:dyDescent="0.25">
      <c r="A1664" t="str">
        <f>"13-0300"</f>
        <v>13-0300</v>
      </c>
      <c r="D1664" s="8">
        <v>41431</v>
      </c>
      <c r="F1664" s="8">
        <v>41431</v>
      </c>
      <c r="G1664" s="8">
        <v>41431</v>
      </c>
      <c r="Y1664" s="8"/>
    </row>
    <row r="1665" spans="1:25" x14ac:dyDescent="0.25">
      <c r="A1665" t="str">
        <f>"13-0297"</f>
        <v>13-0297</v>
      </c>
      <c r="D1665" s="8">
        <v>41430</v>
      </c>
      <c r="F1665" s="8">
        <v>41430</v>
      </c>
      <c r="G1665" s="8">
        <v>41431</v>
      </c>
      <c r="Y1665" s="8"/>
    </row>
    <row r="1666" spans="1:25" x14ac:dyDescent="0.25">
      <c r="A1666" t="str">
        <f>"13-0298"</f>
        <v>13-0298</v>
      </c>
      <c r="D1666" s="8">
        <v>41430</v>
      </c>
      <c r="F1666" s="8">
        <v>41430</v>
      </c>
      <c r="G1666" s="8">
        <v>41428</v>
      </c>
      <c r="Y1666" s="8"/>
    </row>
    <row r="1667" spans="1:25" x14ac:dyDescent="0.25">
      <c r="A1667" t="str">
        <f>"13-0299"</f>
        <v>13-0299</v>
      </c>
      <c r="D1667" s="8">
        <v>41430</v>
      </c>
      <c r="F1667" s="8">
        <v>41430</v>
      </c>
      <c r="G1667" s="8">
        <v>41430</v>
      </c>
      <c r="Y1667" s="8"/>
    </row>
    <row r="1668" spans="1:25" x14ac:dyDescent="0.25">
      <c r="A1668" t="str">
        <f>"13-0295"</f>
        <v>13-0295</v>
      </c>
      <c r="D1668" s="8">
        <v>41429</v>
      </c>
      <c r="F1668" s="8">
        <v>41435</v>
      </c>
      <c r="G1668" s="8">
        <v>41429</v>
      </c>
      <c r="Y1668" s="8"/>
    </row>
    <row r="1669" spans="1:25" x14ac:dyDescent="0.25">
      <c r="A1669" t="str">
        <f>"13-0296"</f>
        <v>13-0296</v>
      </c>
      <c r="D1669" s="8">
        <v>41429</v>
      </c>
      <c r="F1669" s="8">
        <v>41429</v>
      </c>
      <c r="G1669" s="8">
        <v>41429</v>
      </c>
      <c r="Y1669" s="8"/>
    </row>
    <row r="1670" spans="1:25" x14ac:dyDescent="0.25">
      <c r="A1670" t="str">
        <f>"13-0293"</f>
        <v>13-0293</v>
      </c>
      <c r="D1670" s="8">
        <v>41428</v>
      </c>
      <c r="F1670" s="8">
        <v>41619</v>
      </c>
      <c r="G1670" s="8">
        <v>41428</v>
      </c>
      <c r="Y1670" s="8"/>
    </row>
    <row r="1671" spans="1:25" x14ac:dyDescent="0.25">
      <c r="A1671" t="str">
        <f>"13-0294"</f>
        <v>13-0294</v>
      </c>
      <c r="D1671" s="8">
        <v>41428</v>
      </c>
      <c r="F1671" s="8">
        <v>41428</v>
      </c>
      <c r="G1671" s="8">
        <v>41428</v>
      </c>
      <c r="Y1671" s="8"/>
    </row>
    <row r="1672" spans="1:25" x14ac:dyDescent="0.25">
      <c r="A1672" t="str">
        <f>"13-0284B"</f>
        <v>13-0284B</v>
      </c>
      <c r="D1672" s="8">
        <v>41425</v>
      </c>
      <c r="F1672" s="8">
        <v>41425</v>
      </c>
      <c r="G1672" s="8">
        <v>41425</v>
      </c>
      <c r="Y1672" s="8"/>
    </row>
    <row r="1673" spans="1:25" x14ac:dyDescent="0.25">
      <c r="A1673" t="str">
        <f>"13-0288"</f>
        <v>13-0288</v>
      </c>
      <c r="D1673" s="8">
        <v>41425</v>
      </c>
      <c r="F1673" s="8">
        <v>41425</v>
      </c>
      <c r="G1673" s="8">
        <v>41425</v>
      </c>
      <c r="Y1673" s="8"/>
    </row>
    <row r="1674" spans="1:25" x14ac:dyDescent="0.25">
      <c r="A1674" t="str">
        <f>"13-0290"</f>
        <v>13-0290</v>
      </c>
      <c r="D1674" s="8">
        <v>41425</v>
      </c>
      <c r="F1674" s="8">
        <v>41425</v>
      </c>
      <c r="G1674" s="8">
        <v>41425</v>
      </c>
      <c r="Y1674" s="8"/>
    </row>
    <row r="1675" spans="1:25" x14ac:dyDescent="0.25">
      <c r="A1675" t="str">
        <f>"13-0291"</f>
        <v>13-0291</v>
      </c>
      <c r="D1675" s="8">
        <v>41425</v>
      </c>
      <c r="F1675" s="8">
        <v>41425</v>
      </c>
      <c r="G1675" s="8">
        <v>41425</v>
      </c>
      <c r="Y1675" s="8"/>
    </row>
    <row r="1676" spans="1:25" x14ac:dyDescent="0.25">
      <c r="A1676" t="str">
        <f>"13-0292"</f>
        <v>13-0292</v>
      </c>
      <c r="D1676" s="8">
        <v>41425</v>
      </c>
      <c r="F1676" s="8">
        <v>41425</v>
      </c>
      <c r="G1676" s="8">
        <v>41435</v>
      </c>
      <c r="Y1676" s="8"/>
    </row>
    <row r="1677" spans="1:25" x14ac:dyDescent="0.25">
      <c r="A1677" t="str">
        <f>"13-0283"</f>
        <v>13-0283</v>
      </c>
      <c r="D1677" s="8">
        <v>41424</v>
      </c>
      <c r="F1677" s="8">
        <v>41424</v>
      </c>
      <c r="G1677" s="8">
        <v>41424</v>
      </c>
      <c r="Y1677" s="8"/>
    </row>
    <row r="1678" spans="1:25" x14ac:dyDescent="0.25">
      <c r="A1678" t="str">
        <f>"13-0285"</f>
        <v>13-0285</v>
      </c>
      <c r="D1678" s="8">
        <v>41424</v>
      </c>
      <c r="F1678" s="8">
        <v>41424</v>
      </c>
      <c r="G1678" s="8">
        <v>41425</v>
      </c>
      <c r="Y1678" s="8"/>
    </row>
    <row r="1679" spans="1:25" x14ac:dyDescent="0.25">
      <c r="A1679" t="str">
        <f>"13-0286"</f>
        <v>13-0286</v>
      </c>
      <c r="D1679" s="8">
        <v>41424</v>
      </c>
      <c r="F1679" s="8">
        <v>41424</v>
      </c>
      <c r="G1679" s="8">
        <v>41424</v>
      </c>
      <c r="Y1679" s="8"/>
    </row>
    <row r="1680" spans="1:25" x14ac:dyDescent="0.25">
      <c r="A1680" t="str">
        <f>"13-0287"</f>
        <v>13-0287</v>
      </c>
      <c r="D1680" s="8">
        <v>41424</v>
      </c>
      <c r="F1680" s="8">
        <v>41424</v>
      </c>
      <c r="G1680" s="8">
        <v>41424</v>
      </c>
      <c r="Y1680" s="8"/>
    </row>
    <row r="1681" spans="1:25" x14ac:dyDescent="0.25">
      <c r="A1681" t="str">
        <f>"13-0280"</f>
        <v>13-0280</v>
      </c>
      <c r="D1681" s="8">
        <v>41423</v>
      </c>
      <c r="F1681" s="8">
        <v>41423</v>
      </c>
      <c r="G1681" s="8">
        <v>41423</v>
      </c>
      <c r="Y1681" s="8"/>
    </row>
    <row r="1682" spans="1:25" x14ac:dyDescent="0.25">
      <c r="A1682" t="str">
        <f>"13-0281"</f>
        <v>13-0281</v>
      </c>
      <c r="D1682" s="8">
        <v>41423</v>
      </c>
      <c r="F1682" s="8">
        <v>41439</v>
      </c>
      <c r="G1682" s="8">
        <v>41423</v>
      </c>
      <c r="Y1682" s="8"/>
    </row>
    <row r="1683" spans="1:25" x14ac:dyDescent="0.25">
      <c r="A1683" t="str">
        <f>"13-0282"</f>
        <v>13-0282</v>
      </c>
      <c r="D1683" s="8">
        <v>41423</v>
      </c>
      <c r="F1683" s="8">
        <v>41423</v>
      </c>
      <c r="G1683" s="8">
        <v>41423</v>
      </c>
      <c r="Y1683" s="8"/>
    </row>
    <row r="1684" spans="1:25" x14ac:dyDescent="0.25">
      <c r="A1684" t="str">
        <f>"13-0279"</f>
        <v>13-0279</v>
      </c>
      <c r="D1684" s="8">
        <v>41421</v>
      </c>
      <c r="F1684" s="8">
        <v>41421</v>
      </c>
      <c r="G1684" s="8">
        <v>41421</v>
      </c>
      <c r="Y1684" s="8"/>
    </row>
    <row r="1685" spans="1:25" x14ac:dyDescent="0.25">
      <c r="A1685" t="str">
        <f>"13-0276"</f>
        <v>13-0276</v>
      </c>
      <c r="D1685" s="8">
        <v>41418</v>
      </c>
      <c r="F1685" s="8">
        <v>41418</v>
      </c>
      <c r="G1685" s="8">
        <v>41418</v>
      </c>
      <c r="Y1685" s="8"/>
    </row>
    <row r="1686" spans="1:25" x14ac:dyDescent="0.25">
      <c r="A1686" t="str">
        <f>"13-0277"</f>
        <v>13-0277</v>
      </c>
      <c r="D1686" s="8">
        <v>41418</v>
      </c>
      <c r="F1686" s="8">
        <v>41418</v>
      </c>
      <c r="G1686" s="8">
        <v>41418</v>
      </c>
      <c r="Y1686" s="8"/>
    </row>
    <row r="1687" spans="1:25" x14ac:dyDescent="0.25">
      <c r="A1687" t="str">
        <f>"13-0278"</f>
        <v>13-0278</v>
      </c>
      <c r="D1687" s="8">
        <v>41418</v>
      </c>
      <c r="F1687" s="8">
        <v>41418</v>
      </c>
      <c r="G1687" s="8">
        <v>41418</v>
      </c>
      <c r="Y1687" s="8"/>
    </row>
    <row r="1688" spans="1:25" x14ac:dyDescent="0.25">
      <c r="A1688" t="str">
        <f>"13-0271"</f>
        <v>13-0271</v>
      </c>
      <c r="D1688" s="8">
        <v>41417</v>
      </c>
      <c r="F1688" s="8">
        <v>41417</v>
      </c>
      <c r="G1688" s="8">
        <v>41417</v>
      </c>
      <c r="Y1688" s="8"/>
    </row>
    <row r="1689" spans="1:25" x14ac:dyDescent="0.25">
      <c r="A1689" t="str">
        <f>"13-0272"</f>
        <v>13-0272</v>
      </c>
      <c r="D1689" s="8">
        <v>41417</v>
      </c>
      <c r="F1689" s="8">
        <v>41417</v>
      </c>
      <c r="G1689" s="8">
        <v>41417</v>
      </c>
      <c r="Y1689" s="8"/>
    </row>
    <row r="1690" spans="1:25" x14ac:dyDescent="0.25">
      <c r="A1690" t="str">
        <f>"13-0273"</f>
        <v>13-0273</v>
      </c>
      <c r="D1690" s="8">
        <v>41417</v>
      </c>
      <c r="F1690" s="8">
        <v>41417</v>
      </c>
      <c r="G1690" s="8">
        <v>41417</v>
      </c>
      <c r="Y1690" s="8"/>
    </row>
    <row r="1691" spans="1:25" x14ac:dyDescent="0.25">
      <c r="A1691" t="str">
        <f>"13-0274"</f>
        <v>13-0274</v>
      </c>
      <c r="D1691" s="8">
        <v>41417</v>
      </c>
      <c r="F1691" s="8">
        <v>41417</v>
      </c>
      <c r="G1691" s="8">
        <v>41417</v>
      </c>
      <c r="Y1691" s="8"/>
    </row>
    <row r="1692" spans="1:25" x14ac:dyDescent="0.25">
      <c r="A1692" t="str">
        <f>"13-0275"</f>
        <v>13-0275</v>
      </c>
      <c r="D1692" s="8">
        <v>41417</v>
      </c>
      <c r="F1692" s="8">
        <v>41417</v>
      </c>
      <c r="G1692" s="8">
        <v>41417</v>
      </c>
      <c r="Y1692" s="8"/>
    </row>
    <row r="1693" spans="1:25" x14ac:dyDescent="0.25">
      <c r="A1693" t="str">
        <f>"13-0268"</f>
        <v>13-0268</v>
      </c>
      <c r="D1693" s="8">
        <v>41415</v>
      </c>
      <c r="F1693" s="8">
        <v>41415</v>
      </c>
      <c r="G1693" s="8">
        <v>41415</v>
      </c>
      <c r="Y1693" s="8"/>
    </row>
    <row r="1694" spans="1:25" x14ac:dyDescent="0.25">
      <c r="A1694" t="str">
        <f>"13-0269"</f>
        <v>13-0269</v>
      </c>
      <c r="D1694" s="8">
        <v>41415</v>
      </c>
      <c r="F1694" s="8">
        <v>41415</v>
      </c>
      <c r="G1694" s="8">
        <v>41393</v>
      </c>
      <c r="Y1694" s="8"/>
    </row>
    <row r="1695" spans="1:25" x14ac:dyDescent="0.25">
      <c r="A1695" t="str">
        <f>"13-0270"</f>
        <v>13-0270</v>
      </c>
      <c r="D1695" s="8">
        <v>41415</v>
      </c>
      <c r="F1695" s="8">
        <v>41418</v>
      </c>
      <c r="G1695" s="8">
        <v>41415</v>
      </c>
      <c r="Y1695" s="8"/>
    </row>
    <row r="1696" spans="1:25" x14ac:dyDescent="0.25">
      <c r="A1696" t="str">
        <f>"13-0266"</f>
        <v>13-0266</v>
      </c>
      <c r="D1696" s="8">
        <v>41411</v>
      </c>
      <c r="F1696" s="8">
        <v>41411</v>
      </c>
      <c r="G1696" s="8">
        <v>41411</v>
      </c>
      <c r="Y1696" s="8"/>
    </row>
    <row r="1697" spans="1:25" x14ac:dyDescent="0.25">
      <c r="A1697" t="str">
        <f>"13-0267"</f>
        <v>13-0267</v>
      </c>
      <c r="D1697" s="8">
        <v>41411</v>
      </c>
      <c r="F1697" s="8">
        <v>41411</v>
      </c>
      <c r="G1697" s="8">
        <v>41411</v>
      </c>
      <c r="Y1697" s="8"/>
    </row>
    <row r="1698" spans="1:25" x14ac:dyDescent="0.25">
      <c r="A1698" t="str">
        <f>"13-0265"</f>
        <v>13-0265</v>
      </c>
      <c r="D1698" s="8">
        <v>41410</v>
      </c>
      <c r="F1698" s="8">
        <v>41410</v>
      </c>
      <c r="G1698" s="8">
        <v>41410</v>
      </c>
      <c r="Y1698" s="8"/>
    </row>
    <row r="1699" spans="1:25" x14ac:dyDescent="0.25">
      <c r="A1699" t="str">
        <f>"13-0262"</f>
        <v>13-0262</v>
      </c>
      <c r="D1699" s="8">
        <v>41409</v>
      </c>
      <c r="F1699" s="8">
        <v>41409</v>
      </c>
      <c r="G1699" s="8">
        <v>41409</v>
      </c>
      <c r="Y1699" s="8"/>
    </row>
    <row r="1700" spans="1:25" x14ac:dyDescent="0.25">
      <c r="A1700" t="str">
        <f>"13-0263"</f>
        <v>13-0263</v>
      </c>
      <c r="D1700" s="8">
        <v>41409</v>
      </c>
      <c r="F1700" s="8">
        <v>41409</v>
      </c>
      <c r="G1700" s="8">
        <v>41409</v>
      </c>
      <c r="Y1700" s="8"/>
    </row>
    <row r="1701" spans="1:25" x14ac:dyDescent="0.25">
      <c r="A1701" t="str">
        <f>"13-0264"</f>
        <v>13-0264</v>
      </c>
      <c r="D1701" s="8">
        <v>41409</v>
      </c>
      <c r="F1701" s="8">
        <v>41409</v>
      </c>
      <c r="G1701" s="8">
        <v>41409</v>
      </c>
      <c r="Y1701" s="8"/>
    </row>
    <row r="1702" spans="1:25" x14ac:dyDescent="0.25">
      <c r="A1702" t="str">
        <f>"13-0260"</f>
        <v>13-0260</v>
      </c>
      <c r="D1702" s="8">
        <v>41408</v>
      </c>
      <c r="F1702" s="8">
        <v>41408</v>
      </c>
      <c r="G1702" s="8">
        <v>41408</v>
      </c>
      <c r="Y1702" s="8"/>
    </row>
    <row r="1703" spans="1:25" x14ac:dyDescent="0.25">
      <c r="A1703" t="str">
        <f>"13-0261"</f>
        <v>13-0261</v>
      </c>
      <c r="D1703" s="8">
        <v>41408</v>
      </c>
      <c r="F1703" s="8">
        <v>41408</v>
      </c>
      <c r="G1703" s="8">
        <v>41408</v>
      </c>
      <c r="Y1703" s="8"/>
    </row>
    <row r="1704" spans="1:25" x14ac:dyDescent="0.25">
      <c r="A1704" t="str">
        <f>"13-0255"</f>
        <v>13-0255</v>
      </c>
      <c r="D1704" s="8">
        <v>41407</v>
      </c>
      <c r="F1704" s="8">
        <v>41407</v>
      </c>
      <c r="G1704" s="8">
        <v>41407</v>
      </c>
      <c r="Y1704" s="8"/>
    </row>
    <row r="1705" spans="1:25" x14ac:dyDescent="0.25">
      <c r="A1705" t="str">
        <f>"13-0256"</f>
        <v>13-0256</v>
      </c>
      <c r="D1705" s="8">
        <v>41407</v>
      </c>
      <c r="F1705" s="8">
        <v>41407</v>
      </c>
      <c r="G1705" s="8">
        <v>41407</v>
      </c>
      <c r="Y1705" s="8"/>
    </row>
    <row r="1706" spans="1:25" x14ac:dyDescent="0.25">
      <c r="A1706" t="str">
        <f>"13-0257"</f>
        <v>13-0257</v>
      </c>
      <c r="D1706" s="8">
        <v>41407</v>
      </c>
      <c r="F1706" s="8">
        <v>41407</v>
      </c>
      <c r="G1706" s="8">
        <v>41407</v>
      </c>
      <c r="Y1706" s="8"/>
    </row>
    <row r="1707" spans="1:25" x14ac:dyDescent="0.25">
      <c r="A1707" t="str">
        <f>"13-0258"</f>
        <v>13-0258</v>
      </c>
      <c r="D1707" s="8">
        <v>41407</v>
      </c>
      <c r="F1707" s="8">
        <v>41407</v>
      </c>
      <c r="G1707" s="8">
        <v>41407</v>
      </c>
      <c r="Y1707" s="8"/>
    </row>
    <row r="1708" spans="1:25" x14ac:dyDescent="0.25">
      <c r="A1708" t="str">
        <f>"13-0259"</f>
        <v>13-0259</v>
      </c>
      <c r="D1708" s="8">
        <v>41407</v>
      </c>
      <c r="F1708" s="8">
        <v>41407</v>
      </c>
      <c r="G1708" s="8">
        <v>41407</v>
      </c>
      <c r="Y1708" s="8"/>
    </row>
    <row r="1709" spans="1:25" x14ac:dyDescent="0.25">
      <c r="A1709" t="str">
        <f>"13-0204B"</f>
        <v>13-0204B</v>
      </c>
      <c r="D1709" s="8">
        <v>41404</v>
      </c>
      <c r="F1709" s="8">
        <v>41404</v>
      </c>
      <c r="G1709" s="8">
        <v>41404</v>
      </c>
      <c r="Y1709" s="8"/>
    </row>
    <row r="1710" spans="1:25" x14ac:dyDescent="0.25">
      <c r="A1710" t="str">
        <f>"13-0253"</f>
        <v>13-0253</v>
      </c>
      <c r="D1710" s="8">
        <v>41404</v>
      </c>
      <c r="F1710" s="8">
        <v>41404</v>
      </c>
      <c r="G1710" s="8">
        <v>41404</v>
      </c>
      <c r="Y1710" s="8"/>
    </row>
    <row r="1711" spans="1:25" x14ac:dyDescent="0.25">
      <c r="A1711" t="str">
        <f>"13-0254"</f>
        <v>13-0254</v>
      </c>
      <c r="D1711" s="8">
        <v>41404</v>
      </c>
      <c r="F1711" s="8">
        <v>41404</v>
      </c>
      <c r="G1711" s="8">
        <v>41404</v>
      </c>
      <c r="Y1711" s="8"/>
    </row>
    <row r="1712" spans="1:25" x14ac:dyDescent="0.25">
      <c r="A1712" t="str">
        <f>"13-0252"</f>
        <v>13-0252</v>
      </c>
      <c r="D1712" s="8">
        <v>41397</v>
      </c>
      <c r="F1712" s="8">
        <v>41397</v>
      </c>
      <c r="G1712" s="8">
        <v>41400</v>
      </c>
      <c r="Y1712" s="8"/>
    </row>
    <row r="1713" spans="1:25" x14ac:dyDescent="0.25">
      <c r="A1713" t="str">
        <f>"13-0249"</f>
        <v>13-0249</v>
      </c>
      <c r="D1713" s="8">
        <v>41396</v>
      </c>
      <c r="F1713" s="8">
        <v>41396</v>
      </c>
      <c r="G1713" s="8">
        <v>41396</v>
      </c>
      <c r="Y1713" s="8"/>
    </row>
    <row r="1714" spans="1:25" x14ac:dyDescent="0.25">
      <c r="A1714" t="str">
        <f>"13-0250"</f>
        <v>13-0250</v>
      </c>
      <c r="D1714" s="8">
        <v>41396</v>
      </c>
      <c r="F1714" s="8">
        <v>41396</v>
      </c>
      <c r="G1714" s="8">
        <v>41396</v>
      </c>
      <c r="Y1714" s="8"/>
    </row>
    <row r="1715" spans="1:25" x14ac:dyDescent="0.25">
      <c r="A1715" t="str">
        <f>"13-0251"</f>
        <v>13-0251</v>
      </c>
      <c r="D1715" s="8">
        <v>41396</v>
      </c>
      <c r="F1715" s="8">
        <v>41425</v>
      </c>
      <c r="G1715" s="8">
        <v>41396</v>
      </c>
      <c r="Y1715" s="8"/>
    </row>
    <row r="1716" spans="1:25" x14ac:dyDescent="0.25">
      <c r="A1716" t="str">
        <f>"13-0247"</f>
        <v>13-0247</v>
      </c>
      <c r="D1716" s="8">
        <v>41394</v>
      </c>
      <c r="F1716" s="8">
        <v>41394</v>
      </c>
      <c r="G1716" s="8">
        <v>41393</v>
      </c>
      <c r="Y1716" s="8"/>
    </row>
    <row r="1717" spans="1:25" x14ac:dyDescent="0.25">
      <c r="A1717" t="str">
        <f>"13-0248"</f>
        <v>13-0248</v>
      </c>
      <c r="D1717" s="8">
        <v>41394</v>
      </c>
      <c r="F1717" s="8">
        <v>41394</v>
      </c>
      <c r="G1717" s="8">
        <v>41394</v>
      </c>
      <c r="Y1717" s="8"/>
    </row>
    <row r="1718" spans="1:25" x14ac:dyDescent="0.25">
      <c r="A1718" t="str">
        <f>"13-0243"</f>
        <v>13-0243</v>
      </c>
      <c r="D1718" s="8">
        <v>41393</v>
      </c>
      <c r="F1718" s="8">
        <v>41393</v>
      </c>
      <c r="G1718" s="8">
        <v>41393</v>
      </c>
      <c r="Y1718" s="8"/>
    </row>
    <row r="1719" spans="1:25" x14ac:dyDescent="0.25">
      <c r="A1719" t="str">
        <f>"13-0244"</f>
        <v>13-0244</v>
      </c>
      <c r="D1719" s="8">
        <v>41393</v>
      </c>
      <c r="F1719" s="8">
        <v>41565</v>
      </c>
      <c r="G1719" s="8">
        <v>41390</v>
      </c>
      <c r="Y1719" s="8"/>
    </row>
    <row r="1720" spans="1:25" x14ac:dyDescent="0.25">
      <c r="A1720" t="str">
        <f>"13-0245"</f>
        <v>13-0245</v>
      </c>
      <c r="D1720" s="8">
        <v>41393</v>
      </c>
      <c r="F1720" s="8">
        <v>41682</v>
      </c>
      <c r="G1720" s="8">
        <v>41393</v>
      </c>
      <c r="Y1720" s="8"/>
    </row>
    <row r="1721" spans="1:25" x14ac:dyDescent="0.25">
      <c r="A1721" t="str">
        <f>"13-0246"</f>
        <v>13-0246</v>
      </c>
      <c r="D1721" s="8">
        <v>41393</v>
      </c>
      <c r="F1721" s="8">
        <v>41393</v>
      </c>
      <c r="G1721" s="8">
        <v>41394</v>
      </c>
      <c r="Y1721" s="8"/>
    </row>
    <row r="1722" spans="1:25" x14ac:dyDescent="0.25">
      <c r="A1722" t="str">
        <f>"13-0240"</f>
        <v>13-0240</v>
      </c>
      <c r="D1722" s="8">
        <v>41390</v>
      </c>
      <c r="F1722" s="8">
        <v>41396</v>
      </c>
      <c r="G1722" s="8">
        <v>41390</v>
      </c>
      <c r="Y1722" s="8"/>
    </row>
    <row r="1723" spans="1:25" x14ac:dyDescent="0.25">
      <c r="A1723" t="str">
        <f>"13-0241"</f>
        <v>13-0241</v>
      </c>
      <c r="D1723" s="8">
        <v>41390</v>
      </c>
      <c r="F1723" s="8">
        <v>41390</v>
      </c>
      <c r="G1723" s="8">
        <v>41390</v>
      </c>
      <c r="Y1723" s="8"/>
    </row>
    <row r="1724" spans="1:25" x14ac:dyDescent="0.25">
      <c r="A1724" t="str">
        <f>"13-0242"</f>
        <v>13-0242</v>
      </c>
      <c r="D1724" s="8">
        <v>41390</v>
      </c>
      <c r="F1724" s="8">
        <v>41390</v>
      </c>
      <c r="G1724" s="8">
        <v>41390</v>
      </c>
      <c r="Y1724" s="8"/>
    </row>
    <row r="1725" spans="1:25" x14ac:dyDescent="0.25">
      <c r="A1725" t="str">
        <f>"13-0238"</f>
        <v>13-0238</v>
      </c>
      <c r="D1725" s="8">
        <v>41389</v>
      </c>
      <c r="F1725" s="8">
        <v>41389</v>
      </c>
      <c r="G1725" s="8">
        <v>41389</v>
      </c>
      <c r="Y1725" s="8"/>
    </row>
    <row r="1726" spans="1:25" x14ac:dyDescent="0.25">
      <c r="A1726" t="str">
        <f>"13-0239"</f>
        <v>13-0239</v>
      </c>
      <c r="D1726" s="8">
        <v>41389</v>
      </c>
      <c r="F1726" s="8">
        <v>41390</v>
      </c>
      <c r="G1726" s="8">
        <v>41389</v>
      </c>
      <c r="Y1726" s="8"/>
    </row>
    <row r="1727" spans="1:25" x14ac:dyDescent="0.25">
      <c r="A1727" t="str">
        <f>"13-0234"</f>
        <v>13-0234</v>
      </c>
      <c r="D1727" s="8">
        <v>41388</v>
      </c>
      <c r="F1727" s="8">
        <v>41388</v>
      </c>
      <c r="G1727" s="8">
        <v>41388</v>
      </c>
      <c r="Y1727" s="8"/>
    </row>
    <row r="1728" spans="1:25" x14ac:dyDescent="0.25">
      <c r="A1728" t="str">
        <f>"13-0235"</f>
        <v>13-0235</v>
      </c>
      <c r="D1728" s="8">
        <v>41388</v>
      </c>
      <c r="F1728" s="8">
        <v>41393</v>
      </c>
      <c r="G1728" s="8">
        <v>41388</v>
      </c>
      <c r="Y1728" s="8"/>
    </row>
    <row r="1729" spans="1:25" x14ac:dyDescent="0.25">
      <c r="A1729" t="str">
        <f>"13-0236"</f>
        <v>13-0236</v>
      </c>
      <c r="D1729" s="8">
        <v>41388</v>
      </c>
      <c r="F1729" s="8">
        <v>41388</v>
      </c>
      <c r="G1729" s="8">
        <v>41388</v>
      </c>
      <c r="Y1729" s="8"/>
    </row>
    <row r="1730" spans="1:25" x14ac:dyDescent="0.25">
      <c r="A1730" t="str">
        <f>"13-0237"</f>
        <v>13-0237</v>
      </c>
      <c r="D1730" s="8">
        <v>41388</v>
      </c>
      <c r="F1730" s="8">
        <v>41415</v>
      </c>
      <c r="G1730" s="8">
        <v>41388</v>
      </c>
      <c r="Y1730" s="8"/>
    </row>
    <row r="1731" spans="1:25" x14ac:dyDescent="0.25">
      <c r="A1731" t="str">
        <f>"13-0232"</f>
        <v>13-0232</v>
      </c>
      <c r="D1731" s="8">
        <v>41387</v>
      </c>
      <c r="F1731" s="8">
        <v>41387</v>
      </c>
      <c r="G1731" s="8">
        <v>41387</v>
      </c>
      <c r="Y1731" s="8"/>
    </row>
    <row r="1732" spans="1:25" x14ac:dyDescent="0.25">
      <c r="A1732" t="str">
        <f>"13-0233"</f>
        <v>13-0233</v>
      </c>
      <c r="D1732" s="8">
        <v>41387</v>
      </c>
      <c r="F1732" s="8">
        <v>41387</v>
      </c>
      <c r="G1732" s="8">
        <v>41387</v>
      </c>
      <c r="Y1732" s="8"/>
    </row>
    <row r="1733" spans="1:25" x14ac:dyDescent="0.25">
      <c r="A1733" t="str">
        <f>"13-0226"</f>
        <v>13-0226</v>
      </c>
      <c r="D1733" s="8">
        <v>41386</v>
      </c>
      <c r="F1733" s="8">
        <v>41386</v>
      </c>
      <c r="G1733" s="8">
        <v>41386</v>
      </c>
      <c r="Y1733" s="8"/>
    </row>
    <row r="1734" spans="1:25" x14ac:dyDescent="0.25">
      <c r="A1734" t="str">
        <f>"13-0227"</f>
        <v>13-0227</v>
      </c>
      <c r="D1734" s="8">
        <v>41386</v>
      </c>
      <c r="F1734" s="8">
        <v>41386</v>
      </c>
      <c r="G1734" s="8">
        <v>41386</v>
      </c>
      <c r="Y1734" s="8"/>
    </row>
    <row r="1735" spans="1:25" x14ac:dyDescent="0.25">
      <c r="A1735" t="str">
        <f>"13-0228"</f>
        <v>13-0228</v>
      </c>
      <c r="D1735" s="8">
        <v>41386</v>
      </c>
      <c r="F1735" s="8">
        <v>41386</v>
      </c>
      <c r="G1735" s="8">
        <v>41386</v>
      </c>
      <c r="Y1735" s="8"/>
    </row>
    <row r="1736" spans="1:25" x14ac:dyDescent="0.25">
      <c r="A1736" t="str">
        <f>"13-0229"</f>
        <v>13-0229</v>
      </c>
      <c r="D1736" s="8">
        <v>41386</v>
      </c>
      <c r="F1736" s="8">
        <v>41386</v>
      </c>
      <c r="G1736" s="8">
        <v>41386</v>
      </c>
      <c r="Y1736" s="8"/>
    </row>
    <row r="1737" spans="1:25" x14ac:dyDescent="0.25">
      <c r="A1737" t="str">
        <f>"13-0229B"</f>
        <v>13-0229B</v>
      </c>
      <c r="D1737" s="8">
        <v>41386</v>
      </c>
      <c r="F1737" s="8">
        <v>41386</v>
      </c>
      <c r="G1737" s="8">
        <v>41386</v>
      </c>
      <c r="Y1737" s="8"/>
    </row>
    <row r="1738" spans="1:25" x14ac:dyDescent="0.25">
      <c r="A1738" t="str">
        <f>"13-0230"</f>
        <v>13-0230</v>
      </c>
      <c r="D1738" s="8">
        <v>41386</v>
      </c>
      <c r="F1738" s="8">
        <v>41386</v>
      </c>
      <c r="G1738" s="8">
        <v>41386</v>
      </c>
      <c r="Y1738" s="8"/>
    </row>
    <row r="1739" spans="1:25" x14ac:dyDescent="0.25">
      <c r="A1739" t="str">
        <f>"13-0231"</f>
        <v>13-0231</v>
      </c>
      <c r="D1739" s="8">
        <v>41386</v>
      </c>
      <c r="F1739" s="8">
        <v>41387</v>
      </c>
      <c r="G1739" s="8">
        <v>41387</v>
      </c>
      <c r="Y1739" s="8"/>
    </row>
    <row r="1740" spans="1:25" x14ac:dyDescent="0.25">
      <c r="A1740" t="str">
        <f>"13-0225"</f>
        <v>13-0225</v>
      </c>
      <c r="D1740" s="8">
        <v>41383</v>
      </c>
      <c r="F1740" s="8">
        <v>41383</v>
      </c>
      <c r="G1740" s="8">
        <v>41383</v>
      </c>
      <c r="Y1740" s="8"/>
    </row>
    <row r="1741" spans="1:25" x14ac:dyDescent="0.25">
      <c r="A1741" t="str">
        <f>"13-0137D"</f>
        <v>13-0137D</v>
      </c>
      <c r="D1741" s="8">
        <v>41382</v>
      </c>
      <c r="F1741" s="8">
        <v>41572</v>
      </c>
      <c r="G1741" s="8">
        <v>41382</v>
      </c>
      <c r="Y1741" s="8"/>
    </row>
    <row r="1742" spans="1:25" x14ac:dyDescent="0.25">
      <c r="A1742" t="str">
        <f>"13-0221"</f>
        <v>13-0221</v>
      </c>
      <c r="D1742" s="8">
        <v>41382</v>
      </c>
      <c r="F1742" s="8">
        <v>41382</v>
      </c>
      <c r="G1742" s="8">
        <v>41383</v>
      </c>
      <c r="Y1742" s="8"/>
    </row>
    <row r="1743" spans="1:25" x14ac:dyDescent="0.25">
      <c r="A1743" t="str">
        <f>"13-0222"</f>
        <v>13-0222</v>
      </c>
      <c r="D1743" s="8">
        <v>41382</v>
      </c>
      <c r="F1743" s="8">
        <v>41382</v>
      </c>
      <c r="G1743" s="8">
        <v>41382</v>
      </c>
      <c r="Y1743" s="8"/>
    </row>
    <row r="1744" spans="1:25" x14ac:dyDescent="0.25">
      <c r="A1744" t="str">
        <f>"13-0223"</f>
        <v>13-0223</v>
      </c>
      <c r="D1744" s="8">
        <v>41382</v>
      </c>
      <c r="F1744" s="8">
        <v>41382</v>
      </c>
      <c r="G1744" s="8">
        <v>41382</v>
      </c>
      <c r="Y1744" s="8"/>
    </row>
    <row r="1745" spans="1:25" x14ac:dyDescent="0.25">
      <c r="A1745" t="str">
        <f>"13-0224"</f>
        <v>13-0224</v>
      </c>
      <c r="D1745" s="8">
        <v>41382</v>
      </c>
      <c r="F1745" s="8">
        <v>41382</v>
      </c>
      <c r="G1745" s="8">
        <v>41382</v>
      </c>
      <c r="Y1745" s="8"/>
    </row>
    <row r="1746" spans="1:25" x14ac:dyDescent="0.25">
      <c r="A1746" t="str">
        <f>"13-0219"</f>
        <v>13-0219</v>
      </c>
      <c r="D1746" s="8">
        <v>41381</v>
      </c>
      <c r="F1746" s="8">
        <v>41381</v>
      </c>
      <c r="G1746" s="8">
        <v>41381</v>
      </c>
      <c r="Y1746" s="8"/>
    </row>
    <row r="1747" spans="1:25" x14ac:dyDescent="0.25">
      <c r="A1747" t="str">
        <f>"13-0220"</f>
        <v>13-0220</v>
      </c>
      <c r="D1747" s="8">
        <v>41381</v>
      </c>
      <c r="F1747" s="8">
        <v>41381</v>
      </c>
      <c r="G1747" s="8">
        <v>41383</v>
      </c>
      <c r="Y1747" s="8"/>
    </row>
    <row r="1748" spans="1:25" x14ac:dyDescent="0.25">
      <c r="A1748" t="str">
        <f>"13-0065B"</f>
        <v>13-0065B</v>
      </c>
      <c r="D1748" s="8">
        <v>41380</v>
      </c>
      <c r="F1748" s="8">
        <v>41407</v>
      </c>
      <c r="G1748" s="8">
        <v>41380</v>
      </c>
      <c r="Y1748" s="8"/>
    </row>
    <row r="1749" spans="1:25" x14ac:dyDescent="0.25">
      <c r="A1749" t="str">
        <f>"13-0214"</f>
        <v>13-0214</v>
      </c>
      <c r="D1749" s="8">
        <v>41380</v>
      </c>
      <c r="F1749" s="8">
        <v>41380</v>
      </c>
      <c r="G1749" s="8">
        <v>41380</v>
      </c>
      <c r="Y1749" s="8"/>
    </row>
    <row r="1750" spans="1:25" x14ac:dyDescent="0.25">
      <c r="A1750" t="str">
        <f>"13-0215"</f>
        <v>13-0215</v>
      </c>
      <c r="D1750" s="8">
        <v>41380</v>
      </c>
      <c r="F1750" s="8">
        <v>41380</v>
      </c>
      <c r="G1750" s="8">
        <v>41380</v>
      </c>
      <c r="Y1750" s="8"/>
    </row>
    <row r="1751" spans="1:25" x14ac:dyDescent="0.25">
      <c r="A1751" t="str">
        <f>"13-0216"</f>
        <v>13-0216</v>
      </c>
      <c r="D1751" s="8">
        <v>41380</v>
      </c>
      <c r="F1751" s="8">
        <v>41380</v>
      </c>
      <c r="G1751" s="8">
        <v>41380</v>
      </c>
      <c r="Y1751" s="8"/>
    </row>
    <row r="1752" spans="1:25" x14ac:dyDescent="0.25">
      <c r="A1752" t="str">
        <f>"13-0217"</f>
        <v>13-0217</v>
      </c>
      <c r="D1752" s="8">
        <v>41380</v>
      </c>
      <c r="F1752" s="8">
        <v>41380</v>
      </c>
      <c r="G1752" s="8">
        <v>41380</v>
      </c>
      <c r="Y1752" s="8"/>
    </row>
    <row r="1753" spans="1:25" x14ac:dyDescent="0.25">
      <c r="A1753" t="str">
        <f>"13-0218"</f>
        <v>13-0218</v>
      </c>
      <c r="D1753" s="8">
        <v>41380</v>
      </c>
      <c r="F1753" s="8">
        <v>41387</v>
      </c>
      <c r="G1753" s="8">
        <v>41389</v>
      </c>
      <c r="Y1753" s="8"/>
    </row>
    <row r="1754" spans="1:25" x14ac:dyDescent="0.25">
      <c r="A1754" t="str">
        <f>"13-0212"</f>
        <v>13-0212</v>
      </c>
      <c r="D1754" s="8">
        <v>41379</v>
      </c>
      <c r="F1754" s="8">
        <v>41379</v>
      </c>
      <c r="G1754" s="8">
        <v>41379</v>
      </c>
      <c r="Y1754" s="8"/>
    </row>
    <row r="1755" spans="1:25" x14ac:dyDescent="0.25">
      <c r="A1755" t="str">
        <f>"13-0213"</f>
        <v>13-0213</v>
      </c>
      <c r="D1755" s="8">
        <v>41379</v>
      </c>
      <c r="F1755" s="8">
        <v>41379</v>
      </c>
      <c r="G1755" s="8">
        <v>41379</v>
      </c>
      <c r="Y1755" s="8"/>
    </row>
    <row r="1756" spans="1:25" x14ac:dyDescent="0.25">
      <c r="A1756" t="str">
        <f>"13-0209"</f>
        <v>13-0209</v>
      </c>
      <c r="D1756" s="8">
        <v>41376</v>
      </c>
      <c r="F1756" s="8">
        <v>41376</v>
      </c>
      <c r="G1756" s="8">
        <v>41376</v>
      </c>
      <c r="Y1756" s="8"/>
    </row>
    <row r="1757" spans="1:25" x14ac:dyDescent="0.25">
      <c r="A1757" t="str">
        <f>"13-0148B"</f>
        <v>13-0148B</v>
      </c>
      <c r="D1757" s="8">
        <v>41375</v>
      </c>
      <c r="F1757" s="8">
        <v>41375</v>
      </c>
      <c r="G1757" s="8">
        <v>41375</v>
      </c>
      <c r="Y1757" s="8"/>
    </row>
    <row r="1758" spans="1:25" x14ac:dyDescent="0.25">
      <c r="A1758" t="str">
        <f>"13-0206"</f>
        <v>13-0206</v>
      </c>
      <c r="D1758" s="8">
        <v>41375</v>
      </c>
      <c r="F1758" s="8">
        <v>41375</v>
      </c>
      <c r="G1758" s="8">
        <v>41375</v>
      </c>
      <c r="Y1758" s="8"/>
    </row>
    <row r="1759" spans="1:25" x14ac:dyDescent="0.25">
      <c r="A1759" t="str">
        <f>"13-0207"</f>
        <v>13-0207</v>
      </c>
      <c r="D1759" s="8">
        <v>41375</v>
      </c>
      <c r="F1759" s="8">
        <v>41375</v>
      </c>
      <c r="G1759" s="8">
        <v>41375</v>
      </c>
      <c r="Y1759" s="8"/>
    </row>
    <row r="1760" spans="1:25" x14ac:dyDescent="0.25">
      <c r="A1760" t="str">
        <f>"13-0208"</f>
        <v>13-0208</v>
      </c>
      <c r="D1760" s="8">
        <v>41375</v>
      </c>
      <c r="F1760" s="8">
        <v>41375</v>
      </c>
      <c r="G1760" s="8">
        <v>41375</v>
      </c>
      <c r="Y1760" s="8"/>
    </row>
    <row r="1761" spans="1:25" x14ac:dyDescent="0.25">
      <c r="A1761" t="str">
        <f>"13-0204"</f>
        <v>13-0204</v>
      </c>
      <c r="D1761" s="8">
        <v>41374</v>
      </c>
      <c r="F1761" s="8">
        <v>41374</v>
      </c>
      <c r="G1761" s="8">
        <v>41374</v>
      </c>
      <c r="Y1761" s="8"/>
    </row>
    <row r="1762" spans="1:25" x14ac:dyDescent="0.25">
      <c r="A1762" t="str">
        <f>"13-0205"</f>
        <v>13-0205</v>
      </c>
      <c r="D1762" s="8">
        <v>41374</v>
      </c>
      <c r="F1762" s="8">
        <v>41383</v>
      </c>
      <c r="G1762" s="8">
        <v>41374</v>
      </c>
      <c r="Y1762" s="8"/>
    </row>
    <row r="1763" spans="1:25" x14ac:dyDescent="0.25">
      <c r="A1763" t="str">
        <f>"13-0189B"</f>
        <v>13-0189B</v>
      </c>
      <c r="D1763" s="8">
        <v>41373</v>
      </c>
      <c r="F1763" s="8">
        <v>41373</v>
      </c>
      <c r="G1763" s="8">
        <v>41373</v>
      </c>
      <c r="Y1763" s="8"/>
    </row>
    <row r="1764" spans="1:25" x14ac:dyDescent="0.25">
      <c r="A1764" t="str">
        <f>"13-0202"</f>
        <v>13-0202</v>
      </c>
      <c r="D1764" s="8">
        <v>41373</v>
      </c>
      <c r="F1764" s="8">
        <v>41373</v>
      </c>
      <c r="G1764" s="8">
        <v>41373</v>
      </c>
      <c r="Y1764" s="8"/>
    </row>
    <row r="1765" spans="1:25" x14ac:dyDescent="0.25">
      <c r="A1765" t="str">
        <f>"13-0203"</f>
        <v>13-0203</v>
      </c>
      <c r="D1765" s="8">
        <v>41373</v>
      </c>
      <c r="F1765" s="8">
        <v>41373</v>
      </c>
      <c r="G1765" s="8">
        <v>41373</v>
      </c>
      <c r="Y1765" s="8"/>
    </row>
    <row r="1766" spans="1:25" x14ac:dyDescent="0.25">
      <c r="A1766" t="str">
        <f>"13-0199"</f>
        <v>13-0199</v>
      </c>
      <c r="D1766" s="8">
        <v>41372</v>
      </c>
      <c r="F1766" s="8">
        <v>41372</v>
      </c>
      <c r="G1766" s="8">
        <v>41372</v>
      </c>
      <c r="Y1766" s="8"/>
    </row>
    <row r="1767" spans="1:25" x14ac:dyDescent="0.25">
      <c r="A1767" t="str">
        <f>"13-0200"</f>
        <v>13-0200</v>
      </c>
      <c r="D1767" s="8">
        <v>41372</v>
      </c>
      <c r="F1767" s="8">
        <v>41373</v>
      </c>
      <c r="G1767" s="8">
        <v>41373</v>
      </c>
      <c r="Y1767" s="8"/>
    </row>
    <row r="1768" spans="1:25" x14ac:dyDescent="0.25">
      <c r="A1768" t="str">
        <f>"13-0201"</f>
        <v>13-0201</v>
      </c>
      <c r="D1768" s="8">
        <v>41372</v>
      </c>
      <c r="F1768" s="8">
        <v>41372</v>
      </c>
      <c r="G1768" s="8">
        <v>41372</v>
      </c>
      <c r="Y1768" s="8"/>
    </row>
    <row r="1769" spans="1:25" x14ac:dyDescent="0.25">
      <c r="A1769" t="str">
        <f>"13-0197"</f>
        <v>13-0197</v>
      </c>
      <c r="D1769" s="8">
        <v>41369</v>
      </c>
      <c r="F1769" s="8">
        <v>41369</v>
      </c>
      <c r="G1769" s="8">
        <v>41369</v>
      </c>
      <c r="Y1769" s="8"/>
    </row>
    <row r="1770" spans="1:25" x14ac:dyDescent="0.25">
      <c r="A1770" t="str">
        <f>"13-0198"</f>
        <v>13-0198</v>
      </c>
      <c r="D1770" s="8">
        <v>41369</v>
      </c>
      <c r="F1770" s="8">
        <v>41369</v>
      </c>
      <c r="G1770" s="8">
        <v>41369</v>
      </c>
      <c r="Y1770" s="8"/>
    </row>
    <row r="1771" spans="1:25" x14ac:dyDescent="0.25">
      <c r="A1771" t="str">
        <f>"13-0193"</f>
        <v>13-0193</v>
      </c>
      <c r="D1771" s="8">
        <v>41368</v>
      </c>
      <c r="F1771" s="8">
        <v>41368</v>
      </c>
      <c r="G1771" s="8">
        <v>41368</v>
      </c>
      <c r="Y1771" s="8"/>
    </row>
    <row r="1772" spans="1:25" x14ac:dyDescent="0.25">
      <c r="A1772" t="str">
        <f>"13-0194"</f>
        <v>13-0194</v>
      </c>
      <c r="D1772" s="8">
        <v>41368</v>
      </c>
      <c r="F1772" s="8">
        <v>41368</v>
      </c>
      <c r="G1772" s="8">
        <v>41368</v>
      </c>
      <c r="Y1772" s="8"/>
    </row>
    <row r="1773" spans="1:25" x14ac:dyDescent="0.25">
      <c r="A1773" t="str">
        <f>"13-0195"</f>
        <v>13-0195</v>
      </c>
      <c r="D1773" s="8">
        <v>41368</v>
      </c>
      <c r="F1773" s="8">
        <v>41368</v>
      </c>
      <c r="G1773" s="8">
        <v>41368</v>
      </c>
      <c r="Y1773" s="8"/>
    </row>
    <row r="1774" spans="1:25" x14ac:dyDescent="0.25">
      <c r="A1774" t="str">
        <f>"13-0196"</f>
        <v>13-0196</v>
      </c>
      <c r="D1774" s="8">
        <v>41368</v>
      </c>
      <c r="F1774" s="8">
        <v>41368</v>
      </c>
      <c r="G1774" s="8">
        <v>41368</v>
      </c>
      <c r="Y1774" s="8"/>
    </row>
    <row r="1775" spans="1:25" x14ac:dyDescent="0.25">
      <c r="A1775" t="str">
        <f>"13-0182"</f>
        <v>13-0182</v>
      </c>
      <c r="D1775" s="8">
        <v>41367</v>
      </c>
      <c r="F1775" s="8">
        <v>41367</v>
      </c>
      <c r="G1775" s="8">
        <v>41367</v>
      </c>
      <c r="Y1775" s="8"/>
    </row>
    <row r="1776" spans="1:25" x14ac:dyDescent="0.25">
      <c r="A1776" t="str">
        <f>"13-0183"</f>
        <v>13-0183</v>
      </c>
      <c r="D1776" s="8">
        <v>41367</v>
      </c>
      <c r="F1776" s="8">
        <v>41367</v>
      </c>
      <c r="G1776" s="8">
        <v>41367</v>
      </c>
      <c r="Y1776" s="8"/>
    </row>
    <row r="1777" spans="1:25" x14ac:dyDescent="0.25">
      <c r="A1777" t="str">
        <f>"13-0184"</f>
        <v>13-0184</v>
      </c>
      <c r="D1777" s="8">
        <v>41367</v>
      </c>
      <c r="F1777" s="8">
        <v>41367</v>
      </c>
      <c r="G1777" s="8">
        <v>41367</v>
      </c>
      <c r="Y1777" s="8"/>
    </row>
    <row r="1778" spans="1:25" x14ac:dyDescent="0.25">
      <c r="A1778" t="str">
        <f>"13-0185"</f>
        <v>13-0185</v>
      </c>
      <c r="D1778" s="8">
        <v>41367</v>
      </c>
      <c r="F1778" s="8">
        <v>41367</v>
      </c>
      <c r="G1778" s="8">
        <v>41367</v>
      </c>
      <c r="Y1778" s="8"/>
    </row>
    <row r="1779" spans="1:25" x14ac:dyDescent="0.25">
      <c r="A1779" t="str">
        <f>"13-0186"</f>
        <v>13-0186</v>
      </c>
      <c r="D1779" s="8">
        <v>41367</v>
      </c>
      <c r="F1779" s="8">
        <v>41367</v>
      </c>
      <c r="G1779" s="8">
        <v>41367</v>
      </c>
      <c r="Y1779" s="8"/>
    </row>
    <row r="1780" spans="1:25" x14ac:dyDescent="0.25">
      <c r="A1780" t="str">
        <f>"13-0187"</f>
        <v>13-0187</v>
      </c>
      <c r="D1780" s="8">
        <v>41367</v>
      </c>
      <c r="F1780" s="8">
        <v>41367</v>
      </c>
      <c r="G1780" s="8">
        <v>41367</v>
      </c>
      <c r="Y1780" s="8"/>
    </row>
    <row r="1781" spans="1:25" x14ac:dyDescent="0.25">
      <c r="A1781" t="str">
        <f>"13-0188"</f>
        <v>13-0188</v>
      </c>
      <c r="D1781" s="8">
        <v>41367</v>
      </c>
      <c r="F1781" s="8">
        <v>41367</v>
      </c>
      <c r="G1781" s="8">
        <v>41367</v>
      </c>
      <c r="Y1781" s="8"/>
    </row>
    <row r="1782" spans="1:25" x14ac:dyDescent="0.25">
      <c r="A1782" t="str">
        <f>"13-0189"</f>
        <v>13-0189</v>
      </c>
      <c r="D1782" s="8">
        <v>41367</v>
      </c>
      <c r="F1782" s="8">
        <v>41367</v>
      </c>
      <c r="G1782" s="8">
        <v>41367</v>
      </c>
      <c r="Y1782" s="8"/>
    </row>
    <row r="1783" spans="1:25" x14ac:dyDescent="0.25">
      <c r="A1783" t="str">
        <f>"13-0190"</f>
        <v>13-0190</v>
      </c>
      <c r="D1783" s="8">
        <v>41367</v>
      </c>
      <c r="F1783" s="8">
        <v>41373</v>
      </c>
      <c r="G1783" s="8">
        <v>41367</v>
      </c>
      <c r="Y1783" s="8"/>
    </row>
    <row r="1784" spans="1:25" x14ac:dyDescent="0.25">
      <c r="A1784" t="str">
        <f>"13-0191"</f>
        <v>13-0191</v>
      </c>
      <c r="D1784" s="8">
        <v>41367</v>
      </c>
      <c r="F1784" s="8">
        <v>41367</v>
      </c>
      <c r="G1784" s="8">
        <v>41367</v>
      </c>
      <c r="Y1784" s="8"/>
    </row>
    <row r="1785" spans="1:25" x14ac:dyDescent="0.25">
      <c r="A1785" t="str">
        <f>"13-0192"</f>
        <v>13-0192</v>
      </c>
      <c r="D1785" s="8">
        <v>41367</v>
      </c>
      <c r="F1785" s="8">
        <v>41367</v>
      </c>
      <c r="G1785" s="8">
        <v>41367</v>
      </c>
      <c r="Y1785" s="8"/>
    </row>
    <row r="1786" spans="1:25" x14ac:dyDescent="0.25">
      <c r="A1786" t="str">
        <f>"13-0179"</f>
        <v>13-0179</v>
      </c>
      <c r="D1786" s="8">
        <v>41366</v>
      </c>
      <c r="F1786" s="8">
        <v>41366</v>
      </c>
      <c r="G1786" s="8">
        <v>41366</v>
      </c>
      <c r="Y1786" s="8"/>
    </row>
    <row r="1787" spans="1:25" x14ac:dyDescent="0.25">
      <c r="A1787" t="str">
        <f>"13-0180"</f>
        <v>13-0180</v>
      </c>
      <c r="D1787" s="8">
        <v>41366</v>
      </c>
      <c r="F1787" s="8">
        <v>41368</v>
      </c>
      <c r="G1787" s="8">
        <v>41366</v>
      </c>
      <c r="Y1787" s="8"/>
    </row>
    <row r="1788" spans="1:25" x14ac:dyDescent="0.25">
      <c r="A1788" t="str">
        <f>"13-0181"</f>
        <v>13-0181</v>
      </c>
      <c r="D1788" s="8">
        <v>41366</v>
      </c>
      <c r="F1788" s="8">
        <v>41366</v>
      </c>
      <c r="G1788" s="8">
        <v>41366</v>
      </c>
      <c r="Y1788" s="8"/>
    </row>
    <row r="1789" spans="1:25" x14ac:dyDescent="0.25">
      <c r="A1789" t="str">
        <f>"13-0178"</f>
        <v>13-0178</v>
      </c>
      <c r="D1789" s="8">
        <v>41362</v>
      </c>
      <c r="F1789" s="8">
        <v>41362</v>
      </c>
      <c r="G1789" s="8">
        <v>41362</v>
      </c>
      <c r="Y1789" s="8"/>
    </row>
    <row r="1790" spans="1:25" x14ac:dyDescent="0.25">
      <c r="A1790" t="str">
        <f>"13-0137C"</f>
        <v>13-0137C</v>
      </c>
      <c r="D1790" s="8">
        <v>41361</v>
      </c>
      <c r="F1790" s="8">
        <v>41361</v>
      </c>
      <c r="G1790" s="8">
        <v>41361</v>
      </c>
      <c r="Y1790" s="8"/>
    </row>
    <row r="1791" spans="1:25" x14ac:dyDescent="0.25">
      <c r="A1791" t="str">
        <f>"13-0169"</f>
        <v>13-0169</v>
      </c>
      <c r="D1791" s="8">
        <v>41361</v>
      </c>
      <c r="G1791" s="8">
        <v>41361</v>
      </c>
      <c r="Y1791" s="8"/>
    </row>
    <row r="1792" spans="1:25" x14ac:dyDescent="0.25">
      <c r="A1792" t="str">
        <f>"13-0171"</f>
        <v>13-0171</v>
      </c>
      <c r="D1792" s="8">
        <v>41361</v>
      </c>
      <c r="F1792" s="8">
        <v>41361</v>
      </c>
      <c r="G1792" s="8">
        <v>41361</v>
      </c>
      <c r="Y1792" s="8"/>
    </row>
    <row r="1793" spans="1:25" x14ac:dyDescent="0.25">
      <c r="A1793" t="str">
        <f>"13-0172"</f>
        <v>13-0172</v>
      </c>
      <c r="D1793" s="8">
        <v>41361</v>
      </c>
      <c r="F1793" s="8">
        <v>41361</v>
      </c>
      <c r="G1793" s="8">
        <v>41361</v>
      </c>
      <c r="Y1793" s="8"/>
    </row>
    <row r="1794" spans="1:25" x14ac:dyDescent="0.25">
      <c r="A1794" t="str">
        <f>"13-0173"</f>
        <v>13-0173</v>
      </c>
      <c r="D1794" s="8">
        <v>41361</v>
      </c>
      <c r="F1794" s="8">
        <v>41723</v>
      </c>
      <c r="G1794" s="8">
        <v>41361</v>
      </c>
      <c r="Y1794" s="8"/>
    </row>
    <row r="1795" spans="1:25" x14ac:dyDescent="0.25">
      <c r="A1795" t="str">
        <f>"13-0174"</f>
        <v>13-0174</v>
      </c>
      <c r="D1795" s="8">
        <v>41361</v>
      </c>
      <c r="F1795" s="8">
        <v>41361</v>
      </c>
      <c r="G1795" s="8">
        <v>41360</v>
      </c>
      <c r="Y1795" s="8"/>
    </row>
    <row r="1796" spans="1:25" x14ac:dyDescent="0.25">
      <c r="A1796" t="str">
        <f>"13-0175"</f>
        <v>13-0175</v>
      </c>
      <c r="D1796" s="8">
        <v>41361</v>
      </c>
      <c r="F1796" s="8">
        <v>41361</v>
      </c>
      <c r="G1796" s="8">
        <v>41361</v>
      </c>
      <c r="Y1796" s="8"/>
    </row>
    <row r="1797" spans="1:25" x14ac:dyDescent="0.25">
      <c r="A1797" t="str">
        <f>"13-0176"</f>
        <v>13-0176</v>
      </c>
      <c r="D1797" s="8">
        <v>41361</v>
      </c>
      <c r="F1797" s="8">
        <v>41361</v>
      </c>
      <c r="G1797" s="8">
        <v>41361</v>
      </c>
      <c r="Y1797" s="8"/>
    </row>
    <row r="1798" spans="1:25" x14ac:dyDescent="0.25">
      <c r="A1798" t="str">
        <f>"13-0177"</f>
        <v>13-0177</v>
      </c>
      <c r="D1798" s="8">
        <v>41361</v>
      </c>
      <c r="F1798" s="8">
        <v>41361</v>
      </c>
      <c r="G1798" s="8">
        <v>41361</v>
      </c>
      <c r="Y1798" s="8"/>
    </row>
    <row r="1799" spans="1:25" x14ac:dyDescent="0.25">
      <c r="A1799" t="str">
        <f>"13-0168"</f>
        <v>13-0168</v>
      </c>
      <c r="D1799" s="8">
        <v>41360</v>
      </c>
      <c r="F1799" s="8">
        <v>41360</v>
      </c>
      <c r="G1799" s="8">
        <v>41360</v>
      </c>
      <c r="Y1799" s="8"/>
    </row>
    <row r="1800" spans="1:25" x14ac:dyDescent="0.25">
      <c r="A1800" t="str">
        <f>"13-0170"</f>
        <v>13-0170</v>
      </c>
      <c r="D1800" s="8">
        <v>41360</v>
      </c>
      <c r="F1800" s="8">
        <v>41361</v>
      </c>
      <c r="G1800" s="8">
        <v>41361</v>
      </c>
      <c r="Y1800" s="8"/>
    </row>
    <row r="1801" spans="1:25" x14ac:dyDescent="0.25">
      <c r="A1801" t="str">
        <f>"13-0137B"</f>
        <v>13-0137B</v>
      </c>
      <c r="D1801" s="8">
        <v>41359</v>
      </c>
      <c r="F1801" s="8">
        <v>41359</v>
      </c>
      <c r="G1801" s="8">
        <v>41359</v>
      </c>
      <c r="Y1801" s="8"/>
    </row>
    <row r="1802" spans="1:25" x14ac:dyDescent="0.25">
      <c r="A1802" t="str">
        <f>"13-0164"</f>
        <v>13-0164</v>
      </c>
      <c r="D1802" s="8">
        <v>41359</v>
      </c>
      <c r="F1802" s="8">
        <v>41359</v>
      </c>
      <c r="G1802" s="8">
        <v>41359</v>
      </c>
      <c r="Y1802" s="8"/>
    </row>
    <row r="1803" spans="1:25" x14ac:dyDescent="0.25">
      <c r="A1803" t="str">
        <f>"13-0165"</f>
        <v>13-0165</v>
      </c>
      <c r="D1803" s="8">
        <v>41359</v>
      </c>
      <c r="F1803" s="8">
        <v>41359</v>
      </c>
      <c r="G1803" s="8">
        <v>41359</v>
      </c>
      <c r="Y1803" s="8"/>
    </row>
    <row r="1804" spans="1:25" x14ac:dyDescent="0.25">
      <c r="A1804" t="str">
        <f>"13-0166"</f>
        <v>13-0166</v>
      </c>
      <c r="D1804" s="8">
        <v>41359</v>
      </c>
      <c r="F1804" s="8">
        <v>41359</v>
      </c>
      <c r="G1804" s="8">
        <v>41359</v>
      </c>
      <c r="Y1804" s="8"/>
    </row>
    <row r="1805" spans="1:25" x14ac:dyDescent="0.25">
      <c r="A1805" t="str">
        <f>"13-0167"</f>
        <v>13-0167</v>
      </c>
      <c r="D1805" s="8">
        <v>41359</v>
      </c>
      <c r="G1805" s="8">
        <v>41358</v>
      </c>
      <c r="Y1805" s="8"/>
    </row>
    <row r="1806" spans="1:25" x14ac:dyDescent="0.25">
      <c r="A1806" t="str">
        <f>"13-0038B"</f>
        <v>13-0038B</v>
      </c>
      <c r="D1806" s="8">
        <v>41358</v>
      </c>
      <c r="F1806" s="8">
        <v>41358</v>
      </c>
      <c r="G1806" s="8">
        <v>41353</v>
      </c>
      <c r="Y1806" s="8"/>
    </row>
    <row r="1807" spans="1:25" x14ac:dyDescent="0.25">
      <c r="A1807" t="str">
        <f>"13-0159"</f>
        <v>13-0159</v>
      </c>
      <c r="D1807" s="8">
        <v>41358</v>
      </c>
      <c r="F1807" s="8">
        <v>41358</v>
      </c>
      <c r="G1807" s="8">
        <v>41358</v>
      </c>
      <c r="Y1807" s="8"/>
    </row>
    <row r="1808" spans="1:25" x14ac:dyDescent="0.25">
      <c r="A1808" t="str">
        <f>"13-0160"</f>
        <v>13-0160</v>
      </c>
      <c r="D1808" s="8">
        <v>41358</v>
      </c>
      <c r="F1808" s="8">
        <v>41358</v>
      </c>
      <c r="G1808" s="8">
        <v>41358</v>
      </c>
      <c r="Y1808" s="8"/>
    </row>
    <row r="1809" spans="1:25" x14ac:dyDescent="0.25">
      <c r="A1809" t="str">
        <f>"13-0161"</f>
        <v>13-0161</v>
      </c>
      <c r="D1809" s="8">
        <v>41358</v>
      </c>
      <c r="F1809" s="8">
        <v>41358</v>
      </c>
      <c r="G1809" s="8">
        <v>41358</v>
      </c>
      <c r="Y1809" s="8"/>
    </row>
    <row r="1810" spans="1:25" x14ac:dyDescent="0.25">
      <c r="A1810" t="str">
        <f>"13-0162"</f>
        <v>13-0162</v>
      </c>
      <c r="D1810" s="8">
        <v>41358</v>
      </c>
      <c r="F1810" s="8">
        <v>41358</v>
      </c>
      <c r="G1810" s="8">
        <v>41358</v>
      </c>
      <c r="Y1810" s="8"/>
    </row>
    <row r="1811" spans="1:25" x14ac:dyDescent="0.25">
      <c r="A1811" t="str">
        <f>"13-0163"</f>
        <v>13-0163</v>
      </c>
      <c r="D1811" s="8">
        <v>41358</v>
      </c>
      <c r="F1811" s="8">
        <v>41358</v>
      </c>
      <c r="G1811" s="8">
        <v>41358</v>
      </c>
      <c r="Y1811" s="8"/>
    </row>
    <row r="1812" spans="1:25" x14ac:dyDescent="0.25">
      <c r="A1812" t="str">
        <f>"13-0131B"</f>
        <v>13-0131B</v>
      </c>
      <c r="D1812" s="8">
        <v>41355</v>
      </c>
      <c r="F1812" s="8">
        <v>42136</v>
      </c>
      <c r="G1812" s="8">
        <v>41355</v>
      </c>
      <c r="Y1812" s="8"/>
    </row>
    <row r="1813" spans="1:25" x14ac:dyDescent="0.25">
      <c r="A1813" t="str">
        <f>"13-0152B"</f>
        <v>13-0152B</v>
      </c>
      <c r="D1813" s="8">
        <v>41354</v>
      </c>
      <c r="F1813" s="8">
        <v>41354</v>
      </c>
      <c r="G1813" s="8">
        <v>41354</v>
      </c>
      <c r="Y1813" s="8"/>
    </row>
    <row r="1814" spans="1:25" x14ac:dyDescent="0.25">
      <c r="A1814" t="str">
        <f>"13-0155"</f>
        <v>13-0155</v>
      </c>
      <c r="D1814" s="8">
        <v>41354</v>
      </c>
      <c r="G1814" s="8">
        <v>41354</v>
      </c>
      <c r="Y1814" s="8"/>
    </row>
    <row r="1815" spans="1:25" x14ac:dyDescent="0.25">
      <c r="A1815" t="str">
        <f>"13-0156"</f>
        <v>13-0156</v>
      </c>
      <c r="D1815" s="8">
        <v>41354</v>
      </c>
      <c r="F1815" s="8">
        <v>41354</v>
      </c>
      <c r="G1815" s="8">
        <v>41354</v>
      </c>
      <c r="Y1815" s="8"/>
    </row>
    <row r="1816" spans="1:25" x14ac:dyDescent="0.25">
      <c r="A1816" t="str">
        <f>"13-0157"</f>
        <v>13-0157</v>
      </c>
      <c r="D1816" s="8">
        <v>41354</v>
      </c>
      <c r="F1816" s="8">
        <v>41354</v>
      </c>
      <c r="G1816" s="8">
        <v>41354</v>
      </c>
      <c r="Y1816" s="8"/>
    </row>
    <row r="1817" spans="1:25" x14ac:dyDescent="0.25">
      <c r="A1817" t="str">
        <f>"13-0158"</f>
        <v>13-0158</v>
      </c>
      <c r="D1817" s="8">
        <v>41354</v>
      </c>
      <c r="F1817" s="8">
        <v>41354</v>
      </c>
      <c r="G1817" s="8">
        <v>41354</v>
      </c>
      <c r="Y1817" s="8"/>
    </row>
    <row r="1818" spans="1:25" x14ac:dyDescent="0.25">
      <c r="A1818" t="str">
        <f>"13-0151B"</f>
        <v>13-0151B</v>
      </c>
      <c r="D1818" s="8">
        <v>41353</v>
      </c>
      <c r="F1818" s="8">
        <v>41453</v>
      </c>
      <c r="G1818" s="8">
        <v>41353</v>
      </c>
      <c r="Y1818" s="8"/>
    </row>
    <row r="1819" spans="1:25" x14ac:dyDescent="0.25">
      <c r="A1819" t="str">
        <f>"13-0151C"</f>
        <v>13-0151C</v>
      </c>
      <c r="D1819" s="8">
        <v>41353</v>
      </c>
      <c r="F1819" s="8">
        <v>41353</v>
      </c>
      <c r="G1819" s="8">
        <v>41353</v>
      </c>
      <c r="Y1819" s="8"/>
    </row>
    <row r="1820" spans="1:25" x14ac:dyDescent="0.25">
      <c r="A1820" t="str">
        <f>"13-0152"</f>
        <v>13-0152</v>
      </c>
      <c r="D1820" s="8">
        <v>41353</v>
      </c>
      <c r="F1820" s="8">
        <v>41353</v>
      </c>
      <c r="G1820" s="8">
        <v>41353</v>
      </c>
      <c r="Y1820" s="8"/>
    </row>
    <row r="1821" spans="1:25" x14ac:dyDescent="0.25">
      <c r="A1821" t="str">
        <f>"13-0153"</f>
        <v>13-0153</v>
      </c>
      <c r="D1821" s="8">
        <v>41353</v>
      </c>
      <c r="F1821" s="8">
        <v>41353</v>
      </c>
      <c r="G1821" s="8">
        <v>41353</v>
      </c>
      <c r="Y1821" s="8"/>
    </row>
    <row r="1822" spans="1:25" x14ac:dyDescent="0.25">
      <c r="A1822" t="str">
        <f>"13-0154"</f>
        <v>13-0154</v>
      </c>
      <c r="D1822" s="8">
        <v>41353</v>
      </c>
      <c r="F1822" s="8">
        <v>41353</v>
      </c>
      <c r="G1822" s="8">
        <v>41353</v>
      </c>
      <c r="Y1822" s="8"/>
    </row>
    <row r="1823" spans="1:25" x14ac:dyDescent="0.25">
      <c r="A1823" t="str">
        <f>"13-0149"</f>
        <v>13-0149</v>
      </c>
      <c r="D1823" s="8">
        <v>41352</v>
      </c>
      <c r="F1823" s="8">
        <v>41352</v>
      </c>
      <c r="G1823" s="8">
        <v>41352</v>
      </c>
      <c r="Y1823" s="8"/>
    </row>
    <row r="1824" spans="1:25" x14ac:dyDescent="0.25">
      <c r="A1824" t="str">
        <f>"13-0150"</f>
        <v>13-0150</v>
      </c>
      <c r="D1824" s="8">
        <v>41352</v>
      </c>
      <c r="F1824" s="8">
        <v>41352</v>
      </c>
      <c r="G1824" s="8">
        <v>41352</v>
      </c>
      <c r="Y1824" s="8"/>
    </row>
    <row r="1825" spans="1:25" x14ac:dyDescent="0.25">
      <c r="A1825" t="str">
        <f>"13-0151"</f>
        <v>13-0151</v>
      </c>
      <c r="D1825" s="8">
        <v>41352</v>
      </c>
      <c r="F1825" s="8">
        <v>41353</v>
      </c>
      <c r="G1825" s="8">
        <v>41355</v>
      </c>
      <c r="Y1825" s="8"/>
    </row>
    <row r="1826" spans="1:25" x14ac:dyDescent="0.25">
      <c r="A1826" t="str">
        <f>"13-0144"</f>
        <v>13-0144</v>
      </c>
      <c r="D1826" s="8">
        <v>41351</v>
      </c>
      <c r="F1826" s="8">
        <v>41353</v>
      </c>
      <c r="G1826" s="8">
        <v>41351</v>
      </c>
      <c r="Y1826" s="8"/>
    </row>
    <row r="1827" spans="1:25" x14ac:dyDescent="0.25">
      <c r="A1827" t="str">
        <f>"13-0145"</f>
        <v>13-0145</v>
      </c>
      <c r="D1827" s="8">
        <v>41351</v>
      </c>
      <c r="F1827" s="8">
        <v>41351</v>
      </c>
      <c r="G1827" s="8">
        <v>41351</v>
      </c>
      <c r="Y1827" s="8"/>
    </row>
    <row r="1828" spans="1:25" x14ac:dyDescent="0.25">
      <c r="A1828" t="str">
        <f>"13-0146"</f>
        <v>13-0146</v>
      </c>
      <c r="D1828" s="8">
        <v>41351</v>
      </c>
      <c r="F1828" s="8">
        <v>41351</v>
      </c>
      <c r="G1828" s="8">
        <v>41355</v>
      </c>
      <c r="Y1828" s="8"/>
    </row>
    <row r="1829" spans="1:25" x14ac:dyDescent="0.25">
      <c r="A1829" t="str">
        <f>"13-0147"</f>
        <v>13-0147</v>
      </c>
      <c r="D1829" s="8">
        <v>41351</v>
      </c>
      <c r="F1829" s="8">
        <v>41351</v>
      </c>
      <c r="G1829" s="8">
        <v>41351</v>
      </c>
      <c r="Y1829" s="8"/>
    </row>
    <row r="1830" spans="1:25" x14ac:dyDescent="0.25">
      <c r="A1830" t="str">
        <f>"13-0148"</f>
        <v>13-0148</v>
      </c>
      <c r="D1830" s="8">
        <v>41351</v>
      </c>
      <c r="F1830" s="8">
        <v>41351</v>
      </c>
      <c r="G1830" s="8">
        <v>41351</v>
      </c>
      <c r="Y1830" s="8"/>
    </row>
    <row r="1831" spans="1:25" x14ac:dyDescent="0.25">
      <c r="A1831" t="str">
        <f>"13-0126B"</f>
        <v>13-0126B</v>
      </c>
      <c r="D1831" s="8">
        <v>41348</v>
      </c>
      <c r="F1831" s="8">
        <v>41348</v>
      </c>
      <c r="G1831" s="8">
        <v>41348</v>
      </c>
      <c r="Y1831" s="8"/>
    </row>
    <row r="1832" spans="1:25" x14ac:dyDescent="0.25">
      <c r="A1832" t="str">
        <f>"13-0140"</f>
        <v>13-0140</v>
      </c>
      <c r="D1832" s="8">
        <v>41348</v>
      </c>
      <c r="F1832" s="8">
        <v>41348</v>
      </c>
      <c r="G1832" s="8">
        <v>41348</v>
      </c>
      <c r="Y1832" s="8"/>
    </row>
    <row r="1833" spans="1:25" x14ac:dyDescent="0.25">
      <c r="A1833" t="str">
        <f>"13-0141"</f>
        <v>13-0141</v>
      </c>
      <c r="D1833" s="8">
        <v>41348</v>
      </c>
      <c r="F1833" s="8">
        <v>41348</v>
      </c>
      <c r="G1833" s="8">
        <v>41348</v>
      </c>
      <c r="Y1833" s="8"/>
    </row>
    <row r="1834" spans="1:25" x14ac:dyDescent="0.25">
      <c r="A1834" t="str">
        <f>"13-0142"</f>
        <v>13-0142</v>
      </c>
      <c r="D1834" s="8">
        <v>41348</v>
      </c>
      <c r="F1834" s="8">
        <v>41348</v>
      </c>
      <c r="G1834" s="8">
        <v>41348</v>
      </c>
      <c r="Y1834" s="8"/>
    </row>
    <row r="1835" spans="1:25" x14ac:dyDescent="0.25">
      <c r="A1835" t="str">
        <f>"13-0086B"</f>
        <v>13-0086B</v>
      </c>
      <c r="D1835" s="8">
        <v>41347</v>
      </c>
      <c r="F1835" s="8">
        <v>41347</v>
      </c>
      <c r="G1835" s="8">
        <v>41347</v>
      </c>
      <c r="Y1835" s="8"/>
    </row>
    <row r="1836" spans="1:25" x14ac:dyDescent="0.25">
      <c r="A1836" t="str">
        <f>"13-0130B"</f>
        <v>13-0130B</v>
      </c>
      <c r="D1836" s="8">
        <v>41347</v>
      </c>
      <c r="F1836" s="8">
        <v>41347</v>
      </c>
      <c r="G1836" s="8">
        <v>41347</v>
      </c>
      <c r="Y1836" s="8"/>
    </row>
    <row r="1837" spans="1:25" x14ac:dyDescent="0.25">
      <c r="A1837" t="str">
        <f>"13-0135"</f>
        <v>13-0135</v>
      </c>
      <c r="D1837" s="8">
        <v>41347</v>
      </c>
      <c r="F1837" s="8">
        <v>41347</v>
      </c>
      <c r="G1837" s="8">
        <v>41347</v>
      </c>
      <c r="Y1837" s="8"/>
    </row>
    <row r="1838" spans="1:25" x14ac:dyDescent="0.25">
      <c r="A1838" t="str">
        <f>"13-0136"</f>
        <v>13-0136</v>
      </c>
      <c r="D1838" s="8">
        <v>41347</v>
      </c>
      <c r="F1838" s="8">
        <v>41347</v>
      </c>
      <c r="G1838" s="8">
        <v>41347</v>
      </c>
      <c r="Y1838" s="8"/>
    </row>
    <row r="1839" spans="1:25" x14ac:dyDescent="0.25">
      <c r="A1839" t="str">
        <f>"13-0137"</f>
        <v>13-0137</v>
      </c>
      <c r="D1839" s="8">
        <v>41347</v>
      </c>
      <c r="F1839" s="8">
        <v>41347</v>
      </c>
      <c r="G1839" s="8">
        <v>41348</v>
      </c>
      <c r="Y1839" s="8"/>
    </row>
    <row r="1840" spans="1:25" x14ac:dyDescent="0.25">
      <c r="A1840" t="str">
        <f>"13-0138"</f>
        <v>13-0138</v>
      </c>
      <c r="D1840" s="8">
        <v>41347</v>
      </c>
      <c r="F1840" s="8">
        <v>41347</v>
      </c>
      <c r="G1840" s="8">
        <v>41347</v>
      </c>
      <c r="Y1840" s="8"/>
    </row>
    <row r="1841" spans="1:25" x14ac:dyDescent="0.25">
      <c r="A1841" t="str">
        <f>"13-0139"</f>
        <v>13-0139</v>
      </c>
      <c r="D1841" s="8">
        <v>41347</v>
      </c>
      <c r="F1841" s="8">
        <v>41347</v>
      </c>
      <c r="G1841" s="8">
        <v>41347</v>
      </c>
      <c r="Y1841" s="8"/>
    </row>
    <row r="1842" spans="1:25" x14ac:dyDescent="0.25">
      <c r="A1842" t="str">
        <f>"13-0132"</f>
        <v>13-0132</v>
      </c>
      <c r="D1842" s="8">
        <v>41346</v>
      </c>
      <c r="F1842" s="8">
        <v>41346</v>
      </c>
      <c r="G1842" s="8">
        <v>41346</v>
      </c>
      <c r="Y1842" s="8"/>
    </row>
    <row r="1843" spans="1:25" x14ac:dyDescent="0.25">
      <c r="A1843" t="str">
        <f>"13-0133"</f>
        <v>13-0133</v>
      </c>
      <c r="D1843" s="8">
        <v>41346</v>
      </c>
      <c r="F1843" s="8">
        <v>41346</v>
      </c>
      <c r="G1843" s="8">
        <v>41345</v>
      </c>
      <c r="Y1843" s="8"/>
    </row>
    <row r="1844" spans="1:25" x14ac:dyDescent="0.25">
      <c r="A1844" t="str">
        <f>"13-0134"</f>
        <v>13-0134</v>
      </c>
      <c r="D1844" s="8">
        <v>41346</v>
      </c>
      <c r="F1844" s="8">
        <v>41346</v>
      </c>
      <c r="G1844" s="8">
        <v>41346</v>
      </c>
      <c r="Y1844" s="8"/>
    </row>
    <row r="1845" spans="1:25" x14ac:dyDescent="0.25">
      <c r="A1845" t="str">
        <f>"13-0130"</f>
        <v>13-0130</v>
      </c>
      <c r="D1845" s="8">
        <v>41345</v>
      </c>
      <c r="F1845" s="8">
        <v>41345</v>
      </c>
      <c r="G1845" s="8">
        <v>41345</v>
      </c>
      <c r="Y1845" s="8"/>
    </row>
    <row r="1846" spans="1:25" x14ac:dyDescent="0.25">
      <c r="A1846" t="str">
        <f>"13-0131"</f>
        <v>13-0131</v>
      </c>
      <c r="D1846" s="8">
        <v>41345</v>
      </c>
      <c r="F1846" s="8">
        <v>41793</v>
      </c>
      <c r="G1846" s="8">
        <v>41345</v>
      </c>
      <c r="Y1846" s="8"/>
    </row>
    <row r="1847" spans="1:25" x14ac:dyDescent="0.25">
      <c r="A1847" t="str">
        <f>"13-0125"</f>
        <v>13-0125</v>
      </c>
      <c r="D1847" s="8">
        <v>41344</v>
      </c>
      <c r="F1847" s="8">
        <v>41344</v>
      </c>
      <c r="G1847" s="8">
        <v>41344</v>
      </c>
      <c r="Y1847" s="8"/>
    </row>
    <row r="1848" spans="1:25" x14ac:dyDescent="0.25">
      <c r="A1848" t="str">
        <f>"13-0126"</f>
        <v>13-0126</v>
      </c>
      <c r="D1848" s="8">
        <v>41344</v>
      </c>
      <c r="F1848" s="8">
        <v>41344</v>
      </c>
      <c r="G1848" s="8">
        <v>41344</v>
      </c>
      <c r="Y1848" s="8"/>
    </row>
    <row r="1849" spans="1:25" x14ac:dyDescent="0.25">
      <c r="A1849" t="str">
        <f>"13-0127"</f>
        <v>13-0127</v>
      </c>
      <c r="D1849" s="8">
        <v>41344</v>
      </c>
      <c r="F1849" s="8">
        <v>41344</v>
      </c>
      <c r="G1849" s="8">
        <v>41344</v>
      </c>
      <c r="Y1849" s="8"/>
    </row>
    <row r="1850" spans="1:25" x14ac:dyDescent="0.25">
      <c r="A1850" t="str">
        <f>"13-0128"</f>
        <v>13-0128</v>
      </c>
      <c r="D1850" s="8">
        <v>41344</v>
      </c>
      <c r="F1850" s="8">
        <v>41354</v>
      </c>
      <c r="G1850" s="8">
        <v>41344</v>
      </c>
      <c r="Y1850" s="8"/>
    </row>
    <row r="1851" spans="1:25" x14ac:dyDescent="0.25">
      <c r="A1851" t="str">
        <f>"13-0129"</f>
        <v>13-0129</v>
      </c>
      <c r="D1851" s="8">
        <v>41344</v>
      </c>
      <c r="F1851" s="8">
        <v>41344</v>
      </c>
      <c r="G1851" s="8">
        <v>41344</v>
      </c>
      <c r="Y1851" s="8"/>
    </row>
    <row r="1852" spans="1:25" x14ac:dyDescent="0.25">
      <c r="A1852" t="str">
        <f>"13-0068B"</f>
        <v>13-0068B</v>
      </c>
      <c r="D1852" s="8">
        <v>41341</v>
      </c>
      <c r="F1852" s="8">
        <v>41341</v>
      </c>
      <c r="G1852" s="8">
        <v>41341</v>
      </c>
      <c r="Y1852" s="8"/>
    </row>
    <row r="1853" spans="1:25" x14ac:dyDescent="0.25">
      <c r="A1853" t="str">
        <f>"13-0123"</f>
        <v>13-0123</v>
      </c>
      <c r="D1853" s="8">
        <v>41340</v>
      </c>
      <c r="F1853" s="8">
        <v>41340</v>
      </c>
      <c r="G1853" s="8">
        <v>41340</v>
      </c>
      <c r="Y1853" s="8"/>
    </row>
    <row r="1854" spans="1:25" x14ac:dyDescent="0.25">
      <c r="A1854" t="str">
        <f>"13-0124"</f>
        <v>13-0124</v>
      </c>
      <c r="D1854" s="8">
        <v>41340</v>
      </c>
      <c r="F1854" s="8">
        <v>41340</v>
      </c>
      <c r="G1854" s="8">
        <v>41340</v>
      </c>
      <c r="Y1854" s="8"/>
    </row>
    <row r="1855" spans="1:25" x14ac:dyDescent="0.25">
      <c r="A1855" t="str">
        <f>"13-0120"</f>
        <v>13-0120</v>
      </c>
      <c r="D1855" s="8">
        <v>41339</v>
      </c>
      <c r="F1855" s="8">
        <v>41339</v>
      </c>
      <c r="G1855" s="8">
        <v>41339</v>
      </c>
      <c r="Y1855" s="8"/>
    </row>
    <row r="1856" spans="1:25" x14ac:dyDescent="0.25">
      <c r="A1856" t="str">
        <f>"13-0121"</f>
        <v>13-0121</v>
      </c>
      <c r="D1856" s="8">
        <v>41339</v>
      </c>
      <c r="F1856" s="8">
        <v>41339</v>
      </c>
      <c r="G1856" s="8">
        <v>41339</v>
      </c>
      <c r="Y1856" s="8"/>
    </row>
    <row r="1857" spans="1:25" x14ac:dyDescent="0.25">
      <c r="A1857" t="str">
        <f>"13-0122"</f>
        <v>13-0122</v>
      </c>
      <c r="D1857" s="8">
        <v>41339</v>
      </c>
      <c r="F1857" s="8">
        <v>41339</v>
      </c>
      <c r="G1857" s="8">
        <v>41339</v>
      </c>
      <c r="Y1857" s="8"/>
    </row>
    <row r="1858" spans="1:25" x14ac:dyDescent="0.25">
      <c r="A1858" t="str">
        <f>"13-0114"</f>
        <v>13-0114</v>
      </c>
      <c r="D1858" s="8">
        <v>41338</v>
      </c>
      <c r="F1858" s="8">
        <v>41338</v>
      </c>
      <c r="G1858" s="8">
        <v>41338</v>
      </c>
      <c r="Y1858" s="8"/>
    </row>
    <row r="1859" spans="1:25" x14ac:dyDescent="0.25">
      <c r="A1859" t="str">
        <f>"13-0115"</f>
        <v>13-0115</v>
      </c>
      <c r="D1859" s="8">
        <v>41338</v>
      </c>
      <c r="F1859" s="8">
        <v>41898</v>
      </c>
      <c r="G1859" s="8">
        <v>41338</v>
      </c>
      <c r="Y1859" s="8"/>
    </row>
    <row r="1860" spans="1:25" x14ac:dyDescent="0.25">
      <c r="A1860" t="str">
        <f>"13-0116"</f>
        <v>13-0116</v>
      </c>
      <c r="D1860" s="8">
        <v>41338</v>
      </c>
      <c r="F1860" s="8">
        <v>41338</v>
      </c>
      <c r="G1860" s="8">
        <v>41338</v>
      </c>
      <c r="Y1860" s="8"/>
    </row>
    <row r="1861" spans="1:25" x14ac:dyDescent="0.25">
      <c r="A1861" t="str">
        <f>"13-0117"</f>
        <v>13-0117</v>
      </c>
      <c r="D1861" s="8">
        <v>41338</v>
      </c>
      <c r="F1861" s="8">
        <v>41338</v>
      </c>
      <c r="G1861" s="8">
        <v>41338</v>
      </c>
      <c r="Y1861" s="8"/>
    </row>
    <row r="1862" spans="1:25" x14ac:dyDescent="0.25">
      <c r="A1862" t="str">
        <f>"13-0118"</f>
        <v>13-0118</v>
      </c>
      <c r="D1862" s="8">
        <v>41338</v>
      </c>
      <c r="F1862" s="8">
        <v>41338</v>
      </c>
      <c r="G1862" s="8">
        <v>41338</v>
      </c>
      <c r="Y1862" s="8"/>
    </row>
    <row r="1863" spans="1:25" x14ac:dyDescent="0.25">
      <c r="A1863" t="str">
        <f>"13-0119"</f>
        <v>13-0119</v>
      </c>
      <c r="D1863" s="8">
        <v>41338</v>
      </c>
      <c r="F1863" s="8">
        <v>41338</v>
      </c>
      <c r="G1863" s="8">
        <v>41338</v>
      </c>
      <c r="Y1863" s="8"/>
    </row>
    <row r="1864" spans="1:25" x14ac:dyDescent="0.25">
      <c r="A1864" t="str">
        <f>"13-0110B"</f>
        <v>13-0110B</v>
      </c>
      <c r="D1864" s="8">
        <v>41337</v>
      </c>
      <c r="F1864" s="8">
        <v>41337</v>
      </c>
      <c r="G1864" s="8">
        <v>41337</v>
      </c>
      <c r="Y1864" s="8"/>
    </row>
    <row r="1865" spans="1:25" x14ac:dyDescent="0.25">
      <c r="A1865" t="str">
        <f>"13-0112"</f>
        <v>13-0112</v>
      </c>
      <c r="D1865" s="8">
        <v>41337</v>
      </c>
      <c r="F1865" s="8">
        <v>41337</v>
      </c>
      <c r="G1865" s="8">
        <v>41337</v>
      </c>
      <c r="Y1865" s="8"/>
    </row>
    <row r="1866" spans="1:25" x14ac:dyDescent="0.25">
      <c r="A1866" t="str">
        <f>"13-0113"</f>
        <v>13-0113</v>
      </c>
      <c r="D1866" s="8">
        <v>41337</v>
      </c>
      <c r="F1866" s="8">
        <v>41337</v>
      </c>
      <c r="G1866" s="8">
        <v>41337</v>
      </c>
      <c r="Y1866" s="8"/>
    </row>
    <row r="1867" spans="1:25" x14ac:dyDescent="0.25">
      <c r="A1867" t="str">
        <f>"13-0079B"</f>
        <v>13-0079B</v>
      </c>
      <c r="D1867" s="8">
        <v>41334</v>
      </c>
      <c r="F1867" s="8">
        <v>41334</v>
      </c>
      <c r="G1867" s="8">
        <v>41334</v>
      </c>
      <c r="Y1867" s="8"/>
    </row>
    <row r="1868" spans="1:25" x14ac:dyDescent="0.25">
      <c r="A1868" t="str">
        <f>"13-0106"</f>
        <v>13-0106</v>
      </c>
      <c r="D1868" s="8">
        <v>41334</v>
      </c>
      <c r="F1868" s="8">
        <v>41334</v>
      </c>
      <c r="G1868" s="8">
        <v>41334</v>
      </c>
      <c r="Y1868" s="8"/>
    </row>
    <row r="1869" spans="1:25" x14ac:dyDescent="0.25">
      <c r="A1869" t="str">
        <f>"13-0107"</f>
        <v>13-0107</v>
      </c>
      <c r="D1869" s="8">
        <v>41334</v>
      </c>
      <c r="F1869" s="8">
        <v>41334</v>
      </c>
      <c r="G1869" s="8">
        <v>41334</v>
      </c>
      <c r="Y1869" s="8"/>
    </row>
    <row r="1870" spans="1:25" x14ac:dyDescent="0.25">
      <c r="A1870" t="str">
        <f>"13-0108"</f>
        <v>13-0108</v>
      </c>
      <c r="D1870" s="8">
        <v>41334</v>
      </c>
      <c r="F1870" s="8">
        <v>41334</v>
      </c>
      <c r="G1870" s="8">
        <v>41334</v>
      </c>
      <c r="Y1870" s="8"/>
    </row>
    <row r="1871" spans="1:25" x14ac:dyDescent="0.25">
      <c r="A1871" t="str">
        <f>"13-0109"</f>
        <v>13-0109</v>
      </c>
      <c r="D1871" s="8">
        <v>41334</v>
      </c>
      <c r="F1871" s="8">
        <v>41337</v>
      </c>
      <c r="G1871" s="8">
        <v>41334</v>
      </c>
      <c r="Y1871" s="8"/>
    </row>
    <row r="1872" spans="1:25" x14ac:dyDescent="0.25">
      <c r="A1872" t="str">
        <f>"13-0110"</f>
        <v>13-0110</v>
      </c>
      <c r="D1872" s="8">
        <v>41334</v>
      </c>
      <c r="F1872" s="8">
        <v>41334</v>
      </c>
      <c r="G1872" s="8">
        <v>41334</v>
      </c>
      <c r="Y1872" s="8"/>
    </row>
    <row r="1873" spans="1:25" x14ac:dyDescent="0.25">
      <c r="A1873" t="str">
        <f>"13-0111"</f>
        <v>13-0111</v>
      </c>
      <c r="D1873" s="8">
        <v>41334</v>
      </c>
      <c r="F1873" s="8">
        <v>41334</v>
      </c>
      <c r="G1873" s="8">
        <v>41334</v>
      </c>
      <c r="Y1873" s="8"/>
    </row>
    <row r="1874" spans="1:25" x14ac:dyDescent="0.25">
      <c r="A1874" t="str">
        <f>"13-0080B"</f>
        <v>13-0080B</v>
      </c>
      <c r="D1874" s="8">
        <v>41333</v>
      </c>
      <c r="F1874" s="8">
        <v>41333</v>
      </c>
      <c r="G1874" s="8">
        <v>41333</v>
      </c>
      <c r="Y1874" s="8"/>
    </row>
    <row r="1875" spans="1:25" x14ac:dyDescent="0.25">
      <c r="A1875" t="str">
        <f>"13-0104"</f>
        <v>13-0104</v>
      </c>
      <c r="D1875" s="8">
        <v>41333</v>
      </c>
      <c r="F1875" s="8">
        <v>41333</v>
      </c>
      <c r="G1875" s="8">
        <v>41333</v>
      </c>
      <c r="Y1875" s="8"/>
    </row>
    <row r="1876" spans="1:25" x14ac:dyDescent="0.25">
      <c r="A1876" t="str">
        <f>"13-0105"</f>
        <v>13-0105</v>
      </c>
      <c r="D1876" s="8">
        <v>41333</v>
      </c>
      <c r="F1876" s="8">
        <v>41333</v>
      </c>
      <c r="G1876" s="8">
        <v>41333</v>
      </c>
      <c r="Y1876" s="8"/>
    </row>
    <row r="1877" spans="1:25" x14ac:dyDescent="0.25">
      <c r="A1877" t="str">
        <f>"13-0102"</f>
        <v>13-0102</v>
      </c>
      <c r="D1877" s="8">
        <v>41332</v>
      </c>
      <c r="F1877" s="8">
        <v>41383</v>
      </c>
      <c r="G1877" s="8">
        <v>41332</v>
      </c>
      <c r="Y1877" s="8"/>
    </row>
    <row r="1878" spans="1:25" x14ac:dyDescent="0.25">
      <c r="A1878" t="str">
        <f>"13-0103"</f>
        <v>13-0103</v>
      </c>
      <c r="D1878" s="8">
        <v>41332</v>
      </c>
      <c r="F1878" s="8">
        <v>41332</v>
      </c>
      <c r="G1878" s="8">
        <v>41332</v>
      </c>
      <c r="Y1878" s="8"/>
    </row>
    <row r="1879" spans="1:25" x14ac:dyDescent="0.25">
      <c r="A1879" t="str">
        <f>"13-0098B"</f>
        <v>13-0098B</v>
      </c>
      <c r="D1879" s="8">
        <v>41331</v>
      </c>
      <c r="F1879" s="8">
        <v>41331</v>
      </c>
      <c r="G1879" s="8">
        <v>41331</v>
      </c>
      <c r="Y1879" s="8"/>
    </row>
    <row r="1880" spans="1:25" x14ac:dyDescent="0.25">
      <c r="A1880" t="str">
        <f>"13-0099"</f>
        <v>13-0099</v>
      </c>
      <c r="D1880" s="8">
        <v>41331</v>
      </c>
      <c r="F1880" s="8">
        <v>41331</v>
      </c>
      <c r="G1880" s="8">
        <v>41331</v>
      </c>
      <c r="Y1880" s="8"/>
    </row>
    <row r="1881" spans="1:25" x14ac:dyDescent="0.25">
      <c r="A1881" t="str">
        <f>"13-0100"</f>
        <v>13-0100</v>
      </c>
      <c r="D1881" s="8">
        <v>41331</v>
      </c>
      <c r="F1881" s="8">
        <v>41331</v>
      </c>
      <c r="G1881" s="8">
        <v>41331</v>
      </c>
      <c r="Y1881" s="8"/>
    </row>
    <row r="1882" spans="1:25" x14ac:dyDescent="0.25">
      <c r="A1882" t="str">
        <f>"13-0101"</f>
        <v>13-0101</v>
      </c>
      <c r="D1882" s="8">
        <v>41331</v>
      </c>
      <c r="F1882" s="8">
        <v>41331</v>
      </c>
      <c r="G1882" s="8">
        <v>41331</v>
      </c>
      <c r="Y1882" s="8"/>
    </row>
    <row r="1883" spans="1:25" x14ac:dyDescent="0.25">
      <c r="A1883" t="str">
        <f>"13-0096"</f>
        <v>13-0096</v>
      </c>
      <c r="D1883" s="8">
        <v>41330</v>
      </c>
      <c r="F1883" s="8">
        <v>41330</v>
      </c>
      <c r="G1883" s="8">
        <v>41330</v>
      </c>
      <c r="Y1883" s="8"/>
    </row>
    <row r="1884" spans="1:25" x14ac:dyDescent="0.25">
      <c r="A1884" t="str">
        <f>"13-0097"</f>
        <v>13-0097</v>
      </c>
      <c r="D1884" s="8">
        <v>41330</v>
      </c>
      <c r="F1884" s="8">
        <v>41330</v>
      </c>
      <c r="G1884" s="8">
        <v>41330</v>
      </c>
      <c r="Y1884" s="8"/>
    </row>
    <row r="1885" spans="1:25" x14ac:dyDescent="0.25">
      <c r="A1885" t="str">
        <f>"13-0097B"</f>
        <v>13-0097B</v>
      </c>
      <c r="D1885" s="8">
        <v>41330</v>
      </c>
      <c r="F1885" s="8">
        <v>41330</v>
      </c>
      <c r="G1885" s="8">
        <v>41330</v>
      </c>
      <c r="Y1885" s="8"/>
    </row>
    <row r="1886" spans="1:25" x14ac:dyDescent="0.25">
      <c r="A1886" t="str">
        <f>"13-0098"</f>
        <v>13-0098</v>
      </c>
      <c r="D1886" s="8">
        <v>41330</v>
      </c>
      <c r="F1886" s="8">
        <v>41330</v>
      </c>
      <c r="G1886" s="8">
        <v>41330</v>
      </c>
      <c r="Y1886" s="8"/>
    </row>
    <row r="1887" spans="1:25" x14ac:dyDescent="0.25">
      <c r="A1887" t="str">
        <f>"13-0094"</f>
        <v>13-0094</v>
      </c>
      <c r="D1887" s="8">
        <v>41327</v>
      </c>
      <c r="F1887" s="8">
        <v>41472</v>
      </c>
      <c r="G1887" s="8">
        <v>41327</v>
      </c>
      <c r="Y1887" s="8"/>
    </row>
    <row r="1888" spans="1:25" x14ac:dyDescent="0.25">
      <c r="A1888" t="str">
        <f>"13-0095"</f>
        <v>13-0095</v>
      </c>
      <c r="D1888" s="8">
        <v>41327</v>
      </c>
      <c r="F1888" s="8">
        <v>41327</v>
      </c>
      <c r="G1888" s="8">
        <v>41330</v>
      </c>
      <c r="Y1888" s="8"/>
    </row>
    <row r="1889" spans="1:25" x14ac:dyDescent="0.25">
      <c r="A1889" t="str">
        <f>"13-0087"</f>
        <v>13-0087</v>
      </c>
      <c r="D1889" s="8">
        <v>41326</v>
      </c>
      <c r="F1889" s="8">
        <v>41326</v>
      </c>
      <c r="G1889" s="8">
        <v>41326</v>
      </c>
      <c r="Y1889" s="8"/>
    </row>
    <row r="1890" spans="1:25" x14ac:dyDescent="0.25">
      <c r="A1890" t="str">
        <f>"13-0088"</f>
        <v>13-0088</v>
      </c>
      <c r="D1890" s="8">
        <v>41326</v>
      </c>
      <c r="F1890" s="8">
        <v>41326</v>
      </c>
      <c r="G1890" s="8">
        <v>41326</v>
      </c>
      <c r="Y1890" s="8"/>
    </row>
    <row r="1891" spans="1:25" x14ac:dyDescent="0.25">
      <c r="A1891" t="str">
        <f>"13-0089"</f>
        <v>13-0089</v>
      </c>
      <c r="D1891" s="8">
        <v>41326</v>
      </c>
      <c r="F1891" s="8">
        <v>41326</v>
      </c>
      <c r="G1891" s="8">
        <v>41326</v>
      </c>
      <c r="Y1891" s="8"/>
    </row>
    <row r="1892" spans="1:25" x14ac:dyDescent="0.25">
      <c r="A1892" t="str">
        <f>"13-0090"</f>
        <v>13-0090</v>
      </c>
      <c r="D1892" s="8">
        <v>41326</v>
      </c>
      <c r="F1892" s="8">
        <v>41326</v>
      </c>
      <c r="G1892" s="8">
        <v>41326</v>
      </c>
      <c r="Y1892" s="8"/>
    </row>
    <row r="1893" spans="1:25" x14ac:dyDescent="0.25">
      <c r="A1893" t="str">
        <f>"13-0091"</f>
        <v>13-0091</v>
      </c>
      <c r="D1893" s="8">
        <v>41326</v>
      </c>
      <c r="F1893" s="8">
        <v>41332</v>
      </c>
      <c r="G1893" s="8">
        <v>41327</v>
      </c>
      <c r="Y1893" s="8"/>
    </row>
    <row r="1894" spans="1:25" x14ac:dyDescent="0.25">
      <c r="A1894" t="str">
        <f>"13-0092"</f>
        <v>13-0092</v>
      </c>
      <c r="D1894" s="8">
        <v>41326</v>
      </c>
      <c r="F1894" s="8">
        <v>41326</v>
      </c>
      <c r="G1894" s="8">
        <v>41326</v>
      </c>
      <c r="Y1894" s="8"/>
    </row>
    <row r="1895" spans="1:25" x14ac:dyDescent="0.25">
      <c r="A1895" t="str">
        <f>"13-0093"</f>
        <v>13-0093</v>
      </c>
      <c r="D1895" s="8">
        <v>41326</v>
      </c>
      <c r="F1895" s="8">
        <v>41326</v>
      </c>
      <c r="G1895" s="8">
        <v>41326</v>
      </c>
      <c r="Y1895" s="8"/>
    </row>
    <row r="1896" spans="1:25" x14ac:dyDescent="0.25">
      <c r="A1896" t="str">
        <f>"13-0084"</f>
        <v>13-0084</v>
      </c>
      <c r="D1896" s="8">
        <v>41325</v>
      </c>
      <c r="F1896" s="8">
        <v>41338</v>
      </c>
      <c r="G1896" s="8">
        <v>41327</v>
      </c>
      <c r="Y1896" s="8"/>
    </row>
    <row r="1897" spans="1:25" x14ac:dyDescent="0.25">
      <c r="A1897" t="str">
        <f>"13-0085"</f>
        <v>13-0085</v>
      </c>
      <c r="D1897" s="8">
        <v>41325</v>
      </c>
      <c r="F1897" s="8">
        <v>41326</v>
      </c>
      <c r="G1897" s="8">
        <v>41325</v>
      </c>
      <c r="Y1897" s="8"/>
    </row>
    <row r="1898" spans="1:25" x14ac:dyDescent="0.25">
      <c r="A1898" t="str">
        <f>"13-0086"</f>
        <v>13-0086</v>
      </c>
      <c r="D1898" s="8">
        <v>41325</v>
      </c>
      <c r="F1898" s="8">
        <v>41326</v>
      </c>
      <c r="G1898" s="8">
        <v>41327</v>
      </c>
      <c r="Y1898" s="8"/>
    </row>
    <row r="1899" spans="1:25" x14ac:dyDescent="0.25">
      <c r="A1899" t="str">
        <f>"13-0080"</f>
        <v>13-0080</v>
      </c>
      <c r="D1899" s="8">
        <v>41324</v>
      </c>
      <c r="F1899" s="8">
        <v>41332</v>
      </c>
      <c r="G1899" s="8">
        <v>41324</v>
      </c>
      <c r="Y1899" s="8"/>
    </row>
    <row r="1900" spans="1:25" x14ac:dyDescent="0.25">
      <c r="A1900" t="str">
        <f>"13-0081"</f>
        <v>13-0081</v>
      </c>
      <c r="D1900" s="8">
        <v>41324</v>
      </c>
      <c r="F1900" s="8">
        <v>41324</v>
      </c>
      <c r="G1900" s="8">
        <v>41324</v>
      </c>
      <c r="Y1900" s="8"/>
    </row>
    <row r="1901" spans="1:25" x14ac:dyDescent="0.25">
      <c r="A1901" t="str">
        <f>"13-0082"</f>
        <v>13-0082</v>
      </c>
      <c r="D1901" s="8">
        <v>41324</v>
      </c>
      <c r="F1901" s="8">
        <v>41324</v>
      </c>
      <c r="G1901" s="8">
        <v>41324</v>
      </c>
      <c r="Y1901" s="8"/>
    </row>
    <row r="1902" spans="1:25" x14ac:dyDescent="0.25">
      <c r="A1902" t="str">
        <f>"13-0083"</f>
        <v>13-0083</v>
      </c>
      <c r="D1902" s="8">
        <v>41324</v>
      </c>
      <c r="F1902" s="8">
        <v>41324</v>
      </c>
      <c r="G1902" s="8">
        <v>41324</v>
      </c>
      <c r="Y1902" s="8"/>
    </row>
    <row r="1903" spans="1:25" x14ac:dyDescent="0.25">
      <c r="A1903" t="str">
        <f>"13-0074"</f>
        <v>13-0074</v>
      </c>
      <c r="D1903" s="8">
        <v>41323</v>
      </c>
      <c r="F1903" s="8">
        <v>41323</v>
      </c>
      <c r="G1903" s="8">
        <v>41323</v>
      </c>
      <c r="Y1903" s="8"/>
    </row>
    <row r="1904" spans="1:25" x14ac:dyDescent="0.25">
      <c r="A1904" t="str">
        <f>"13-0075"</f>
        <v>13-0075</v>
      </c>
      <c r="D1904" s="8">
        <v>41323</v>
      </c>
      <c r="F1904" s="8">
        <v>41323</v>
      </c>
      <c r="G1904" s="8">
        <v>41323</v>
      </c>
      <c r="Y1904" s="8"/>
    </row>
    <row r="1905" spans="1:25" x14ac:dyDescent="0.25">
      <c r="A1905" t="str">
        <f>"13-0076"</f>
        <v>13-0076</v>
      </c>
      <c r="D1905" s="8">
        <v>41323</v>
      </c>
      <c r="F1905" s="8">
        <v>41323</v>
      </c>
      <c r="G1905" s="8">
        <v>41323</v>
      </c>
      <c r="Y1905" s="8"/>
    </row>
    <row r="1906" spans="1:25" x14ac:dyDescent="0.25">
      <c r="A1906" t="str">
        <f>"13-0077"</f>
        <v>13-0077</v>
      </c>
      <c r="D1906" s="8">
        <v>41323</v>
      </c>
      <c r="F1906" s="8">
        <v>41323</v>
      </c>
      <c r="G1906" s="8">
        <v>41323</v>
      </c>
      <c r="Y1906" s="8"/>
    </row>
    <row r="1907" spans="1:25" x14ac:dyDescent="0.25">
      <c r="A1907" t="str">
        <f>"13-0078"</f>
        <v>13-0078</v>
      </c>
      <c r="D1907" s="8">
        <v>41323</v>
      </c>
      <c r="F1907" s="8">
        <v>41323</v>
      </c>
      <c r="G1907" s="8">
        <v>41323</v>
      </c>
      <c r="Y1907" s="8"/>
    </row>
    <row r="1908" spans="1:25" x14ac:dyDescent="0.25">
      <c r="A1908" t="str">
        <f>"13-0079"</f>
        <v>13-0079</v>
      </c>
      <c r="D1908" s="8">
        <v>41323</v>
      </c>
      <c r="F1908" s="8">
        <v>41334</v>
      </c>
      <c r="G1908" s="8">
        <v>41323</v>
      </c>
      <c r="Y1908" s="8"/>
    </row>
    <row r="1909" spans="1:25" x14ac:dyDescent="0.25">
      <c r="A1909" t="str">
        <f>"13-0072"</f>
        <v>13-0072</v>
      </c>
      <c r="D1909" s="8">
        <v>41320</v>
      </c>
      <c r="F1909" s="8">
        <v>41326</v>
      </c>
      <c r="G1909" s="8">
        <v>41320</v>
      </c>
      <c r="Y1909" s="8"/>
    </row>
    <row r="1910" spans="1:25" x14ac:dyDescent="0.25">
      <c r="A1910" t="str">
        <f>"13-0073"</f>
        <v>13-0073</v>
      </c>
      <c r="D1910" s="8">
        <v>41320</v>
      </c>
      <c r="F1910" s="8">
        <v>41320</v>
      </c>
      <c r="G1910" s="8">
        <v>41320</v>
      </c>
      <c r="Y1910" s="8"/>
    </row>
    <row r="1911" spans="1:25" x14ac:dyDescent="0.25">
      <c r="A1911" t="str">
        <f>"13-0071"</f>
        <v>13-0071</v>
      </c>
      <c r="D1911" s="8">
        <v>41319</v>
      </c>
      <c r="F1911" s="8">
        <v>41319</v>
      </c>
      <c r="G1911" s="8">
        <v>41319</v>
      </c>
      <c r="Y1911" s="8"/>
    </row>
    <row r="1912" spans="1:25" x14ac:dyDescent="0.25">
      <c r="A1912" t="str">
        <f>"13-0069"</f>
        <v>13-0069</v>
      </c>
      <c r="D1912" s="8">
        <v>41318</v>
      </c>
      <c r="F1912" s="8">
        <v>41318</v>
      </c>
      <c r="G1912" s="8">
        <v>41318</v>
      </c>
      <c r="Y1912" s="8"/>
    </row>
    <row r="1913" spans="1:25" x14ac:dyDescent="0.25">
      <c r="A1913" t="str">
        <f>"13-0070"</f>
        <v>13-0070</v>
      </c>
      <c r="D1913" s="8">
        <v>41318</v>
      </c>
      <c r="F1913" s="8">
        <v>41318</v>
      </c>
      <c r="G1913" s="8">
        <v>41318</v>
      </c>
      <c r="Y1913" s="8"/>
    </row>
    <row r="1914" spans="1:25" x14ac:dyDescent="0.25">
      <c r="A1914" t="str">
        <f>"13-0067"</f>
        <v>13-0067</v>
      </c>
      <c r="D1914" s="8">
        <v>41316</v>
      </c>
      <c r="F1914" s="8">
        <v>41316</v>
      </c>
      <c r="G1914" s="8">
        <v>41316</v>
      </c>
      <c r="Y1914" s="8"/>
    </row>
    <row r="1915" spans="1:25" x14ac:dyDescent="0.25">
      <c r="A1915" t="str">
        <f>"13-0068"</f>
        <v>13-0068</v>
      </c>
      <c r="D1915" s="8">
        <v>41316</v>
      </c>
      <c r="F1915" s="8">
        <v>41316</v>
      </c>
      <c r="G1915" s="8">
        <v>41316</v>
      </c>
      <c r="Y1915" s="8"/>
    </row>
    <row r="1916" spans="1:25" x14ac:dyDescent="0.25">
      <c r="A1916" t="str">
        <f>"13-0063"</f>
        <v>13-0063</v>
      </c>
      <c r="D1916" s="8">
        <v>41313</v>
      </c>
      <c r="F1916" s="8">
        <v>41313</v>
      </c>
      <c r="G1916" s="8">
        <v>41313</v>
      </c>
      <c r="Y1916" s="8"/>
    </row>
    <row r="1917" spans="1:25" x14ac:dyDescent="0.25">
      <c r="A1917" t="str">
        <f>"13-0064"</f>
        <v>13-0064</v>
      </c>
      <c r="D1917" s="8">
        <v>41313</v>
      </c>
      <c r="F1917" s="8">
        <v>41313</v>
      </c>
      <c r="G1917" s="8">
        <v>41313</v>
      </c>
      <c r="Y1917" s="8"/>
    </row>
    <row r="1918" spans="1:25" x14ac:dyDescent="0.25">
      <c r="A1918" t="str">
        <f>"13-0065"</f>
        <v>13-0065</v>
      </c>
      <c r="D1918" s="8">
        <v>41313</v>
      </c>
      <c r="F1918" s="8">
        <v>41313</v>
      </c>
      <c r="G1918" s="8">
        <v>41313</v>
      </c>
      <c r="Y1918" s="8"/>
    </row>
    <row r="1919" spans="1:25" x14ac:dyDescent="0.25">
      <c r="A1919" t="str">
        <f>"13-0066"</f>
        <v>13-0066</v>
      </c>
      <c r="D1919" s="8">
        <v>41313</v>
      </c>
      <c r="F1919" s="8">
        <v>41313</v>
      </c>
      <c r="G1919" s="8">
        <v>41313</v>
      </c>
      <c r="Y1919" s="8"/>
    </row>
    <row r="1920" spans="1:25" x14ac:dyDescent="0.25">
      <c r="A1920" t="str">
        <f>"13-0061"</f>
        <v>13-0061</v>
      </c>
      <c r="D1920" s="8">
        <v>41312</v>
      </c>
      <c r="F1920" s="8">
        <v>41312</v>
      </c>
      <c r="G1920" s="8">
        <v>41312</v>
      </c>
      <c r="Y1920" s="8"/>
    </row>
    <row r="1921" spans="1:25" x14ac:dyDescent="0.25">
      <c r="A1921" t="str">
        <f>"13-0062"</f>
        <v>13-0062</v>
      </c>
      <c r="D1921" s="8">
        <v>41312</v>
      </c>
      <c r="F1921" s="8">
        <v>41312</v>
      </c>
      <c r="G1921" s="8">
        <v>41312</v>
      </c>
      <c r="Y1921" s="8"/>
    </row>
    <row r="1922" spans="1:25" x14ac:dyDescent="0.25">
      <c r="A1922" t="str">
        <f>"13-0060"</f>
        <v>13-0060</v>
      </c>
      <c r="D1922" s="8">
        <v>41311</v>
      </c>
      <c r="F1922" s="8">
        <v>41311</v>
      </c>
      <c r="G1922" s="8">
        <v>41311</v>
      </c>
      <c r="Y1922" s="8"/>
    </row>
    <row r="1923" spans="1:25" x14ac:dyDescent="0.25">
      <c r="A1923" t="str">
        <f>"13-0059"</f>
        <v>13-0059</v>
      </c>
      <c r="D1923" s="8">
        <v>41310</v>
      </c>
      <c r="F1923" s="8">
        <v>41310</v>
      </c>
      <c r="G1923" s="8">
        <v>41310</v>
      </c>
      <c r="Y1923" s="8"/>
    </row>
    <row r="1924" spans="1:25" x14ac:dyDescent="0.25">
      <c r="A1924" t="str">
        <f>"13-0058"</f>
        <v>13-0058</v>
      </c>
      <c r="D1924" s="8">
        <v>41309</v>
      </c>
      <c r="F1924" s="8">
        <v>41309</v>
      </c>
      <c r="G1924" s="8">
        <v>41309</v>
      </c>
      <c r="Y1924" s="8"/>
    </row>
    <row r="1925" spans="1:25" x14ac:dyDescent="0.25">
      <c r="A1925" t="str">
        <f>"13-0037C"</f>
        <v>13-0037C</v>
      </c>
      <c r="D1925" s="8">
        <v>41306</v>
      </c>
      <c r="F1925" s="8">
        <v>41306</v>
      </c>
      <c r="G1925" s="8">
        <v>41306</v>
      </c>
      <c r="Y1925" s="8"/>
    </row>
    <row r="1926" spans="1:25" x14ac:dyDescent="0.25">
      <c r="A1926" t="str">
        <f>"13-0052B"</f>
        <v>13-0052B</v>
      </c>
      <c r="D1926" s="8">
        <v>41306</v>
      </c>
      <c r="F1926" s="8">
        <v>41557</v>
      </c>
      <c r="G1926" s="8">
        <v>41306</v>
      </c>
      <c r="Y1926" s="8"/>
    </row>
    <row r="1927" spans="1:25" x14ac:dyDescent="0.25">
      <c r="A1927" t="str">
        <f>"13-0057"</f>
        <v>13-0057</v>
      </c>
      <c r="D1927" s="8">
        <v>41306</v>
      </c>
      <c r="F1927" s="8">
        <v>41306</v>
      </c>
      <c r="G1927" s="8">
        <v>41306</v>
      </c>
      <c r="Y1927" s="8"/>
    </row>
    <row r="1928" spans="1:25" x14ac:dyDescent="0.25">
      <c r="A1928" t="str">
        <f>"13-0056"</f>
        <v>13-0056</v>
      </c>
      <c r="D1928" s="8">
        <v>41305</v>
      </c>
      <c r="F1928" s="8">
        <v>41305</v>
      </c>
      <c r="G1928" s="8">
        <v>41305</v>
      </c>
      <c r="Y1928" s="8"/>
    </row>
    <row r="1929" spans="1:25" x14ac:dyDescent="0.25">
      <c r="A1929" t="str">
        <f>"13-0045B"</f>
        <v>13-0045B</v>
      </c>
      <c r="D1929" s="8">
        <v>41304</v>
      </c>
      <c r="F1929" s="8">
        <v>41304</v>
      </c>
      <c r="G1929" s="8">
        <v>41304</v>
      </c>
      <c r="Y1929" s="8"/>
    </row>
    <row r="1930" spans="1:25" x14ac:dyDescent="0.25">
      <c r="A1930" t="str">
        <f>"13-0051"</f>
        <v>13-0051</v>
      </c>
      <c r="D1930" s="8">
        <v>41304</v>
      </c>
      <c r="F1930" s="8">
        <v>41304</v>
      </c>
      <c r="G1930" s="8">
        <v>41304</v>
      </c>
      <c r="Y1930" s="8"/>
    </row>
    <row r="1931" spans="1:25" x14ac:dyDescent="0.25">
      <c r="A1931" t="str">
        <f>"13-0052"</f>
        <v>13-0052</v>
      </c>
      <c r="D1931" s="8">
        <v>41304</v>
      </c>
      <c r="F1931" s="8">
        <v>41309</v>
      </c>
      <c r="G1931" s="8">
        <v>41302</v>
      </c>
      <c r="Y1931" s="8"/>
    </row>
    <row r="1932" spans="1:25" x14ac:dyDescent="0.25">
      <c r="A1932" t="str">
        <f>"13-0053"</f>
        <v>13-0053</v>
      </c>
      <c r="D1932" s="8">
        <v>41304</v>
      </c>
      <c r="F1932" s="8">
        <v>41457</v>
      </c>
      <c r="G1932" s="8">
        <v>41304</v>
      </c>
      <c r="Y1932" s="8"/>
    </row>
    <row r="1933" spans="1:25" x14ac:dyDescent="0.25">
      <c r="A1933" t="str">
        <f>"13-0054"</f>
        <v>13-0054</v>
      </c>
      <c r="D1933" s="8">
        <v>41304</v>
      </c>
      <c r="F1933" s="8">
        <v>41304</v>
      </c>
      <c r="G1933" s="8">
        <v>41304</v>
      </c>
      <c r="Y1933" s="8"/>
    </row>
    <row r="1934" spans="1:25" x14ac:dyDescent="0.25">
      <c r="A1934" t="str">
        <f>"13-0055"</f>
        <v>13-0055</v>
      </c>
      <c r="D1934" s="8">
        <v>41304</v>
      </c>
      <c r="F1934" s="8">
        <v>41304</v>
      </c>
      <c r="G1934" s="8">
        <v>41304</v>
      </c>
      <c r="Y1934" s="8"/>
    </row>
    <row r="1935" spans="1:25" x14ac:dyDescent="0.25">
      <c r="A1935" t="str">
        <f>"12-0507B"</f>
        <v>12-0507B</v>
      </c>
      <c r="D1935" s="8">
        <v>41303</v>
      </c>
      <c r="F1935" s="8">
        <v>41303</v>
      </c>
      <c r="G1935" s="8">
        <v>41303</v>
      </c>
      <c r="Y1935" s="8"/>
    </row>
    <row r="1936" spans="1:25" x14ac:dyDescent="0.25">
      <c r="A1936" t="str">
        <f>"13-0050"</f>
        <v>13-0050</v>
      </c>
      <c r="D1936" s="8">
        <v>41303</v>
      </c>
      <c r="F1936" s="8">
        <v>41303</v>
      </c>
      <c r="G1936" s="8">
        <v>41303</v>
      </c>
      <c r="Y1936" s="8"/>
    </row>
    <row r="1937" spans="1:25" x14ac:dyDescent="0.25">
      <c r="A1937" t="str">
        <f>"13-0049"</f>
        <v>13-0049</v>
      </c>
      <c r="D1937" s="8">
        <v>41302</v>
      </c>
      <c r="F1937" s="8">
        <v>41302</v>
      </c>
      <c r="G1937" s="8">
        <v>41302</v>
      </c>
      <c r="Y1937" s="8"/>
    </row>
    <row r="1938" spans="1:25" x14ac:dyDescent="0.25">
      <c r="A1938" t="str">
        <f>"13-0048"</f>
        <v>13-0048</v>
      </c>
      <c r="D1938" s="8">
        <v>41299</v>
      </c>
      <c r="F1938" s="8">
        <v>41299</v>
      </c>
      <c r="G1938" s="8">
        <v>41299</v>
      </c>
      <c r="Y1938" s="8"/>
    </row>
    <row r="1939" spans="1:25" x14ac:dyDescent="0.25">
      <c r="A1939" t="str">
        <f>"13-0037B"</f>
        <v>13-0037B</v>
      </c>
      <c r="D1939" s="8">
        <v>41298</v>
      </c>
      <c r="F1939" s="8">
        <v>41298</v>
      </c>
      <c r="G1939" s="8">
        <v>41298</v>
      </c>
      <c r="Y1939" s="8"/>
    </row>
    <row r="1940" spans="1:25" x14ac:dyDescent="0.25">
      <c r="A1940" t="str">
        <f>"13-0042"</f>
        <v>13-0042</v>
      </c>
      <c r="D1940" s="8">
        <v>41298</v>
      </c>
      <c r="F1940" s="8">
        <v>41298</v>
      </c>
      <c r="G1940" s="8">
        <v>41298</v>
      </c>
      <c r="Y1940" s="8"/>
    </row>
    <row r="1941" spans="1:25" x14ac:dyDescent="0.25">
      <c r="A1941" t="str">
        <f>"13-0043"</f>
        <v>13-0043</v>
      </c>
      <c r="D1941" s="8">
        <v>41298</v>
      </c>
      <c r="F1941" s="8">
        <v>41298</v>
      </c>
      <c r="G1941" s="8">
        <v>41298</v>
      </c>
      <c r="Y1941" s="8"/>
    </row>
    <row r="1942" spans="1:25" x14ac:dyDescent="0.25">
      <c r="A1942" t="str">
        <f>"13-0044"</f>
        <v>13-0044</v>
      </c>
      <c r="D1942" s="8">
        <v>41298</v>
      </c>
      <c r="F1942" s="8">
        <v>41298</v>
      </c>
      <c r="G1942" s="8">
        <v>41298</v>
      </c>
      <c r="Y1942" s="8"/>
    </row>
    <row r="1943" spans="1:25" x14ac:dyDescent="0.25">
      <c r="A1943" t="str">
        <f>"13-0045"</f>
        <v>13-0045</v>
      </c>
      <c r="D1943" s="8">
        <v>41298</v>
      </c>
      <c r="F1943" s="8">
        <v>41298</v>
      </c>
      <c r="G1943" s="8">
        <v>41298</v>
      </c>
      <c r="Y1943" s="8"/>
    </row>
    <row r="1944" spans="1:25" x14ac:dyDescent="0.25">
      <c r="A1944" t="str">
        <f>"13-0046"</f>
        <v>13-0046</v>
      </c>
      <c r="D1944" s="8">
        <v>41298</v>
      </c>
      <c r="F1944" s="8">
        <v>41298</v>
      </c>
      <c r="G1944" s="8">
        <v>41298</v>
      </c>
      <c r="Y1944" s="8"/>
    </row>
    <row r="1945" spans="1:25" x14ac:dyDescent="0.25">
      <c r="A1945" t="str">
        <f>"13-0047"</f>
        <v>13-0047</v>
      </c>
      <c r="D1945" s="8">
        <v>41298</v>
      </c>
      <c r="F1945" s="8">
        <v>41298</v>
      </c>
      <c r="G1945" s="8">
        <v>41298</v>
      </c>
      <c r="Y1945" s="8"/>
    </row>
    <row r="1946" spans="1:25" x14ac:dyDescent="0.25">
      <c r="A1946" t="str">
        <f>"13-0039"</f>
        <v>13-0039</v>
      </c>
      <c r="D1946" s="8">
        <v>41297</v>
      </c>
      <c r="F1946" s="8">
        <v>41297</v>
      </c>
      <c r="G1946" s="8">
        <v>41297</v>
      </c>
      <c r="Y1946" s="8"/>
    </row>
    <row r="1947" spans="1:25" x14ac:dyDescent="0.25">
      <c r="A1947" t="str">
        <f>"13-0040"</f>
        <v>13-0040</v>
      </c>
      <c r="D1947" s="8">
        <v>41297</v>
      </c>
      <c r="F1947" s="8">
        <v>41297</v>
      </c>
      <c r="G1947" s="8">
        <v>41297</v>
      </c>
      <c r="Y1947" s="8"/>
    </row>
    <row r="1948" spans="1:25" x14ac:dyDescent="0.25">
      <c r="A1948" t="str">
        <f>"13-0041"</f>
        <v>13-0041</v>
      </c>
      <c r="D1948" s="8">
        <v>41297</v>
      </c>
      <c r="F1948" s="8">
        <v>41297</v>
      </c>
      <c r="G1948" s="8">
        <v>41297</v>
      </c>
      <c r="Y1948" s="8"/>
    </row>
    <row r="1949" spans="1:25" x14ac:dyDescent="0.25">
      <c r="A1949" t="str">
        <f>"13-0036"</f>
        <v>13-0036</v>
      </c>
      <c r="D1949" s="8">
        <v>41296</v>
      </c>
      <c r="F1949" s="8">
        <v>41296</v>
      </c>
      <c r="G1949" s="8">
        <v>41296</v>
      </c>
      <c r="Y1949" s="8"/>
    </row>
    <row r="1950" spans="1:25" x14ac:dyDescent="0.25">
      <c r="A1950" t="str">
        <f>"13-0037"</f>
        <v>13-0037</v>
      </c>
      <c r="D1950" s="8">
        <v>41296</v>
      </c>
      <c r="F1950" s="8">
        <v>41296</v>
      </c>
      <c r="G1950" s="8">
        <v>41296</v>
      </c>
      <c r="Y1950" s="8"/>
    </row>
    <row r="1951" spans="1:25" x14ac:dyDescent="0.25">
      <c r="A1951" t="str">
        <f>"13-0038"</f>
        <v>13-0038</v>
      </c>
      <c r="D1951" s="8">
        <v>41296</v>
      </c>
      <c r="F1951" s="8">
        <v>41296</v>
      </c>
      <c r="G1951" s="8">
        <v>41305</v>
      </c>
      <c r="Y1951" s="8"/>
    </row>
    <row r="1952" spans="1:25" x14ac:dyDescent="0.25">
      <c r="A1952" t="str">
        <f>"13-0035"</f>
        <v>13-0035</v>
      </c>
      <c r="D1952" s="8">
        <v>41295</v>
      </c>
      <c r="F1952" s="8">
        <v>41295</v>
      </c>
      <c r="G1952" s="8">
        <v>41295</v>
      </c>
      <c r="Y1952" s="8"/>
    </row>
    <row r="1953" spans="1:25" x14ac:dyDescent="0.25">
      <c r="A1953" t="str">
        <f>"13-0033"</f>
        <v>13-0033</v>
      </c>
      <c r="D1953" s="8">
        <v>41292</v>
      </c>
      <c r="F1953" s="8">
        <v>41292</v>
      </c>
      <c r="G1953" s="8">
        <v>41292</v>
      </c>
      <c r="Y1953" s="8"/>
    </row>
    <row r="1954" spans="1:25" x14ac:dyDescent="0.25">
      <c r="A1954" t="str">
        <f>"13-0034"</f>
        <v>13-0034</v>
      </c>
      <c r="D1954" s="8">
        <v>41292</v>
      </c>
      <c r="F1954" s="8">
        <v>41292</v>
      </c>
      <c r="G1954" s="8">
        <v>41292</v>
      </c>
      <c r="Y1954" s="8"/>
    </row>
    <row r="1955" spans="1:25" x14ac:dyDescent="0.25">
      <c r="A1955" t="str">
        <f>"13-0031"</f>
        <v>13-0031</v>
      </c>
      <c r="D1955" s="8">
        <v>41291</v>
      </c>
      <c r="F1955" s="8">
        <v>41291</v>
      </c>
      <c r="G1955" s="8">
        <v>41291</v>
      </c>
      <c r="Y1955" s="8"/>
    </row>
    <row r="1956" spans="1:25" x14ac:dyDescent="0.25">
      <c r="A1956" t="str">
        <f>"13-0032"</f>
        <v>13-0032</v>
      </c>
      <c r="D1956" s="8">
        <v>41291</v>
      </c>
      <c r="F1956" s="8">
        <v>41291</v>
      </c>
      <c r="G1956" s="8">
        <v>41291</v>
      </c>
      <c r="Y1956" s="8"/>
    </row>
    <row r="1957" spans="1:25" x14ac:dyDescent="0.25">
      <c r="A1957" t="str">
        <f>"13-0029"</f>
        <v>13-0029</v>
      </c>
      <c r="D1957" s="8">
        <v>41290</v>
      </c>
      <c r="F1957" s="8">
        <v>41290</v>
      </c>
      <c r="G1957" s="8">
        <v>41290</v>
      </c>
      <c r="Y1957" s="8"/>
    </row>
    <row r="1958" spans="1:25" x14ac:dyDescent="0.25">
      <c r="A1958" t="str">
        <f>"13-0030"</f>
        <v>13-0030</v>
      </c>
      <c r="D1958" s="8">
        <v>41290</v>
      </c>
      <c r="F1958" s="8">
        <v>41290</v>
      </c>
      <c r="G1958" s="8">
        <v>41290</v>
      </c>
      <c r="Y1958" s="8"/>
    </row>
    <row r="1959" spans="1:25" x14ac:dyDescent="0.25">
      <c r="A1959" t="str">
        <f>"12-0588B"</f>
        <v>12-0588B</v>
      </c>
      <c r="D1959" s="8">
        <v>41289</v>
      </c>
      <c r="F1959" s="8">
        <v>41290</v>
      </c>
      <c r="G1959" s="8">
        <v>41291</v>
      </c>
      <c r="Y1959" s="8"/>
    </row>
    <row r="1960" spans="1:25" x14ac:dyDescent="0.25">
      <c r="A1960" t="str">
        <f>"12-0587B"</f>
        <v>12-0587B</v>
      </c>
      <c r="D1960" s="8">
        <v>41288</v>
      </c>
      <c r="F1960" s="8">
        <v>41288</v>
      </c>
      <c r="G1960" s="8">
        <v>41288</v>
      </c>
      <c r="Y1960" s="8"/>
    </row>
    <row r="1961" spans="1:25" x14ac:dyDescent="0.25">
      <c r="A1961" t="str">
        <f>"13-0026"</f>
        <v>13-0026</v>
      </c>
      <c r="D1961" s="8">
        <v>41288</v>
      </c>
      <c r="F1961" s="8">
        <v>41288</v>
      </c>
      <c r="G1961" s="8">
        <v>41288</v>
      </c>
      <c r="Y1961" s="8"/>
    </row>
    <row r="1962" spans="1:25" x14ac:dyDescent="0.25">
      <c r="A1962" t="str">
        <f>"13-0027"</f>
        <v>13-0027</v>
      </c>
      <c r="D1962" s="8">
        <v>41288</v>
      </c>
      <c r="F1962" s="8">
        <v>41288</v>
      </c>
      <c r="G1962" s="8">
        <v>41288</v>
      </c>
      <c r="Y1962" s="8"/>
    </row>
    <row r="1963" spans="1:25" x14ac:dyDescent="0.25">
      <c r="A1963" t="str">
        <f>"13-0028"</f>
        <v>13-0028</v>
      </c>
      <c r="D1963" s="8">
        <v>41288</v>
      </c>
      <c r="F1963" s="8">
        <v>41295</v>
      </c>
      <c r="G1963" s="8">
        <v>41291</v>
      </c>
      <c r="Y1963" s="8"/>
    </row>
    <row r="1964" spans="1:25" x14ac:dyDescent="0.25">
      <c r="A1964" t="str">
        <f>"13-0025"</f>
        <v>13-0025</v>
      </c>
      <c r="D1964" s="8">
        <v>41285</v>
      </c>
      <c r="F1964" s="8">
        <v>41285</v>
      </c>
      <c r="G1964" s="8">
        <v>41285</v>
      </c>
      <c r="Y1964" s="8"/>
    </row>
    <row r="1965" spans="1:25" x14ac:dyDescent="0.25">
      <c r="A1965" t="str">
        <f>"12-0597B"</f>
        <v>12-0597B</v>
      </c>
      <c r="D1965" s="8">
        <v>41284</v>
      </c>
      <c r="F1965" s="8">
        <v>41284</v>
      </c>
      <c r="G1965" s="8">
        <v>41284</v>
      </c>
      <c r="Y1965" s="8"/>
    </row>
    <row r="1966" spans="1:25" x14ac:dyDescent="0.25">
      <c r="A1966" t="str">
        <f>"13-0020"</f>
        <v>13-0020</v>
      </c>
      <c r="D1966" s="8">
        <v>41284</v>
      </c>
      <c r="F1966" s="8">
        <v>41304</v>
      </c>
      <c r="G1966" s="8">
        <v>41284</v>
      </c>
      <c r="Y1966" s="8"/>
    </row>
    <row r="1967" spans="1:25" x14ac:dyDescent="0.25">
      <c r="A1967" t="str">
        <f>"13-0021"</f>
        <v>13-0021</v>
      </c>
      <c r="D1967" s="8">
        <v>41284</v>
      </c>
      <c r="F1967" s="8">
        <v>41289</v>
      </c>
      <c r="G1967" s="8">
        <v>41281</v>
      </c>
      <c r="Y1967" s="8"/>
    </row>
    <row r="1968" spans="1:25" x14ac:dyDescent="0.25">
      <c r="A1968" t="str">
        <f>"13-0022"</f>
        <v>13-0022</v>
      </c>
      <c r="D1968" s="8">
        <v>41284</v>
      </c>
      <c r="F1968" s="8">
        <v>41284</v>
      </c>
      <c r="G1968" s="8">
        <v>41281</v>
      </c>
      <c r="Y1968" s="8"/>
    </row>
    <row r="1969" spans="1:25" x14ac:dyDescent="0.25">
      <c r="A1969" t="str">
        <f>"13-0023"</f>
        <v>13-0023</v>
      </c>
      <c r="D1969" s="8">
        <v>41284</v>
      </c>
      <c r="F1969" s="8">
        <v>41284</v>
      </c>
      <c r="G1969" s="8">
        <v>41288</v>
      </c>
      <c r="Y1969" s="8"/>
    </row>
    <row r="1970" spans="1:25" x14ac:dyDescent="0.25">
      <c r="A1970" t="str">
        <f>"13-0024"</f>
        <v>13-0024</v>
      </c>
      <c r="D1970" s="8">
        <v>41284</v>
      </c>
      <c r="F1970" s="8">
        <v>41285</v>
      </c>
      <c r="G1970" s="8">
        <v>41284</v>
      </c>
      <c r="Y1970" s="8"/>
    </row>
    <row r="1971" spans="1:25" x14ac:dyDescent="0.25">
      <c r="A1971" t="str">
        <f>"13-0016"</f>
        <v>13-0016</v>
      </c>
      <c r="D1971" s="8">
        <v>41283</v>
      </c>
      <c r="F1971" s="8">
        <v>41283</v>
      </c>
      <c r="G1971" s="8">
        <v>41283</v>
      </c>
      <c r="Y1971" s="8"/>
    </row>
    <row r="1972" spans="1:25" x14ac:dyDescent="0.25">
      <c r="A1972" t="str">
        <f>"13-0017"</f>
        <v>13-0017</v>
      </c>
      <c r="D1972" s="8">
        <v>41283</v>
      </c>
      <c r="F1972" s="8">
        <v>41284</v>
      </c>
      <c r="G1972" s="8">
        <v>41283</v>
      </c>
      <c r="Y1972" s="8"/>
    </row>
    <row r="1973" spans="1:25" x14ac:dyDescent="0.25">
      <c r="A1973" t="str">
        <f>"13-0018"</f>
        <v>13-0018</v>
      </c>
      <c r="D1973" s="8">
        <v>41283</v>
      </c>
      <c r="F1973" s="8">
        <v>41283</v>
      </c>
      <c r="G1973" s="8">
        <v>41283</v>
      </c>
      <c r="Y1973" s="8"/>
    </row>
    <row r="1974" spans="1:25" x14ac:dyDescent="0.25">
      <c r="A1974" t="str">
        <f>"13-0019"</f>
        <v>13-0019</v>
      </c>
      <c r="D1974" s="8">
        <v>41283</v>
      </c>
      <c r="F1974" s="8">
        <v>41284</v>
      </c>
      <c r="G1974" s="8">
        <v>41283</v>
      </c>
      <c r="Y1974" s="8"/>
    </row>
    <row r="1975" spans="1:25" x14ac:dyDescent="0.25">
      <c r="A1975" t="str">
        <f>"13-0010"</f>
        <v>13-0010</v>
      </c>
      <c r="D1975" s="8">
        <v>41282</v>
      </c>
      <c r="F1975" s="8">
        <v>41282</v>
      </c>
      <c r="G1975" s="8">
        <v>41282</v>
      </c>
      <c r="Y1975" s="8"/>
    </row>
    <row r="1976" spans="1:25" x14ac:dyDescent="0.25">
      <c r="A1976" t="str">
        <f>"13-0011"</f>
        <v>13-0011</v>
      </c>
      <c r="D1976" s="8">
        <v>41282</v>
      </c>
      <c r="F1976" s="8">
        <v>41282</v>
      </c>
      <c r="G1976" s="8">
        <v>41282</v>
      </c>
      <c r="Y1976" s="8"/>
    </row>
    <row r="1977" spans="1:25" x14ac:dyDescent="0.25">
      <c r="A1977" t="str">
        <f>"13-0012"</f>
        <v>13-0012</v>
      </c>
      <c r="D1977" s="8">
        <v>41282</v>
      </c>
      <c r="F1977" s="8">
        <v>41282</v>
      </c>
      <c r="G1977" s="8">
        <v>41282</v>
      </c>
      <c r="Y1977" s="8"/>
    </row>
    <row r="1978" spans="1:25" x14ac:dyDescent="0.25">
      <c r="A1978" t="str">
        <f>"13-0013"</f>
        <v>13-0013</v>
      </c>
      <c r="D1978" s="8">
        <v>41282</v>
      </c>
      <c r="F1978" s="8">
        <v>41282</v>
      </c>
      <c r="G1978" s="8">
        <v>41282</v>
      </c>
      <c r="Y1978" s="8"/>
    </row>
    <row r="1979" spans="1:25" x14ac:dyDescent="0.25">
      <c r="A1979" t="str">
        <f>"13-0014"</f>
        <v>13-0014</v>
      </c>
      <c r="D1979" s="8">
        <v>41282</v>
      </c>
      <c r="F1979" s="8">
        <v>41282</v>
      </c>
      <c r="G1979" s="8">
        <v>41282</v>
      </c>
      <c r="Y1979" s="8"/>
    </row>
    <row r="1980" spans="1:25" x14ac:dyDescent="0.25">
      <c r="A1980" t="str">
        <f>"13-0015"</f>
        <v>13-0015</v>
      </c>
      <c r="D1980" s="8">
        <v>41282</v>
      </c>
      <c r="F1980" s="8">
        <v>41282</v>
      </c>
      <c r="G1980" s="8">
        <v>41285</v>
      </c>
      <c r="Y1980" s="8"/>
    </row>
    <row r="1981" spans="1:25" x14ac:dyDescent="0.25">
      <c r="A1981" t="str">
        <f>"13-0007"</f>
        <v>13-0007</v>
      </c>
      <c r="D1981" s="8">
        <v>41281</v>
      </c>
      <c r="F1981" s="8">
        <v>41282</v>
      </c>
      <c r="G1981" s="8">
        <v>41281</v>
      </c>
      <c r="Y1981" s="8"/>
    </row>
    <row r="1982" spans="1:25" x14ac:dyDescent="0.25">
      <c r="A1982" t="str">
        <f>"13-0008"</f>
        <v>13-0008</v>
      </c>
      <c r="D1982" s="8">
        <v>41281</v>
      </c>
      <c r="F1982" s="8">
        <v>41282</v>
      </c>
      <c r="G1982" s="8">
        <v>41281</v>
      </c>
      <c r="Y1982" s="8"/>
    </row>
    <row r="1983" spans="1:25" x14ac:dyDescent="0.25">
      <c r="A1983" t="str">
        <f>"13-0009"</f>
        <v>13-0009</v>
      </c>
      <c r="D1983" s="8">
        <v>41281</v>
      </c>
      <c r="F1983" s="8">
        <v>41282</v>
      </c>
      <c r="G1983" s="8">
        <v>41281</v>
      </c>
      <c r="Y1983" s="8"/>
    </row>
    <row r="1984" spans="1:25" x14ac:dyDescent="0.25">
      <c r="A1984" t="str">
        <f>"13-0002"</f>
        <v>13-0002</v>
      </c>
      <c r="D1984" s="8">
        <v>41278</v>
      </c>
      <c r="F1984" s="8">
        <v>41278</v>
      </c>
      <c r="G1984" s="8">
        <v>41278</v>
      </c>
      <c r="Y1984" s="8"/>
    </row>
    <row r="1985" spans="1:25" x14ac:dyDescent="0.25">
      <c r="A1985" t="str">
        <f>"13-0004"</f>
        <v>13-0004</v>
      </c>
      <c r="D1985" s="8">
        <v>41278</v>
      </c>
      <c r="F1985" s="8">
        <v>41278</v>
      </c>
      <c r="G1985" s="8">
        <v>41278</v>
      </c>
      <c r="Y1985" s="8"/>
    </row>
    <row r="1986" spans="1:25" x14ac:dyDescent="0.25">
      <c r="A1986" t="str">
        <f>"13-0005"</f>
        <v>13-0005</v>
      </c>
      <c r="D1986" s="8">
        <v>41278</v>
      </c>
      <c r="F1986" s="8">
        <v>41278</v>
      </c>
      <c r="G1986" s="8">
        <v>41278</v>
      </c>
      <c r="Y1986" s="8"/>
    </row>
    <row r="1987" spans="1:25" x14ac:dyDescent="0.25">
      <c r="A1987" t="str">
        <f>"13-0006"</f>
        <v>13-0006</v>
      </c>
      <c r="D1987" s="8">
        <v>41278</v>
      </c>
      <c r="F1987" s="8">
        <v>41278</v>
      </c>
      <c r="G1987" s="8">
        <v>41278</v>
      </c>
      <c r="Y1987" s="8"/>
    </row>
    <row r="1988" spans="1:25" x14ac:dyDescent="0.25">
      <c r="A1988" t="str">
        <f>"13-0001"</f>
        <v>13-0001</v>
      </c>
      <c r="D1988" s="8">
        <v>41277</v>
      </c>
      <c r="F1988" s="8">
        <v>41277</v>
      </c>
      <c r="G1988" s="8">
        <v>41285</v>
      </c>
      <c r="Y1988" s="8"/>
    </row>
    <row r="1989" spans="1:25" x14ac:dyDescent="0.25">
      <c r="A1989" t="str">
        <f>"12-0566B"</f>
        <v>12-0566B</v>
      </c>
      <c r="D1989" s="8">
        <v>41263</v>
      </c>
      <c r="F1989" s="8">
        <v>41281</v>
      </c>
      <c r="G1989" s="8">
        <v>41263</v>
      </c>
      <c r="Y1989" s="8"/>
    </row>
    <row r="1990" spans="1:25" x14ac:dyDescent="0.25">
      <c r="A1990" t="str">
        <f>"12-0599"</f>
        <v>12-0599</v>
      </c>
      <c r="D1990" s="8">
        <v>41263</v>
      </c>
      <c r="F1990" s="8">
        <v>41263</v>
      </c>
      <c r="G1990" s="8">
        <v>41263</v>
      </c>
      <c r="Y1990" s="8"/>
    </row>
    <row r="1991" spans="1:25" x14ac:dyDescent="0.25">
      <c r="A1991" t="str">
        <f>"12-0600"</f>
        <v>12-0600</v>
      </c>
      <c r="D1991" s="8">
        <v>41263</v>
      </c>
      <c r="F1991" s="8">
        <v>41263</v>
      </c>
      <c r="G1991" s="8">
        <v>41263</v>
      </c>
      <c r="Y1991" s="8"/>
    </row>
    <row r="1992" spans="1:25" x14ac:dyDescent="0.25">
      <c r="A1992" t="str">
        <f>"12-0601"</f>
        <v>12-0601</v>
      </c>
      <c r="D1992" s="8">
        <v>41263</v>
      </c>
      <c r="F1992" s="8">
        <v>41263</v>
      </c>
      <c r="G1992" s="8">
        <v>41263</v>
      </c>
      <c r="Y1992" s="8"/>
    </row>
    <row r="1993" spans="1:25" x14ac:dyDescent="0.25">
      <c r="A1993" t="str">
        <f>"12-0594"</f>
        <v>12-0594</v>
      </c>
      <c r="D1993" s="8">
        <v>41262</v>
      </c>
      <c r="F1993" s="8">
        <v>41262</v>
      </c>
      <c r="G1993" s="8">
        <v>41261</v>
      </c>
      <c r="Y1993" s="8"/>
    </row>
    <row r="1994" spans="1:25" x14ac:dyDescent="0.25">
      <c r="A1994" t="str">
        <f>"12-0595"</f>
        <v>12-0595</v>
      </c>
      <c r="D1994" s="8">
        <v>41262</v>
      </c>
      <c r="F1994" s="8">
        <v>41288</v>
      </c>
      <c r="G1994" s="8">
        <v>41262</v>
      </c>
      <c r="Y1994" s="8"/>
    </row>
    <row r="1995" spans="1:25" x14ac:dyDescent="0.25">
      <c r="A1995" t="str">
        <f>"12-0596"</f>
        <v>12-0596</v>
      </c>
      <c r="D1995" s="8">
        <v>41262</v>
      </c>
      <c r="F1995" s="8">
        <v>41262</v>
      </c>
      <c r="G1995" s="8">
        <v>41262</v>
      </c>
      <c r="Y1995" s="8"/>
    </row>
    <row r="1996" spans="1:25" x14ac:dyDescent="0.25">
      <c r="A1996" t="str">
        <f>"12-0597"</f>
        <v>12-0597</v>
      </c>
      <c r="D1996" s="8">
        <v>41262</v>
      </c>
      <c r="F1996" s="8">
        <v>41264</v>
      </c>
      <c r="G1996" s="8">
        <v>41264</v>
      </c>
      <c r="Y1996" s="8"/>
    </row>
    <row r="1997" spans="1:25" x14ac:dyDescent="0.25">
      <c r="A1997" t="str">
        <f>"12-0598"</f>
        <v>12-0598</v>
      </c>
      <c r="D1997" s="8">
        <v>41262</v>
      </c>
      <c r="F1997" s="8">
        <v>41262</v>
      </c>
      <c r="G1997" s="8">
        <v>41262</v>
      </c>
      <c r="Y1997" s="8"/>
    </row>
    <row r="1998" spans="1:25" x14ac:dyDescent="0.25">
      <c r="A1998" t="str">
        <f>"12-0580C"</f>
        <v>12-0580C</v>
      </c>
      <c r="D1998" s="8">
        <v>41261</v>
      </c>
      <c r="F1998" s="8">
        <v>41261</v>
      </c>
      <c r="G1998" s="8">
        <v>41279</v>
      </c>
      <c r="Y1998" s="8"/>
    </row>
    <row r="1999" spans="1:25" x14ac:dyDescent="0.25">
      <c r="A1999" t="str">
        <f>"12-0592"</f>
        <v>12-0592</v>
      </c>
      <c r="D1999" s="8">
        <v>41261</v>
      </c>
      <c r="F1999" s="8">
        <v>41262</v>
      </c>
      <c r="G1999" s="8">
        <v>41261</v>
      </c>
      <c r="Y1999" s="8"/>
    </row>
    <row r="2000" spans="1:25" x14ac:dyDescent="0.25">
      <c r="A2000" t="str">
        <f>"12-0593"</f>
        <v>12-0593</v>
      </c>
      <c r="D2000" s="8">
        <v>41261</v>
      </c>
      <c r="F2000" s="8">
        <v>41278</v>
      </c>
      <c r="G2000" s="8">
        <v>41261</v>
      </c>
      <c r="Y2000" s="8"/>
    </row>
    <row r="2001" spans="1:25" x14ac:dyDescent="0.25">
      <c r="A2001" t="str">
        <f>"12-0589"</f>
        <v>12-0589</v>
      </c>
      <c r="D2001" s="8">
        <v>41260</v>
      </c>
      <c r="F2001" s="8">
        <v>41260</v>
      </c>
      <c r="G2001" s="8">
        <v>41260</v>
      </c>
      <c r="Y2001" s="8"/>
    </row>
    <row r="2002" spans="1:25" x14ac:dyDescent="0.25">
      <c r="A2002" t="str">
        <f>"12-0590"</f>
        <v>12-0590</v>
      </c>
      <c r="D2002" s="8">
        <v>41260</v>
      </c>
      <c r="F2002" s="8">
        <v>41709</v>
      </c>
      <c r="G2002" s="8">
        <v>41260</v>
      </c>
      <c r="Y2002" s="8"/>
    </row>
    <row r="2003" spans="1:25" x14ac:dyDescent="0.25">
      <c r="A2003" t="str">
        <f>"12-0591"</f>
        <v>12-0591</v>
      </c>
      <c r="D2003" s="8">
        <v>41260</v>
      </c>
      <c r="F2003" s="8">
        <v>41260</v>
      </c>
      <c r="G2003" s="8">
        <v>41260</v>
      </c>
      <c r="Y2003" s="8"/>
    </row>
    <row r="2004" spans="1:25" x14ac:dyDescent="0.25">
      <c r="A2004" t="str">
        <f>"12-0580B"</f>
        <v>12-0580B</v>
      </c>
      <c r="D2004" s="8">
        <v>41257</v>
      </c>
      <c r="F2004" s="8">
        <v>41257</v>
      </c>
      <c r="G2004" s="8">
        <v>41257</v>
      </c>
      <c r="Y2004" s="8"/>
    </row>
    <row r="2005" spans="1:25" x14ac:dyDescent="0.25">
      <c r="A2005" t="str">
        <f>"12-0585"</f>
        <v>12-0585</v>
      </c>
      <c r="D2005" s="8">
        <v>41257</v>
      </c>
      <c r="F2005" s="8">
        <v>41257</v>
      </c>
      <c r="G2005" s="8">
        <v>41257</v>
      </c>
      <c r="Y2005" s="8"/>
    </row>
    <row r="2006" spans="1:25" x14ac:dyDescent="0.25">
      <c r="A2006" t="str">
        <f>"12-0586"</f>
        <v>12-0586</v>
      </c>
      <c r="D2006" s="8">
        <v>41257</v>
      </c>
      <c r="F2006" s="8">
        <v>41257</v>
      </c>
      <c r="G2006" s="8">
        <v>41257</v>
      </c>
      <c r="Y2006" s="8"/>
    </row>
    <row r="2007" spans="1:25" x14ac:dyDescent="0.25">
      <c r="A2007" t="str">
        <f>"12-0587"</f>
        <v>12-0587</v>
      </c>
      <c r="D2007" s="8">
        <v>41257</v>
      </c>
      <c r="F2007" s="8">
        <v>41288</v>
      </c>
      <c r="G2007" s="8">
        <v>41260</v>
      </c>
      <c r="Y2007" s="8"/>
    </row>
    <row r="2008" spans="1:25" x14ac:dyDescent="0.25">
      <c r="A2008" t="str">
        <f>"12-0588"</f>
        <v>12-0588</v>
      </c>
      <c r="D2008" s="8">
        <v>41257</v>
      </c>
      <c r="F2008" s="8">
        <v>41260</v>
      </c>
      <c r="G2008" s="8">
        <v>41260</v>
      </c>
      <c r="Y2008" s="8"/>
    </row>
    <row r="2009" spans="1:25" x14ac:dyDescent="0.25">
      <c r="A2009" t="str">
        <f>"12-0581"</f>
        <v>12-0581</v>
      </c>
      <c r="D2009" s="8">
        <v>41256</v>
      </c>
      <c r="F2009" s="8">
        <v>41256</v>
      </c>
      <c r="G2009" s="8">
        <v>41256</v>
      </c>
      <c r="Y2009" s="8"/>
    </row>
    <row r="2010" spans="1:25" x14ac:dyDescent="0.25">
      <c r="A2010" t="str">
        <f>"12-0582"</f>
        <v>12-0582</v>
      </c>
      <c r="D2010" s="8">
        <v>41256</v>
      </c>
      <c r="F2010" s="8">
        <v>41256</v>
      </c>
      <c r="G2010" s="8">
        <v>41256</v>
      </c>
      <c r="Y2010" s="8"/>
    </row>
    <row r="2011" spans="1:25" x14ac:dyDescent="0.25">
      <c r="A2011" t="str">
        <f>"12-0583"</f>
        <v>12-0583</v>
      </c>
      <c r="D2011" s="8">
        <v>41256</v>
      </c>
      <c r="F2011" s="8">
        <v>41256</v>
      </c>
      <c r="G2011" s="8">
        <v>41256</v>
      </c>
      <c r="Y2011" s="8"/>
    </row>
    <row r="2012" spans="1:25" x14ac:dyDescent="0.25">
      <c r="A2012" t="str">
        <f>"12-0584"</f>
        <v>12-0584</v>
      </c>
      <c r="D2012" s="8">
        <v>41256</v>
      </c>
      <c r="F2012" s="8">
        <v>41257</v>
      </c>
      <c r="G2012" s="8">
        <v>41256</v>
      </c>
      <c r="Y2012" s="8"/>
    </row>
    <row r="2013" spans="1:25" x14ac:dyDescent="0.25">
      <c r="A2013" t="str">
        <f>"12-0576"</f>
        <v>12-0576</v>
      </c>
      <c r="D2013" s="8">
        <v>41255</v>
      </c>
      <c r="F2013" s="8">
        <v>41255</v>
      </c>
      <c r="G2013" s="8">
        <v>41255</v>
      </c>
      <c r="Y2013" s="8"/>
    </row>
    <row r="2014" spans="1:25" x14ac:dyDescent="0.25">
      <c r="A2014" t="str">
        <f>"12-0577"</f>
        <v>12-0577</v>
      </c>
      <c r="D2014" s="8">
        <v>41255</v>
      </c>
      <c r="F2014" s="8">
        <v>41255</v>
      </c>
      <c r="G2014" s="8">
        <v>41255</v>
      </c>
      <c r="Y2014" s="8"/>
    </row>
    <row r="2015" spans="1:25" x14ac:dyDescent="0.25">
      <c r="A2015" t="str">
        <f>"12-0578"</f>
        <v>12-0578</v>
      </c>
      <c r="D2015" s="8">
        <v>41255</v>
      </c>
      <c r="F2015" s="8">
        <v>41255</v>
      </c>
      <c r="G2015" s="8">
        <v>41255</v>
      </c>
      <c r="Y2015" s="8"/>
    </row>
    <row r="2016" spans="1:25" x14ac:dyDescent="0.25">
      <c r="A2016" t="str">
        <f>"12-0579"</f>
        <v>12-0579</v>
      </c>
      <c r="D2016" s="8">
        <v>41255</v>
      </c>
      <c r="F2016" s="8">
        <v>41255</v>
      </c>
      <c r="G2016" s="8">
        <v>41255</v>
      </c>
      <c r="Y2016" s="8"/>
    </row>
    <row r="2017" spans="1:25" x14ac:dyDescent="0.25">
      <c r="A2017" t="str">
        <f>"12-0580"</f>
        <v>12-0580</v>
      </c>
      <c r="D2017" s="8">
        <v>41255</v>
      </c>
      <c r="F2017" s="8">
        <v>41297</v>
      </c>
      <c r="G2017" s="8">
        <v>41255</v>
      </c>
      <c r="Y2017" s="8"/>
    </row>
    <row r="2018" spans="1:25" x14ac:dyDescent="0.25">
      <c r="A2018" t="str">
        <f>"12-0573"</f>
        <v>12-0573</v>
      </c>
      <c r="D2018" s="8">
        <v>41254</v>
      </c>
      <c r="F2018" s="8">
        <v>41254</v>
      </c>
      <c r="G2018" s="8">
        <v>41257</v>
      </c>
      <c r="Y2018" s="8"/>
    </row>
    <row r="2019" spans="1:25" x14ac:dyDescent="0.25">
      <c r="A2019" t="str">
        <f>"12-0574"</f>
        <v>12-0574</v>
      </c>
      <c r="D2019" s="8">
        <v>41254</v>
      </c>
      <c r="F2019" s="8">
        <v>41254</v>
      </c>
      <c r="G2019" s="8">
        <v>41254</v>
      </c>
      <c r="Y2019" s="8"/>
    </row>
    <row r="2020" spans="1:25" x14ac:dyDescent="0.25">
      <c r="A2020" t="str">
        <f>"12-0575"</f>
        <v>12-0575</v>
      </c>
      <c r="D2020" s="8">
        <v>41254</v>
      </c>
      <c r="F2020" s="8">
        <v>41254</v>
      </c>
      <c r="G2020" s="8">
        <v>41263</v>
      </c>
      <c r="Y2020" s="8"/>
    </row>
    <row r="2021" spans="1:25" x14ac:dyDescent="0.25">
      <c r="A2021" t="str">
        <f>"12-0570"</f>
        <v>12-0570</v>
      </c>
      <c r="D2021" s="8">
        <v>41253</v>
      </c>
      <c r="F2021" s="8">
        <v>41253</v>
      </c>
      <c r="G2021" s="8">
        <v>41253</v>
      </c>
      <c r="Y2021" s="8"/>
    </row>
    <row r="2022" spans="1:25" x14ac:dyDescent="0.25">
      <c r="A2022" t="str">
        <f>"12-0571"</f>
        <v>12-0571</v>
      </c>
      <c r="D2022" s="8">
        <v>41253</v>
      </c>
      <c r="F2022" s="8">
        <v>41253</v>
      </c>
      <c r="G2022" s="8">
        <v>41253</v>
      </c>
      <c r="Y2022" s="8"/>
    </row>
    <row r="2023" spans="1:25" x14ac:dyDescent="0.25">
      <c r="A2023" t="str">
        <f>"12-0572"</f>
        <v>12-0572</v>
      </c>
      <c r="D2023" s="8">
        <v>41253</v>
      </c>
      <c r="F2023" s="8">
        <v>41253</v>
      </c>
      <c r="G2023" s="8">
        <v>41253</v>
      </c>
      <c r="Y2023" s="8"/>
    </row>
    <row r="2024" spans="1:25" x14ac:dyDescent="0.25">
      <c r="A2024" t="str">
        <f>"12-0268B"</f>
        <v>12-0268B</v>
      </c>
      <c r="D2024" s="8">
        <v>41250</v>
      </c>
      <c r="F2024" s="8">
        <v>41253</v>
      </c>
      <c r="G2024" s="8">
        <v>41250</v>
      </c>
      <c r="Y2024" s="8"/>
    </row>
    <row r="2025" spans="1:25" x14ac:dyDescent="0.25">
      <c r="A2025" t="str">
        <f>"12-0557B"</f>
        <v>12-0557B</v>
      </c>
      <c r="D2025" s="8">
        <v>41250</v>
      </c>
      <c r="F2025" s="8">
        <v>41250</v>
      </c>
      <c r="G2025" s="8">
        <v>41250</v>
      </c>
      <c r="Y2025" s="8"/>
    </row>
    <row r="2026" spans="1:25" x14ac:dyDescent="0.25">
      <c r="A2026" t="str">
        <f>"12-0567"</f>
        <v>12-0567</v>
      </c>
      <c r="D2026" s="8">
        <v>41250</v>
      </c>
      <c r="F2026" s="8">
        <v>41250</v>
      </c>
      <c r="G2026" s="8">
        <v>41250</v>
      </c>
      <c r="Y2026" s="8"/>
    </row>
    <row r="2027" spans="1:25" x14ac:dyDescent="0.25">
      <c r="A2027" t="str">
        <f>"12-0568"</f>
        <v>12-0568</v>
      </c>
      <c r="D2027" s="8">
        <v>41250</v>
      </c>
      <c r="F2027" s="8">
        <v>41250</v>
      </c>
      <c r="G2027" s="8">
        <v>41250</v>
      </c>
      <c r="Y2027" s="8"/>
    </row>
    <row r="2028" spans="1:25" x14ac:dyDescent="0.25">
      <c r="A2028" t="str">
        <f>"12-0569"</f>
        <v>12-0569</v>
      </c>
      <c r="D2028" s="8">
        <v>41250</v>
      </c>
      <c r="F2028" s="8">
        <v>41250</v>
      </c>
      <c r="G2028" s="8">
        <v>41250</v>
      </c>
      <c r="Y2028" s="8"/>
    </row>
    <row r="2029" spans="1:25" x14ac:dyDescent="0.25">
      <c r="A2029" t="str">
        <f>"12-0565"</f>
        <v>12-0565</v>
      </c>
      <c r="D2029" s="8">
        <v>41248</v>
      </c>
      <c r="F2029" s="8">
        <v>41248</v>
      </c>
      <c r="G2029" s="8">
        <v>41248</v>
      </c>
      <c r="Y2029" s="8"/>
    </row>
    <row r="2030" spans="1:25" x14ac:dyDescent="0.25">
      <c r="A2030" t="str">
        <f>"12-0566"</f>
        <v>12-0566</v>
      </c>
      <c r="D2030" s="8">
        <v>41248</v>
      </c>
      <c r="F2030" s="8">
        <v>41248</v>
      </c>
      <c r="G2030" s="8">
        <v>41257</v>
      </c>
      <c r="Y2030" s="8"/>
    </row>
    <row r="2031" spans="1:25" x14ac:dyDescent="0.25">
      <c r="A2031" t="str">
        <f>"12-0559"</f>
        <v>12-0559</v>
      </c>
      <c r="D2031" s="8">
        <v>41247</v>
      </c>
      <c r="F2031" s="8">
        <v>41247</v>
      </c>
      <c r="G2031" s="8">
        <v>41248</v>
      </c>
      <c r="Y2031" s="8"/>
    </row>
    <row r="2032" spans="1:25" x14ac:dyDescent="0.25">
      <c r="A2032" t="str">
        <f>"12-0560"</f>
        <v>12-0560</v>
      </c>
      <c r="D2032" s="8">
        <v>41247</v>
      </c>
      <c r="F2032" s="8">
        <v>41291</v>
      </c>
      <c r="G2032" s="8">
        <v>41248</v>
      </c>
      <c r="Y2032" s="8"/>
    </row>
    <row r="2033" spans="1:25" x14ac:dyDescent="0.25">
      <c r="A2033" t="str">
        <f>"12-0561"</f>
        <v>12-0561</v>
      </c>
      <c r="D2033" s="8">
        <v>41247</v>
      </c>
      <c r="F2033" s="8">
        <v>41247</v>
      </c>
      <c r="G2033" s="8">
        <v>41248</v>
      </c>
      <c r="Y2033" s="8"/>
    </row>
    <row r="2034" spans="1:25" x14ac:dyDescent="0.25">
      <c r="A2034" t="str">
        <f>"12-0562"</f>
        <v>12-0562</v>
      </c>
      <c r="D2034" s="8">
        <v>41247</v>
      </c>
      <c r="F2034" s="8">
        <v>41247</v>
      </c>
      <c r="G2034" s="8">
        <v>41247</v>
      </c>
      <c r="Y2034" s="8"/>
    </row>
    <row r="2035" spans="1:25" x14ac:dyDescent="0.25">
      <c r="A2035" t="str">
        <f>"12-0563"</f>
        <v>12-0563</v>
      </c>
      <c r="D2035" s="8">
        <v>41247</v>
      </c>
      <c r="F2035" s="8">
        <v>41247</v>
      </c>
      <c r="G2035" s="8">
        <v>41247</v>
      </c>
      <c r="Y2035" s="8"/>
    </row>
    <row r="2036" spans="1:25" x14ac:dyDescent="0.25">
      <c r="A2036" t="str">
        <f>"12-0564"</f>
        <v>12-0564</v>
      </c>
      <c r="D2036" s="8">
        <v>41247</v>
      </c>
      <c r="F2036" s="8">
        <v>41247</v>
      </c>
      <c r="G2036" s="8">
        <v>41247</v>
      </c>
      <c r="Y2036" s="8"/>
    </row>
    <row r="2037" spans="1:25" x14ac:dyDescent="0.25">
      <c r="A2037" t="str">
        <f>"12-0451B"</f>
        <v>12-0451B</v>
      </c>
      <c r="D2037" s="8">
        <v>41246</v>
      </c>
      <c r="F2037" s="8">
        <v>41246</v>
      </c>
      <c r="G2037" s="8">
        <v>41248</v>
      </c>
      <c r="Y2037" s="8"/>
    </row>
    <row r="2038" spans="1:25" x14ac:dyDescent="0.25">
      <c r="A2038" t="str">
        <f>"12-0518B"</f>
        <v>12-0518B</v>
      </c>
      <c r="D2038" s="8">
        <v>41246</v>
      </c>
      <c r="G2038" s="8">
        <v>41248</v>
      </c>
      <c r="Y2038" s="8"/>
    </row>
    <row r="2039" spans="1:25" x14ac:dyDescent="0.25">
      <c r="A2039" t="str">
        <f>"12-0556"</f>
        <v>12-0556</v>
      </c>
      <c r="D2039" s="8">
        <v>41246</v>
      </c>
      <c r="F2039" s="8">
        <v>41246</v>
      </c>
      <c r="G2039" s="8">
        <v>41246</v>
      </c>
      <c r="Y2039" s="8"/>
    </row>
    <row r="2040" spans="1:25" x14ac:dyDescent="0.25">
      <c r="A2040" t="str">
        <f>"12-0557"</f>
        <v>12-0557</v>
      </c>
      <c r="D2040" s="8">
        <v>41246</v>
      </c>
      <c r="F2040" s="8">
        <v>41246</v>
      </c>
      <c r="G2040" s="8">
        <v>41246</v>
      </c>
      <c r="Y2040" s="8"/>
    </row>
    <row r="2041" spans="1:25" x14ac:dyDescent="0.25">
      <c r="A2041" t="str">
        <f>"12-0558"</f>
        <v>12-0558</v>
      </c>
      <c r="D2041" s="8">
        <v>41246</v>
      </c>
      <c r="F2041" s="8">
        <v>41247</v>
      </c>
      <c r="G2041" s="8">
        <v>41246</v>
      </c>
      <c r="Y2041" s="8"/>
    </row>
    <row r="2042" spans="1:25" x14ac:dyDescent="0.25">
      <c r="A2042" t="str">
        <f>"12-0549B"</f>
        <v>12-0549B</v>
      </c>
      <c r="D2042" s="8">
        <v>41243</v>
      </c>
      <c r="F2042" s="8">
        <v>41246</v>
      </c>
      <c r="G2042" s="8">
        <v>41243</v>
      </c>
      <c r="Y2042" s="8"/>
    </row>
    <row r="2043" spans="1:25" x14ac:dyDescent="0.25">
      <c r="A2043" t="str">
        <f>"12-0448C"</f>
        <v>12-0448C</v>
      </c>
      <c r="D2043" s="8">
        <v>41242</v>
      </c>
      <c r="F2043" s="8">
        <v>41242</v>
      </c>
      <c r="G2043" s="8">
        <v>41242</v>
      </c>
      <c r="Y2043" s="8"/>
    </row>
    <row r="2044" spans="1:25" x14ac:dyDescent="0.25">
      <c r="A2044" t="str">
        <f>"12-0552"</f>
        <v>12-0552</v>
      </c>
      <c r="D2044" s="8">
        <v>41242</v>
      </c>
      <c r="F2044" s="8">
        <v>41242</v>
      </c>
      <c r="G2044" s="8">
        <v>41242</v>
      </c>
      <c r="Y2044" s="8"/>
    </row>
    <row r="2045" spans="1:25" x14ac:dyDescent="0.25">
      <c r="A2045" t="str">
        <f>"12-0553"</f>
        <v>12-0553</v>
      </c>
      <c r="D2045" s="8">
        <v>41242</v>
      </c>
      <c r="F2045" s="8">
        <v>41242</v>
      </c>
      <c r="G2045" s="8">
        <v>41242</v>
      </c>
      <c r="Y2045" s="8"/>
    </row>
    <row r="2046" spans="1:25" x14ac:dyDescent="0.25">
      <c r="A2046" t="str">
        <f>"12-0554"</f>
        <v>12-0554</v>
      </c>
      <c r="D2046" s="8">
        <v>41242</v>
      </c>
      <c r="F2046" s="8">
        <v>41242</v>
      </c>
      <c r="G2046" s="8">
        <v>41242</v>
      </c>
      <c r="Y2046" s="8"/>
    </row>
    <row r="2047" spans="1:25" x14ac:dyDescent="0.25">
      <c r="A2047" t="str">
        <f>"12-0555"</f>
        <v>12-0555</v>
      </c>
      <c r="D2047" s="8">
        <v>41242</v>
      </c>
      <c r="F2047" s="8">
        <v>41242</v>
      </c>
      <c r="G2047" s="8">
        <v>41242</v>
      </c>
      <c r="Y2047" s="8"/>
    </row>
    <row r="2048" spans="1:25" x14ac:dyDescent="0.25">
      <c r="A2048" t="str">
        <f>"12-0548"</f>
        <v>12-0548</v>
      </c>
      <c r="D2048" s="8">
        <v>41241</v>
      </c>
      <c r="F2048" s="8">
        <v>41241</v>
      </c>
      <c r="G2048" s="8">
        <v>41241</v>
      </c>
      <c r="Y2048" s="8"/>
    </row>
    <row r="2049" spans="1:25" x14ac:dyDescent="0.25">
      <c r="A2049" t="str">
        <f>"12-0548B"</f>
        <v>12-0548B</v>
      </c>
      <c r="D2049" s="8">
        <v>41241</v>
      </c>
      <c r="F2049" s="8">
        <v>41241</v>
      </c>
      <c r="G2049" s="8">
        <v>41241</v>
      </c>
      <c r="Y2049" s="8"/>
    </row>
    <row r="2050" spans="1:25" x14ac:dyDescent="0.25">
      <c r="A2050" t="str">
        <f>"12-0549"</f>
        <v>12-0549</v>
      </c>
      <c r="D2050" s="8">
        <v>41241</v>
      </c>
      <c r="F2050" s="8">
        <v>41241</v>
      </c>
      <c r="G2050" s="8">
        <v>41241</v>
      </c>
      <c r="Y2050" s="8"/>
    </row>
    <row r="2051" spans="1:25" x14ac:dyDescent="0.25">
      <c r="A2051" t="str">
        <f>"12-0550"</f>
        <v>12-0550</v>
      </c>
      <c r="D2051" s="8">
        <v>41241</v>
      </c>
      <c r="F2051" s="8">
        <v>41241</v>
      </c>
      <c r="G2051" s="8">
        <v>41241</v>
      </c>
      <c r="Y2051" s="8"/>
    </row>
    <row r="2052" spans="1:25" x14ac:dyDescent="0.25">
      <c r="A2052" t="str">
        <f>"12-0551"</f>
        <v>12-0551</v>
      </c>
      <c r="D2052" s="8">
        <v>41241</v>
      </c>
      <c r="F2052" s="8">
        <v>41247</v>
      </c>
      <c r="G2052" s="8">
        <v>41241</v>
      </c>
      <c r="Y2052" s="8"/>
    </row>
    <row r="2053" spans="1:25" x14ac:dyDescent="0.25">
      <c r="A2053" t="str">
        <f>"12-0546"</f>
        <v>12-0546</v>
      </c>
      <c r="D2053" s="8">
        <v>41240</v>
      </c>
      <c r="F2053" s="8">
        <v>41240</v>
      </c>
      <c r="G2053" s="8">
        <v>41240</v>
      </c>
      <c r="Y2053" s="8"/>
    </row>
    <row r="2054" spans="1:25" x14ac:dyDescent="0.25">
      <c r="A2054" t="str">
        <f>"12-0547"</f>
        <v>12-0547</v>
      </c>
      <c r="D2054" s="8">
        <v>41240</v>
      </c>
      <c r="F2054" s="8">
        <v>41240</v>
      </c>
      <c r="G2054" s="8">
        <v>41240</v>
      </c>
      <c r="Y2054" s="8"/>
    </row>
    <row r="2055" spans="1:25" x14ac:dyDescent="0.25">
      <c r="A2055" t="str">
        <f>"12-0544"</f>
        <v>12-0544</v>
      </c>
      <c r="D2055" s="8">
        <v>41239</v>
      </c>
      <c r="F2055" s="8">
        <v>41239</v>
      </c>
      <c r="G2055" s="8">
        <v>41239</v>
      </c>
      <c r="Y2055" s="8"/>
    </row>
    <row r="2056" spans="1:25" x14ac:dyDescent="0.25">
      <c r="A2056" t="str">
        <f>"12-0545"</f>
        <v>12-0545</v>
      </c>
      <c r="D2056" s="8">
        <v>41239</v>
      </c>
      <c r="F2056" s="8">
        <v>41239</v>
      </c>
      <c r="G2056" s="8">
        <v>41239</v>
      </c>
      <c r="Y2056" s="8"/>
    </row>
    <row r="2057" spans="1:25" x14ac:dyDescent="0.25">
      <c r="A2057" t="str">
        <f>"12-0542"</f>
        <v>12-0542</v>
      </c>
      <c r="D2057" s="8">
        <v>41235</v>
      </c>
      <c r="F2057" s="8">
        <v>41235</v>
      </c>
      <c r="G2057" s="8">
        <v>41235</v>
      </c>
      <c r="Y2057" s="8"/>
    </row>
    <row r="2058" spans="1:25" x14ac:dyDescent="0.25">
      <c r="A2058" t="str">
        <f>"12-0543"</f>
        <v>12-0543</v>
      </c>
      <c r="D2058" s="8">
        <v>41235</v>
      </c>
      <c r="F2058" s="8">
        <v>41235</v>
      </c>
      <c r="G2058" s="8">
        <v>41235</v>
      </c>
      <c r="Y2058" s="8"/>
    </row>
    <row r="2059" spans="1:25" x14ac:dyDescent="0.25">
      <c r="A2059" t="str">
        <f>"12-0448B"</f>
        <v>12-0448B</v>
      </c>
      <c r="D2059" s="8">
        <v>41234</v>
      </c>
      <c r="F2059" s="8">
        <v>41234</v>
      </c>
      <c r="G2059" s="8">
        <v>41234</v>
      </c>
      <c r="Y2059" s="8"/>
    </row>
    <row r="2060" spans="1:25" x14ac:dyDescent="0.25">
      <c r="A2060" t="str">
        <f>"12-0538"</f>
        <v>12-0538</v>
      </c>
      <c r="D2060" s="8">
        <v>41234</v>
      </c>
      <c r="F2060" s="8">
        <v>41234</v>
      </c>
      <c r="G2060" s="8">
        <v>41236</v>
      </c>
      <c r="Y2060" s="8"/>
    </row>
    <row r="2061" spans="1:25" x14ac:dyDescent="0.25">
      <c r="A2061" t="str">
        <f>"12-0539"</f>
        <v>12-0539</v>
      </c>
      <c r="D2061" s="8">
        <v>41234</v>
      </c>
      <c r="F2061" s="8">
        <v>41234</v>
      </c>
      <c r="G2061" s="8">
        <v>41234</v>
      </c>
      <c r="Y2061" s="8"/>
    </row>
    <row r="2062" spans="1:25" x14ac:dyDescent="0.25">
      <c r="A2062" t="str">
        <f>"12-0540"</f>
        <v>12-0540</v>
      </c>
      <c r="D2062" s="8">
        <v>41234</v>
      </c>
      <c r="F2062" s="8">
        <v>41234</v>
      </c>
      <c r="G2062" s="8">
        <v>41234</v>
      </c>
      <c r="Y2062" s="8"/>
    </row>
    <row r="2063" spans="1:25" x14ac:dyDescent="0.25">
      <c r="A2063" t="str">
        <f>"12-0541"</f>
        <v>12-0541</v>
      </c>
      <c r="D2063" s="8">
        <v>41234</v>
      </c>
      <c r="F2063" s="8">
        <v>41234</v>
      </c>
      <c r="G2063" s="8">
        <v>41234</v>
      </c>
      <c r="Y2063" s="8"/>
    </row>
    <row r="2064" spans="1:25" x14ac:dyDescent="0.25">
      <c r="A2064" t="str">
        <f>"12-0535"</f>
        <v>12-0535</v>
      </c>
      <c r="D2064" s="8">
        <v>41232</v>
      </c>
      <c r="F2064" s="8">
        <v>41232</v>
      </c>
      <c r="G2064" s="8">
        <v>41232</v>
      </c>
      <c r="Y2064" s="8"/>
    </row>
    <row r="2065" spans="1:25" x14ac:dyDescent="0.25">
      <c r="A2065" t="str">
        <f>"12-0536"</f>
        <v>12-0536</v>
      </c>
      <c r="D2065" s="8">
        <v>41232</v>
      </c>
      <c r="F2065" s="8">
        <v>41232</v>
      </c>
      <c r="G2065" s="8">
        <v>41232</v>
      </c>
      <c r="Y2065" s="8"/>
    </row>
    <row r="2066" spans="1:25" x14ac:dyDescent="0.25">
      <c r="A2066" t="str">
        <f>"12-0537"</f>
        <v>12-0537</v>
      </c>
      <c r="D2066" s="8">
        <v>41232</v>
      </c>
      <c r="F2066" s="8">
        <v>41232</v>
      </c>
      <c r="G2066" s="8">
        <v>41232</v>
      </c>
      <c r="Y2066" s="8"/>
    </row>
    <row r="2067" spans="1:25" x14ac:dyDescent="0.25">
      <c r="A2067" t="str">
        <f>"12-0533"</f>
        <v>12-0533</v>
      </c>
      <c r="D2067" s="8">
        <v>41229</v>
      </c>
      <c r="F2067" s="8">
        <v>41229</v>
      </c>
      <c r="G2067" s="8">
        <v>41229</v>
      </c>
      <c r="Y2067" s="8"/>
    </row>
    <row r="2068" spans="1:25" x14ac:dyDescent="0.25">
      <c r="A2068" t="str">
        <f>"12-0534"</f>
        <v>12-0534</v>
      </c>
      <c r="D2068" s="8">
        <v>41229</v>
      </c>
      <c r="F2068" s="8">
        <v>41229</v>
      </c>
      <c r="G2068" s="8">
        <v>41229</v>
      </c>
      <c r="Y2068" s="8"/>
    </row>
    <row r="2069" spans="1:25" x14ac:dyDescent="0.25">
      <c r="A2069" t="str">
        <f>"12-0531"</f>
        <v>12-0531</v>
      </c>
      <c r="D2069" s="8">
        <v>41228</v>
      </c>
      <c r="F2069" s="8">
        <v>41228</v>
      </c>
      <c r="G2069" s="8">
        <v>41229</v>
      </c>
      <c r="Y2069" s="8"/>
    </row>
    <row r="2070" spans="1:25" x14ac:dyDescent="0.25">
      <c r="A2070" t="str">
        <f>"12-0532"</f>
        <v>12-0532</v>
      </c>
      <c r="D2070" s="8">
        <v>41228</v>
      </c>
      <c r="F2070" s="8">
        <v>41228</v>
      </c>
      <c r="G2070" s="8">
        <v>41228</v>
      </c>
      <c r="Y2070" s="8"/>
    </row>
    <row r="2071" spans="1:25" x14ac:dyDescent="0.25">
      <c r="A2071" t="str">
        <f>"12-0528"</f>
        <v>12-0528</v>
      </c>
      <c r="D2071" s="8">
        <v>41227</v>
      </c>
      <c r="F2071" s="8">
        <v>41227</v>
      </c>
      <c r="G2071" s="8">
        <v>41227</v>
      </c>
      <c r="Y2071" s="8"/>
    </row>
    <row r="2072" spans="1:25" x14ac:dyDescent="0.25">
      <c r="A2072" t="str">
        <f>"12-0529"</f>
        <v>12-0529</v>
      </c>
      <c r="D2072" s="8">
        <v>41227</v>
      </c>
      <c r="F2072" s="8">
        <v>41228</v>
      </c>
      <c r="G2072" s="8">
        <v>41227</v>
      </c>
      <c r="Y2072" s="8"/>
    </row>
    <row r="2073" spans="1:25" x14ac:dyDescent="0.25">
      <c r="A2073" t="str">
        <f>"12-0530"</f>
        <v>12-0530</v>
      </c>
      <c r="D2073" s="8">
        <v>41227</v>
      </c>
      <c r="F2073" s="8">
        <v>41228</v>
      </c>
      <c r="G2073" s="8">
        <v>41227</v>
      </c>
      <c r="Y2073" s="8"/>
    </row>
    <row r="2074" spans="1:25" x14ac:dyDescent="0.25">
      <c r="A2074" t="str">
        <f>"12-0523"</f>
        <v>12-0523</v>
      </c>
      <c r="D2074" s="8">
        <v>41225</v>
      </c>
      <c r="F2074" s="8">
        <v>41697</v>
      </c>
      <c r="G2074" s="8">
        <v>41225</v>
      </c>
      <c r="Y2074" s="8"/>
    </row>
    <row r="2075" spans="1:25" x14ac:dyDescent="0.25">
      <c r="A2075" t="str">
        <f>"12-0524"</f>
        <v>12-0524</v>
      </c>
      <c r="D2075" s="8">
        <v>41225</v>
      </c>
      <c r="F2075" s="8">
        <v>41225</v>
      </c>
      <c r="G2075" s="8">
        <v>41225</v>
      </c>
      <c r="Y2075" s="8"/>
    </row>
    <row r="2076" spans="1:25" x14ac:dyDescent="0.25">
      <c r="A2076" t="str">
        <f>"12-0525"</f>
        <v>12-0525</v>
      </c>
      <c r="D2076" s="8">
        <v>41225</v>
      </c>
      <c r="F2076" s="8">
        <v>41225</v>
      </c>
      <c r="G2076" s="8">
        <v>41225</v>
      </c>
      <c r="Y2076" s="8"/>
    </row>
    <row r="2077" spans="1:25" x14ac:dyDescent="0.25">
      <c r="A2077" t="str">
        <f>"12-0526"</f>
        <v>12-0526</v>
      </c>
      <c r="D2077" s="8">
        <v>41225</v>
      </c>
      <c r="F2077" s="8">
        <v>41234</v>
      </c>
      <c r="G2077" s="8">
        <v>41225</v>
      </c>
      <c r="Y2077" s="8"/>
    </row>
    <row r="2078" spans="1:25" x14ac:dyDescent="0.25">
      <c r="A2078" t="str">
        <f>"12-0527"</f>
        <v>12-0527</v>
      </c>
      <c r="D2078" s="8">
        <v>41225</v>
      </c>
      <c r="F2078" s="8">
        <v>41233</v>
      </c>
      <c r="G2078" s="8">
        <v>41225</v>
      </c>
      <c r="Y2078" s="8"/>
    </row>
    <row r="2079" spans="1:25" x14ac:dyDescent="0.25">
      <c r="A2079" t="str">
        <f>"12-0521"</f>
        <v>12-0521</v>
      </c>
      <c r="D2079" s="8">
        <v>41222</v>
      </c>
      <c r="F2079" s="8">
        <v>41222</v>
      </c>
      <c r="G2079" s="8">
        <v>41222</v>
      </c>
      <c r="Y2079" s="8"/>
    </row>
    <row r="2080" spans="1:25" x14ac:dyDescent="0.25">
      <c r="A2080" t="str">
        <f>"12-0522"</f>
        <v>12-0522</v>
      </c>
      <c r="D2080" s="8">
        <v>41222</v>
      </c>
      <c r="F2080" s="8">
        <v>41222</v>
      </c>
      <c r="G2080" s="8">
        <v>41222</v>
      </c>
      <c r="Y2080" s="8"/>
    </row>
    <row r="2081" spans="1:25" x14ac:dyDescent="0.25">
      <c r="A2081" t="str">
        <f>"12-0496B"</f>
        <v>12-0496B</v>
      </c>
      <c r="D2081" s="8">
        <v>41221</v>
      </c>
      <c r="F2081" s="8">
        <v>41221</v>
      </c>
      <c r="G2081" s="8">
        <v>41221</v>
      </c>
      <c r="Y2081" s="8"/>
    </row>
    <row r="2082" spans="1:25" x14ac:dyDescent="0.25">
      <c r="A2082" t="str">
        <f>"12-0518"</f>
        <v>12-0518</v>
      </c>
      <c r="D2082" s="8">
        <v>41221</v>
      </c>
      <c r="F2082" s="8">
        <v>41226</v>
      </c>
      <c r="G2082" s="8">
        <v>41222</v>
      </c>
      <c r="Y2082" s="8"/>
    </row>
    <row r="2083" spans="1:25" x14ac:dyDescent="0.25">
      <c r="A2083" t="str">
        <f>"12-0519"</f>
        <v>12-0519</v>
      </c>
      <c r="D2083" s="8">
        <v>41221</v>
      </c>
      <c r="F2083" s="8">
        <v>41221</v>
      </c>
      <c r="G2083" s="8">
        <v>41221</v>
      </c>
      <c r="Y2083" s="8"/>
    </row>
    <row r="2084" spans="1:25" x14ac:dyDescent="0.25">
      <c r="A2084" t="str">
        <f>"12-0520"</f>
        <v>12-0520</v>
      </c>
      <c r="D2084" s="8">
        <v>41221</v>
      </c>
      <c r="F2084" s="8">
        <v>41221</v>
      </c>
      <c r="G2084" s="8">
        <v>41221</v>
      </c>
      <c r="Y2084" s="8"/>
    </row>
    <row r="2085" spans="1:25" x14ac:dyDescent="0.25">
      <c r="A2085" t="str">
        <f>"12-0514"</f>
        <v>12-0514</v>
      </c>
      <c r="D2085" s="8">
        <v>41220</v>
      </c>
      <c r="F2085" s="8">
        <v>41220</v>
      </c>
      <c r="G2085" s="8">
        <v>41220</v>
      </c>
      <c r="Y2085" s="8"/>
    </row>
    <row r="2086" spans="1:25" x14ac:dyDescent="0.25">
      <c r="A2086" t="str">
        <f>"12-0515"</f>
        <v>12-0515</v>
      </c>
      <c r="D2086" s="8">
        <v>41220</v>
      </c>
      <c r="F2086" s="8">
        <v>41220</v>
      </c>
      <c r="G2086" s="8">
        <v>41220</v>
      </c>
      <c r="Y2086" s="8"/>
    </row>
    <row r="2087" spans="1:25" x14ac:dyDescent="0.25">
      <c r="A2087" t="str">
        <f>"12-0516"</f>
        <v>12-0516</v>
      </c>
      <c r="D2087" s="8">
        <v>41220</v>
      </c>
      <c r="F2087" s="8">
        <v>41309</v>
      </c>
      <c r="G2087" s="8">
        <v>41220</v>
      </c>
      <c r="Y2087" s="8"/>
    </row>
    <row r="2088" spans="1:25" x14ac:dyDescent="0.25">
      <c r="A2088" t="str">
        <f>"12-0517"</f>
        <v>12-0517</v>
      </c>
      <c r="D2088" s="8">
        <v>41220</v>
      </c>
      <c r="F2088" s="8">
        <v>41220</v>
      </c>
      <c r="G2088" s="8">
        <v>41220</v>
      </c>
      <c r="Y2088" s="8"/>
    </row>
    <row r="2089" spans="1:25" x14ac:dyDescent="0.25">
      <c r="A2089" t="str">
        <f>"12-0511"</f>
        <v>12-0511</v>
      </c>
      <c r="D2089" s="8">
        <v>41219</v>
      </c>
      <c r="F2089" s="8">
        <v>41219</v>
      </c>
      <c r="G2089" s="8">
        <v>41219</v>
      </c>
      <c r="Y2089" s="8"/>
    </row>
    <row r="2090" spans="1:25" x14ac:dyDescent="0.25">
      <c r="A2090" t="str">
        <f>"12-0512"</f>
        <v>12-0512</v>
      </c>
      <c r="D2090" s="8">
        <v>41219</v>
      </c>
      <c r="F2090" s="8">
        <v>41236</v>
      </c>
      <c r="G2090" s="8">
        <v>41219</v>
      </c>
      <c r="Y2090" s="8"/>
    </row>
    <row r="2091" spans="1:25" x14ac:dyDescent="0.25">
      <c r="A2091" t="str">
        <f>"12-0513"</f>
        <v>12-0513</v>
      </c>
      <c r="D2091" s="8">
        <v>41219</v>
      </c>
      <c r="F2091" s="8">
        <v>41219</v>
      </c>
      <c r="G2091" s="8">
        <v>41219</v>
      </c>
      <c r="Y2091" s="8"/>
    </row>
    <row r="2092" spans="1:25" x14ac:dyDescent="0.25">
      <c r="A2092" t="str">
        <f>"12-0510"</f>
        <v>12-0510</v>
      </c>
      <c r="D2092" s="8">
        <v>41218</v>
      </c>
      <c r="F2092" s="8">
        <v>41219</v>
      </c>
      <c r="G2092" s="8">
        <v>41218</v>
      </c>
      <c r="Y2092" s="8"/>
    </row>
    <row r="2093" spans="1:25" x14ac:dyDescent="0.25">
      <c r="A2093" t="str">
        <f>"12-0507"</f>
        <v>12-0507</v>
      </c>
      <c r="D2093" s="8">
        <v>41215</v>
      </c>
      <c r="F2093" s="8">
        <v>41215</v>
      </c>
      <c r="G2093" s="8">
        <v>41215</v>
      </c>
      <c r="Y2093" s="8"/>
    </row>
    <row r="2094" spans="1:25" x14ac:dyDescent="0.25">
      <c r="A2094" t="str">
        <f>"12-0508"</f>
        <v>12-0508</v>
      </c>
      <c r="D2094" s="8">
        <v>41215</v>
      </c>
      <c r="F2094" s="8">
        <v>41363</v>
      </c>
      <c r="G2094" s="8">
        <v>41215</v>
      </c>
      <c r="Y2094" s="8"/>
    </row>
    <row r="2095" spans="1:25" x14ac:dyDescent="0.25">
      <c r="A2095" t="str">
        <f>"12-0503"</f>
        <v>12-0503</v>
      </c>
      <c r="D2095" s="8">
        <v>41213</v>
      </c>
      <c r="F2095" s="8">
        <v>41213</v>
      </c>
      <c r="G2095" s="8">
        <v>41213</v>
      </c>
      <c r="Y2095" s="8"/>
    </row>
    <row r="2096" spans="1:25" x14ac:dyDescent="0.25">
      <c r="A2096" t="str">
        <f>"12-0504"</f>
        <v>12-0504</v>
      </c>
      <c r="D2096" s="8">
        <v>41213</v>
      </c>
      <c r="F2096" s="8">
        <v>41213</v>
      </c>
      <c r="G2096" s="8">
        <v>41213</v>
      </c>
      <c r="Y2096" s="8"/>
    </row>
    <row r="2097" spans="1:25" x14ac:dyDescent="0.25">
      <c r="A2097" t="str">
        <f>"12-0505"</f>
        <v>12-0505</v>
      </c>
      <c r="D2097" s="8">
        <v>41213</v>
      </c>
      <c r="F2097" s="8">
        <v>41213</v>
      </c>
      <c r="G2097" s="8">
        <v>41213</v>
      </c>
      <c r="Y2097" s="8"/>
    </row>
    <row r="2098" spans="1:25" x14ac:dyDescent="0.25">
      <c r="A2098" t="str">
        <f>"12-0506"</f>
        <v>12-0506</v>
      </c>
      <c r="D2098" s="8">
        <v>41213</v>
      </c>
      <c r="F2098" s="8">
        <v>41213</v>
      </c>
      <c r="G2098" s="8">
        <v>41213</v>
      </c>
      <c r="Y2098" s="8"/>
    </row>
    <row r="2099" spans="1:25" x14ac:dyDescent="0.25">
      <c r="A2099" t="str">
        <f>"12-0501"</f>
        <v>12-0501</v>
      </c>
      <c r="D2099" s="8">
        <v>41212</v>
      </c>
      <c r="F2099" s="8">
        <v>41212</v>
      </c>
      <c r="G2099" s="8">
        <v>41212</v>
      </c>
      <c r="Y2099" s="8"/>
    </row>
    <row r="2100" spans="1:25" x14ac:dyDescent="0.25">
      <c r="A2100" t="str">
        <f>"12-0502"</f>
        <v>12-0502</v>
      </c>
      <c r="D2100" s="8">
        <v>41212</v>
      </c>
      <c r="F2100" s="8">
        <v>41212</v>
      </c>
      <c r="G2100" s="8">
        <v>41212</v>
      </c>
      <c r="Y2100" s="8"/>
    </row>
    <row r="2101" spans="1:25" x14ac:dyDescent="0.25">
      <c r="A2101" t="str">
        <f>"12-0351C"</f>
        <v>12-0351C</v>
      </c>
      <c r="D2101" s="8">
        <v>41211</v>
      </c>
      <c r="F2101" s="8">
        <v>41211</v>
      </c>
      <c r="G2101" s="8">
        <v>41211</v>
      </c>
      <c r="Y2101" s="8"/>
    </row>
    <row r="2102" spans="1:25" x14ac:dyDescent="0.25">
      <c r="A2102" t="str">
        <f>"12-0497"</f>
        <v>12-0497</v>
      </c>
      <c r="D2102" s="8">
        <v>41208</v>
      </c>
      <c r="F2102" s="8">
        <v>41208</v>
      </c>
      <c r="G2102" s="8">
        <v>41211</v>
      </c>
      <c r="Y2102" s="8"/>
    </row>
    <row r="2103" spans="1:25" x14ac:dyDescent="0.25">
      <c r="A2103" t="str">
        <f>"12-0498"</f>
        <v>12-0498</v>
      </c>
      <c r="D2103" s="8">
        <v>41208</v>
      </c>
      <c r="F2103" s="8">
        <v>41208</v>
      </c>
      <c r="G2103" s="8">
        <v>41211</v>
      </c>
      <c r="Y2103" s="8"/>
    </row>
    <row r="2104" spans="1:25" x14ac:dyDescent="0.25">
      <c r="A2104" t="str">
        <f>"12-0499"</f>
        <v>12-0499</v>
      </c>
      <c r="D2104" s="8">
        <v>41208</v>
      </c>
      <c r="F2104" s="8">
        <v>41376</v>
      </c>
      <c r="G2104" s="8">
        <v>41208</v>
      </c>
      <c r="Y2104" s="8"/>
    </row>
    <row r="2105" spans="1:25" x14ac:dyDescent="0.25">
      <c r="A2105" t="str">
        <f>"12-0500"</f>
        <v>12-0500</v>
      </c>
      <c r="D2105" s="8">
        <v>41208</v>
      </c>
      <c r="F2105" s="8">
        <v>41304</v>
      </c>
      <c r="G2105" s="8">
        <v>41208</v>
      </c>
      <c r="Y2105" s="8"/>
    </row>
    <row r="2106" spans="1:25" x14ac:dyDescent="0.25">
      <c r="A2106" t="str">
        <f>"12-0495"</f>
        <v>12-0495</v>
      </c>
      <c r="D2106" s="8">
        <v>41207</v>
      </c>
      <c r="F2106" s="8">
        <v>41375</v>
      </c>
      <c r="G2106" s="8">
        <v>41207</v>
      </c>
      <c r="Y2106" s="8"/>
    </row>
    <row r="2107" spans="1:25" x14ac:dyDescent="0.25">
      <c r="A2107" t="str">
        <f>"12-0496"</f>
        <v>12-0496</v>
      </c>
      <c r="D2107" s="8">
        <v>41207</v>
      </c>
      <c r="F2107" s="8">
        <v>41207</v>
      </c>
      <c r="G2107" s="8">
        <v>41207</v>
      </c>
      <c r="Y2107" s="8"/>
    </row>
    <row r="2108" spans="1:25" x14ac:dyDescent="0.25">
      <c r="A2108" t="str">
        <f>"12-0109D"</f>
        <v>12-0109D</v>
      </c>
      <c r="D2108" s="8">
        <v>41206</v>
      </c>
      <c r="F2108" s="8">
        <v>41206</v>
      </c>
      <c r="G2108" s="8">
        <v>41206</v>
      </c>
      <c r="Y2108" s="8"/>
    </row>
    <row r="2109" spans="1:25" x14ac:dyDescent="0.25">
      <c r="A2109" t="str">
        <f>"12-0474C"</f>
        <v>12-0474C</v>
      </c>
      <c r="D2109" s="8">
        <v>41206</v>
      </c>
      <c r="F2109" s="8">
        <v>41206</v>
      </c>
      <c r="G2109" s="8">
        <v>41206</v>
      </c>
      <c r="Y2109" s="8"/>
    </row>
    <row r="2110" spans="1:25" x14ac:dyDescent="0.25">
      <c r="A2110" t="str">
        <f>"12-0494"</f>
        <v>12-0494</v>
      </c>
      <c r="D2110" s="8">
        <v>41206</v>
      </c>
      <c r="F2110" s="8">
        <v>41206</v>
      </c>
      <c r="G2110" s="8">
        <v>41206</v>
      </c>
      <c r="Y2110" s="8"/>
    </row>
    <row r="2111" spans="1:25" x14ac:dyDescent="0.25">
      <c r="A2111" t="str">
        <f>"12-0474B"</f>
        <v>12-0474B</v>
      </c>
      <c r="D2111" s="8">
        <v>41205</v>
      </c>
      <c r="F2111" s="8">
        <v>41205</v>
      </c>
      <c r="G2111" s="8">
        <v>41205</v>
      </c>
      <c r="Y2111" s="8"/>
    </row>
    <row r="2112" spans="1:25" x14ac:dyDescent="0.25">
      <c r="A2112" t="str">
        <f>"12-0489"</f>
        <v>12-0489</v>
      </c>
      <c r="D2112" s="8">
        <v>41205</v>
      </c>
      <c r="F2112" s="8">
        <v>41205</v>
      </c>
      <c r="G2112" s="8">
        <v>41205</v>
      </c>
      <c r="Y2112" s="8"/>
    </row>
    <row r="2113" spans="1:25" x14ac:dyDescent="0.25">
      <c r="A2113" t="str">
        <f>"12-0490"</f>
        <v>12-0490</v>
      </c>
      <c r="D2113" s="8">
        <v>41205</v>
      </c>
      <c r="F2113" s="8">
        <v>41205</v>
      </c>
      <c r="G2113" s="8">
        <v>41205</v>
      </c>
      <c r="Y2113" s="8"/>
    </row>
    <row r="2114" spans="1:25" x14ac:dyDescent="0.25">
      <c r="A2114" t="str">
        <f>"12-0491"</f>
        <v>12-0491</v>
      </c>
      <c r="D2114" s="8">
        <v>41205</v>
      </c>
      <c r="F2114" s="8">
        <v>41205</v>
      </c>
      <c r="G2114" s="8">
        <v>41205</v>
      </c>
      <c r="Y2114" s="8"/>
    </row>
    <row r="2115" spans="1:25" x14ac:dyDescent="0.25">
      <c r="A2115" t="str">
        <f>"12-0492"</f>
        <v>12-0492</v>
      </c>
      <c r="D2115" s="8">
        <v>41205</v>
      </c>
      <c r="F2115" s="8">
        <v>41205</v>
      </c>
      <c r="G2115" s="8">
        <v>41205</v>
      </c>
      <c r="Y2115" s="8"/>
    </row>
    <row r="2116" spans="1:25" x14ac:dyDescent="0.25">
      <c r="A2116" t="str">
        <f>"12-0493"</f>
        <v>12-0493</v>
      </c>
      <c r="D2116" s="8">
        <v>41205</v>
      </c>
      <c r="F2116" s="8">
        <v>41206</v>
      </c>
      <c r="G2116" s="8">
        <v>41207</v>
      </c>
      <c r="Y2116" s="8"/>
    </row>
    <row r="2117" spans="1:25" x14ac:dyDescent="0.25">
      <c r="A2117" t="str">
        <f>"12-0390B"</f>
        <v>12-0390B</v>
      </c>
      <c r="D2117" s="8">
        <v>41200</v>
      </c>
      <c r="F2117" s="8">
        <v>41200</v>
      </c>
      <c r="G2117" s="8">
        <v>41200</v>
      </c>
      <c r="Y2117" s="8"/>
    </row>
    <row r="2118" spans="1:25" x14ac:dyDescent="0.25">
      <c r="A2118" t="str">
        <f>"12-0487"</f>
        <v>12-0487</v>
      </c>
      <c r="D2118" s="8">
        <v>41200</v>
      </c>
      <c r="F2118" s="8">
        <v>41200</v>
      </c>
      <c r="G2118" s="8">
        <v>41200</v>
      </c>
      <c r="Y2118" s="8"/>
    </row>
    <row r="2119" spans="1:25" x14ac:dyDescent="0.25">
      <c r="A2119" t="str">
        <f>"12-0488"</f>
        <v>12-0488</v>
      </c>
      <c r="D2119" s="8">
        <v>41200</v>
      </c>
      <c r="F2119" s="8">
        <v>41200</v>
      </c>
      <c r="G2119" s="8">
        <v>41200</v>
      </c>
      <c r="Y2119" s="8"/>
    </row>
    <row r="2120" spans="1:25" x14ac:dyDescent="0.25">
      <c r="A2120" t="str">
        <f>"12-0480"</f>
        <v>12-0480</v>
      </c>
      <c r="D2120" s="8">
        <v>41199</v>
      </c>
      <c r="F2120" s="8">
        <v>41199</v>
      </c>
      <c r="G2120" s="8">
        <v>41199</v>
      </c>
      <c r="Y2120" s="8"/>
    </row>
    <row r="2121" spans="1:25" x14ac:dyDescent="0.25">
      <c r="A2121" t="str">
        <f>"12-0481"</f>
        <v>12-0481</v>
      </c>
      <c r="D2121" s="8">
        <v>41199</v>
      </c>
      <c r="F2121" s="8">
        <v>41199</v>
      </c>
      <c r="G2121" s="8">
        <v>41199</v>
      </c>
      <c r="Y2121" s="8"/>
    </row>
    <row r="2122" spans="1:25" x14ac:dyDescent="0.25">
      <c r="A2122" t="str">
        <f>"12-0482"</f>
        <v>12-0482</v>
      </c>
      <c r="D2122" s="8">
        <v>41199</v>
      </c>
      <c r="F2122" s="8">
        <v>41205</v>
      </c>
      <c r="G2122" s="8">
        <v>41201</v>
      </c>
      <c r="Y2122" s="8"/>
    </row>
    <row r="2123" spans="1:25" x14ac:dyDescent="0.25">
      <c r="A2123" t="str">
        <f>"12-0483"</f>
        <v>12-0483</v>
      </c>
      <c r="D2123" s="8">
        <v>41199</v>
      </c>
      <c r="F2123" s="8">
        <v>41199</v>
      </c>
      <c r="G2123" s="8">
        <v>41199</v>
      </c>
      <c r="Y2123" s="8"/>
    </row>
    <row r="2124" spans="1:25" x14ac:dyDescent="0.25">
      <c r="A2124" t="str">
        <f>"12-0484"</f>
        <v>12-0484</v>
      </c>
      <c r="D2124" s="8">
        <v>41199</v>
      </c>
      <c r="F2124" s="8">
        <v>41199</v>
      </c>
      <c r="G2124" s="8">
        <v>41199</v>
      </c>
      <c r="Y2124" s="8"/>
    </row>
    <row r="2125" spans="1:25" x14ac:dyDescent="0.25">
      <c r="A2125" t="str">
        <f>"12-0485"</f>
        <v>12-0485</v>
      </c>
      <c r="D2125" s="8">
        <v>41199</v>
      </c>
      <c r="G2125" s="8">
        <v>41202</v>
      </c>
      <c r="Y2125" s="8"/>
    </row>
    <row r="2126" spans="1:25" x14ac:dyDescent="0.25">
      <c r="A2126" t="str">
        <f>"12-0486"</f>
        <v>12-0486</v>
      </c>
      <c r="D2126" s="8">
        <v>41199</v>
      </c>
      <c r="F2126" s="8">
        <v>41199</v>
      </c>
      <c r="G2126" s="8">
        <v>41199</v>
      </c>
      <c r="Y2126" s="8"/>
    </row>
    <row r="2127" spans="1:25" x14ac:dyDescent="0.25">
      <c r="A2127" t="str">
        <f>"12-0472"</f>
        <v>12-0472</v>
      </c>
      <c r="D2127" s="8">
        <v>41198</v>
      </c>
      <c r="F2127" s="8">
        <v>41198</v>
      </c>
      <c r="G2127" s="8">
        <v>41198</v>
      </c>
      <c r="Y2127" s="8"/>
    </row>
    <row r="2128" spans="1:25" x14ac:dyDescent="0.25">
      <c r="A2128" t="str">
        <f>"12-0473"</f>
        <v>12-0473</v>
      </c>
      <c r="D2128" s="8">
        <v>41198</v>
      </c>
      <c r="F2128" s="8">
        <v>41198</v>
      </c>
      <c r="G2128" s="8">
        <v>41198</v>
      </c>
      <c r="Y2128" s="8"/>
    </row>
    <row r="2129" spans="1:25" x14ac:dyDescent="0.25">
      <c r="A2129" t="str">
        <f>"12-0474"</f>
        <v>12-0474</v>
      </c>
      <c r="D2129" s="8">
        <v>41198</v>
      </c>
      <c r="F2129" s="8">
        <v>41204</v>
      </c>
      <c r="G2129" s="8">
        <v>41201</v>
      </c>
      <c r="Y2129" s="8"/>
    </row>
    <row r="2130" spans="1:25" x14ac:dyDescent="0.25">
      <c r="A2130" t="str">
        <f>"12-0475"</f>
        <v>12-0475</v>
      </c>
      <c r="D2130" s="8">
        <v>41198</v>
      </c>
      <c r="F2130" s="8">
        <v>41198</v>
      </c>
      <c r="G2130" s="8">
        <v>41198</v>
      </c>
      <c r="Y2130" s="8"/>
    </row>
    <row r="2131" spans="1:25" x14ac:dyDescent="0.25">
      <c r="A2131" t="str">
        <f>"12-0476"</f>
        <v>12-0476</v>
      </c>
      <c r="D2131" s="8">
        <v>41198</v>
      </c>
      <c r="F2131" s="8">
        <v>41198</v>
      </c>
      <c r="G2131" s="8">
        <v>41198</v>
      </c>
      <c r="Y2131" s="8"/>
    </row>
    <row r="2132" spans="1:25" x14ac:dyDescent="0.25">
      <c r="A2132" t="str">
        <f>"12-0477"</f>
        <v>12-0477</v>
      </c>
      <c r="D2132" s="8">
        <v>41198</v>
      </c>
      <c r="F2132" s="8">
        <v>41198</v>
      </c>
      <c r="G2132" s="8">
        <v>41198</v>
      </c>
      <c r="Y2132" s="8"/>
    </row>
    <row r="2133" spans="1:25" x14ac:dyDescent="0.25">
      <c r="A2133" t="str">
        <f>"12-0478"</f>
        <v>12-0478</v>
      </c>
      <c r="D2133" s="8">
        <v>41198</v>
      </c>
      <c r="F2133" s="8">
        <v>41324</v>
      </c>
      <c r="G2133" s="8">
        <v>41198</v>
      </c>
      <c r="Y2133" s="8"/>
    </row>
    <row r="2134" spans="1:25" x14ac:dyDescent="0.25">
      <c r="A2134" t="str">
        <f>"12-0479"</f>
        <v>12-0479</v>
      </c>
      <c r="D2134" s="8">
        <v>41198</v>
      </c>
      <c r="F2134" s="8">
        <v>41198</v>
      </c>
      <c r="G2134" s="8">
        <v>41198</v>
      </c>
      <c r="Y2134" s="8"/>
    </row>
    <row r="2135" spans="1:25" x14ac:dyDescent="0.25">
      <c r="A2135" t="str">
        <f>"12-0452B"</f>
        <v>12-0452B</v>
      </c>
      <c r="D2135" s="8">
        <v>41197</v>
      </c>
      <c r="F2135" s="8">
        <v>41197</v>
      </c>
      <c r="G2135" s="8">
        <v>41197</v>
      </c>
      <c r="Y2135" s="8"/>
    </row>
    <row r="2136" spans="1:25" x14ac:dyDescent="0.25">
      <c r="A2136" t="str">
        <f>"12-0471"</f>
        <v>12-0471</v>
      </c>
      <c r="D2136" s="8">
        <v>41197</v>
      </c>
      <c r="F2136" s="8">
        <v>41205</v>
      </c>
      <c r="G2136" s="8">
        <v>41197</v>
      </c>
      <c r="Y2136" s="8"/>
    </row>
    <row r="2137" spans="1:25" x14ac:dyDescent="0.25">
      <c r="A2137" t="str">
        <f>"12-0467"</f>
        <v>12-0467</v>
      </c>
      <c r="D2137" s="8">
        <v>41193</v>
      </c>
      <c r="F2137" s="8">
        <v>41193</v>
      </c>
      <c r="G2137" s="8">
        <v>41193</v>
      </c>
      <c r="Y2137" s="8"/>
    </row>
    <row r="2138" spans="1:25" x14ac:dyDescent="0.25">
      <c r="A2138" t="str">
        <f>"12-0468"</f>
        <v>12-0468</v>
      </c>
      <c r="D2138" s="8">
        <v>41193</v>
      </c>
      <c r="F2138" s="8">
        <v>41193</v>
      </c>
      <c r="G2138" s="8">
        <v>41194</v>
      </c>
      <c r="Y2138" s="8"/>
    </row>
    <row r="2139" spans="1:25" x14ac:dyDescent="0.25">
      <c r="A2139" t="str">
        <f>"12-0469"</f>
        <v>12-0469</v>
      </c>
      <c r="D2139" s="8">
        <v>41193</v>
      </c>
      <c r="F2139" s="8">
        <v>41240</v>
      </c>
      <c r="G2139" s="8">
        <v>41193</v>
      </c>
      <c r="Y2139" s="8"/>
    </row>
    <row r="2140" spans="1:25" x14ac:dyDescent="0.25">
      <c r="A2140" t="str">
        <f>"12-0470"</f>
        <v>12-0470</v>
      </c>
      <c r="D2140" s="8">
        <v>41193</v>
      </c>
      <c r="F2140" s="8">
        <v>41193</v>
      </c>
      <c r="G2140" s="8">
        <v>41193</v>
      </c>
      <c r="Y2140" s="8"/>
    </row>
    <row r="2141" spans="1:25" x14ac:dyDescent="0.25">
      <c r="A2141" t="str">
        <f>"12-0465"</f>
        <v>12-0465</v>
      </c>
      <c r="D2141" s="8">
        <v>41192</v>
      </c>
      <c r="F2141" s="8">
        <v>41192</v>
      </c>
      <c r="G2141" s="8">
        <v>41192</v>
      </c>
      <c r="Y2141" s="8"/>
    </row>
    <row r="2142" spans="1:25" x14ac:dyDescent="0.25">
      <c r="A2142" t="str">
        <f>"12-0466"</f>
        <v>12-0466</v>
      </c>
      <c r="D2142" s="8">
        <v>41192</v>
      </c>
      <c r="F2142" s="8">
        <v>41192</v>
      </c>
      <c r="G2142" s="8">
        <v>41192</v>
      </c>
      <c r="Y2142" s="8"/>
    </row>
    <row r="2143" spans="1:25" x14ac:dyDescent="0.25">
      <c r="A2143" t="str">
        <f>"12-0463"</f>
        <v>12-0463</v>
      </c>
      <c r="D2143" s="8">
        <v>41191</v>
      </c>
      <c r="F2143" s="8">
        <v>41191</v>
      </c>
      <c r="G2143" s="8">
        <v>41191</v>
      </c>
      <c r="Y2143" s="8"/>
    </row>
    <row r="2144" spans="1:25" x14ac:dyDescent="0.25">
      <c r="A2144" t="str">
        <f>"12-0464"</f>
        <v>12-0464</v>
      </c>
      <c r="D2144" s="8">
        <v>41191</v>
      </c>
      <c r="F2144" s="8">
        <v>41191</v>
      </c>
      <c r="G2144" s="8">
        <v>41191</v>
      </c>
      <c r="Y2144" s="8"/>
    </row>
    <row r="2145" spans="1:25" x14ac:dyDescent="0.25">
      <c r="A2145" t="str">
        <f>"12-0462"</f>
        <v>12-0462</v>
      </c>
      <c r="D2145" s="8">
        <v>41190</v>
      </c>
      <c r="F2145" s="8">
        <v>41190</v>
      </c>
      <c r="G2145" s="8">
        <v>41190</v>
      </c>
      <c r="Y2145" s="8"/>
    </row>
    <row r="2146" spans="1:25" x14ac:dyDescent="0.25">
      <c r="A2146" t="str">
        <f>"12-0458"</f>
        <v>12-0458</v>
      </c>
      <c r="D2146" s="8">
        <v>41187</v>
      </c>
      <c r="F2146" s="8">
        <v>41192</v>
      </c>
      <c r="G2146" s="8">
        <v>41187</v>
      </c>
      <c r="Y2146" s="8"/>
    </row>
    <row r="2147" spans="1:25" x14ac:dyDescent="0.25">
      <c r="A2147" t="str">
        <f>"12-0459"</f>
        <v>12-0459</v>
      </c>
      <c r="D2147" s="8">
        <v>41187</v>
      </c>
      <c r="F2147" s="8">
        <v>41187</v>
      </c>
      <c r="G2147" s="8">
        <v>41187</v>
      </c>
      <c r="Y2147" s="8"/>
    </row>
    <row r="2148" spans="1:25" x14ac:dyDescent="0.25">
      <c r="A2148" t="str">
        <f>"12-0461"</f>
        <v>12-0461</v>
      </c>
      <c r="D2148" s="8">
        <v>41187</v>
      </c>
      <c r="F2148" s="8">
        <v>41187</v>
      </c>
      <c r="G2148" s="8">
        <v>41187</v>
      </c>
      <c r="Y2148" s="8"/>
    </row>
    <row r="2149" spans="1:25" x14ac:dyDescent="0.25">
      <c r="A2149" t="str">
        <f>"12-0351B"</f>
        <v>12-0351B</v>
      </c>
      <c r="D2149" s="8">
        <v>41186</v>
      </c>
      <c r="F2149" s="8">
        <v>41190</v>
      </c>
      <c r="G2149" s="8">
        <v>41186</v>
      </c>
      <c r="Y2149" s="8"/>
    </row>
    <row r="2150" spans="1:25" x14ac:dyDescent="0.25">
      <c r="A2150" t="str">
        <f>"12-0457"</f>
        <v>12-0457</v>
      </c>
      <c r="D2150" s="8">
        <v>41186</v>
      </c>
      <c r="F2150" s="8">
        <v>41186</v>
      </c>
      <c r="G2150" s="8">
        <v>41186</v>
      </c>
      <c r="Y2150" s="8"/>
    </row>
    <row r="2151" spans="1:25" x14ac:dyDescent="0.25">
      <c r="A2151" t="str">
        <f>"12-0453"</f>
        <v>12-0453</v>
      </c>
      <c r="D2151" s="8">
        <v>41185</v>
      </c>
      <c r="F2151" s="8">
        <v>41185</v>
      </c>
      <c r="G2151" s="8">
        <v>41185</v>
      </c>
      <c r="Y2151" s="8"/>
    </row>
    <row r="2152" spans="1:25" x14ac:dyDescent="0.25">
      <c r="A2152" t="str">
        <f>"12-0454"</f>
        <v>12-0454</v>
      </c>
      <c r="D2152" s="8">
        <v>41185</v>
      </c>
      <c r="F2152" s="8">
        <v>41185</v>
      </c>
      <c r="G2152" s="8">
        <v>41185</v>
      </c>
      <c r="Y2152" s="8"/>
    </row>
    <row r="2153" spans="1:25" x14ac:dyDescent="0.25">
      <c r="A2153" t="str">
        <f>"12-0455"</f>
        <v>12-0455</v>
      </c>
      <c r="D2153" s="8">
        <v>41185</v>
      </c>
      <c r="F2153" s="8">
        <v>41185</v>
      </c>
      <c r="G2153" s="8">
        <v>41185</v>
      </c>
      <c r="Y2153" s="8"/>
    </row>
    <row r="2154" spans="1:25" x14ac:dyDescent="0.25">
      <c r="A2154" t="str">
        <f>"12-0456"</f>
        <v>12-0456</v>
      </c>
      <c r="D2154" s="8">
        <v>41185</v>
      </c>
      <c r="F2154" s="8">
        <v>41186</v>
      </c>
      <c r="G2154" s="8">
        <v>41185</v>
      </c>
      <c r="Y2154" s="8"/>
    </row>
    <row r="2155" spans="1:25" x14ac:dyDescent="0.25">
      <c r="A2155" t="str">
        <f>"12-0450"</f>
        <v>12-0450</v>
      </c>
      <c r="D2155" s="8">
        <v>41184</v>
      </c>
      <c r="F2155" s="8">
        <v>41192</v>
      </c>
      <c r="G2155" s="8">
        <v>41184</v>
      </c>
      <c r="Y2155" s="8"/>
    </row>
    <row r="2156" spans="1:25" x14ac:dyDescent="0.25">
      <c r="A2156" t="str">
        <f>"12-0451"</f>
        <v>12-0451</v>
      </c>
      <c r="D2156" s="8">
        <v>41184</v>
      </c>
      <c r="F2156" s="8">
        <v>41246</v>
      </c>
      <c r="G2156" s="8">
        <v>41184</v>
      </c>
      <c r="Y2156" s="8"/>
    </row>
    <row r="2157" spans="1:25" x14ac:dyDescent="0.25">
      <c r="A2157" t="str">
        <f>"12-0452"</f>
        <v>12-0452</v>
      </c>
      <c r="D2157" s="8">
        <v>41184</v>
      </c>
      <c r="F2157" s="8">
        <v>41184</v>
      </c>
      <c r="G2157" s="8">
        <v>41184</v>
      </c>
      <c r="Y2157" s="8"/>
    </row>
    <row r="2158" spans="1:25" x14ac:dyDescent="0.25">
      <c r="A2158" t="str">
        <f>"12-0447"</f>
        <v>12-0447</v>
      </c>
      <c r="D2158" s="8">
        <v>41183</v>
      </c>
      <c r="F2158" s="8">
        <v>41183</v>
      </c>
      <c r="G2158" s="8">
        <v>41183</v>
      </c>
      <c r="Y2158" s="8"/>
    </row>
    <row r="2159" spans="1:25" x14ac:dyDescent="0.25">
      <c r="A2159" t="str">
        <f>"12-0448"</f>
        <v>12-0448</v>
      </c>
      <c r="D2159" s="8">
        <v>41183</v>
      </c>
      <c r="F2159" s="8">
        <v>41193</v>
      </c>
      <c r="G2159" s="8">
        <v>41183</v>
      </c>
      <c r="Y2159" s="8"/>
    </row>
    <row r="2160" spans="1:25" x14ac:dyDescent="0.25">
      <c r="A2160" t="str">
        <f>"12-0449"</f>
        <v>12-0449</v>
      </c>
      <c r="D2160" s="8">
        <v>41183</v>
      </c>
      <c r="F2160" s="8">
        <v>41183</v>
      </c>
      <c r="G2160" s="8">
        <v>41183</v>
      </c>
      <c r="Y2160" s="8"/>
    </row>
    <row r="2161" spans="1:25" x14ac:dyDescent="0.25">
      <c r="A2161" t="str">
        <f>"12-0445"</f>
        <v>12-0445</v>
      </c>
      <c r="D2161" s="8">
        <v>41180</v>
      </c>
      <c r="F2161" s="8">
        <v>41180</v>
      </c>
      <c r="G2161" s="8">
        <v>41180</v>
      </c>
      <c r="Y2161" s="8"/>
    </row>
    <row r="2162" spans="1:25" x14ac:dyDescent="0.25">
      <c r="A2162" t="str">
        <f>"12-0446"</f>
        <v>12-0446</v>
      </c>
      <c r="D2162" s="8">
        <v>41180</v>
      </c>
      <c r="F2162" s="8">
        <v>41304</v>
      </c>
      <c r="G2162" s="8">
        <v>41180</v>
      </c>
      <c r="Y2162" s="8"/>
    </row>
    <row r="2163" spans="1:25" x14ac:dyDescent="0.25">
      <c r="A2163" t="str">
        <f>"12-0443"</f>
        <v>12-0443</v>
      </c>
      <c r="D2163" s="8">
        <v>41179</v>
      </c>
      <c r="F2163" s="8">
        <v>41191</v>
      </c>
      <c r="G2163" s="8">
        <v>41179</v>
      </c>
      <c r="Y2163" s="8"/>
    </row>
    <row r="2164" spans="1:25" x14ac:dyDescent="0.25">
      <c r="A2164" t="str">
        <f>"12-0444"</f>
        <v>12-0444</v>
      </c>
      <c r="D2164" s="8">
        <v>41179</v>
      </c>
      <c r="F2164" s="8">
        <v>41179</v>
      </c>
      <c r="G2164" s="8">
        <v>41179</v>
      </c>
      <c r="Y2164" s="8"/>
    </row>
    <row r="2165" spans="1:25" x14ac:dyDescent="0.25">
      <c r="A2165" t="str">
        <f>"12-0321B"</f>
        <v>12-0321B</v>
      </c>
      <c r="D2165" s="8">
        <v>41178</v>
      </c>
      <c r="F2165" s="8">
        <v>41178</v>
      </c>
      <c r="G2165" s="8">
        <v>41178</v>
      </c>
      <c r="Y2165" s="8"/>
    </row>
    <row r="2166" spans="1:25" x14ac:dyDescent="0.25">
      <c r="A2166" t="str">
        <f>"12-0441"</f>
        <v>12-0441</v>
      </c>
      <c r="D2166" s="8">
        <v>41178</v>
      </c>
      <c r="F2166" s="8">
        <v>41178</v>
      </c>
      <c r="G2166" s="8">
        <v>41178</v>
      </c>
      <c r="Y2166" s="8"/>
    </row>
    <row r="2167" spans="1:25" x14ac:dyDescent="0.25">
      <c r="A2167" t="str">
        <f>"12-0442"</f>
        <v>12-0442</v>
      </c>
      <c r="D2167" s="8">
        <v>41178</v>
      </c>
      <c r="F2167" s="8">
        <v>41178</v>
      </c>
      <c r="G2167" s="8">
        <v>41178</v>
      </c>
      <c r="Y2167" s="8"/>
    </row>
    <row r="2168" spans="1:25" x14ac:dyDescent="0.25">
      <c r="A2168" t="str">
        <f>"12-0440"</f>
        <v>12-0440</v>
      </c>
      <c r="D2168" s="8">
        <v>41177</v>
      </c>
      <c r="F2168" s="8">
        <v>41177</v>
      </c>
      <c r="G2168" s="8">
        <v>41177</v>
      </c>
      <c r="Y2168" s="8"/>
    </row>
    <row r="2169" spans="1:25" x14ac:dyDescent="0.25">
      <c r="A2169" t="str">
        <f>"12-0438"</f>
        <v>12-0438</v>
      </c>
      <c r="D2169" s="8">
        <v>41176</v>
      </c>
      <c r="G2169" s="8">
        <v>41176</v>
      </c>
      <c r="Y2169" s="8"/>
    </row>
    <row r="2170" spans="1:25" x14ac:dyDescent="0.25">
      <c r="A2170" t="str">
        <f>"12-0439"</f>
        <v>12-0439</v>
      </c>
      <c r="D2170" s="8">
        <v>41176</v>
      </c>
      <c r="F2170" s="8">
        <v>41176</v>
      </c>
      <c r="G2170" s="8">
        <v>41176</v>
      </c>
      <c r="Y2170" s="8"/>
    </row>
    <row r="2171" spans="1:25" x14ac:dyDescent="0.25">
      <c r="A2171" t="str">
        <f>"12-0349B"</f>
        <v>12-0349B</v>
      </c>
      <c r="D2171" s="8">
        <v>41172</v>
      </c>
      <c r="F2171" s="8">
        <v>41235</v>
      </c>
      <c r="G2171" s="8">
        <v>41172</v>
      </c>
      <c r="Y2171" s="8"/>
    </row>
    <row r="2172" spans="1:25" x14ac:dyDescent="0.25">
      <c r="A2172" t="str">
        <f>"12-0436"</f>
        <v>12-0436</v>
      </c>
      <c r="D2172" s="8">
        <v>41172</v>
      </c>
      <c r="F2172" s="8">
        <v>41172</v>
      </c>
      <c r="G2172" s="8">
        <v>41172</v>
      </c>
      <c r="Y2172" s="8"/>
    </row>
    <row r="2173" spans="1:25" x14ac:dyDescent="0.25">
      <c r="A2173" t="str">
        <f>"12-0437"</f>
        <v>12-0437</v>
      </c>
      <c r="D2173" s="8">
        <v>41172</v>
      </c>
      <c r="F2173" s="8">
        <v>41176</v>
      </c>
      <c r="G2173" s="8">
        <v>41172</v>
      </c>
      <c r="Y2173" s="8"/>
    </row>
    <row r="2174" spans="1:25" x14ac:dyDescent="0.25">
      <c r="A2174" t="str">
        <f>"12-0405B"</f>
        <v>12-0405B</v>
      </c>
      <c r="D2174" s="8">
        <v>41171</v>
      </c>
      <c r="F2174" s="8">
        <v>41694</v>
      </c>
      <c r="G2174" s="8">
        <v>41171</v>
      </c>
      <c r="Y2174" s="8"/>
    </row>
    <row r="2175" spans="1:25" x14ac:dyDescent="0.25">
      <c r="A2175" t="str">
        <f>"12-0427"</f>
        <v>12-0427</v>
      </c>
      <c r="D2175" s="8">
        <v>41171</v>
      </c>
      <c r="F2175" s="8">
        <v>41171</v>
      </c>
      <c r="G2175" s="8">
        <v>41171</v>
      </c>
      <c r="Y2175" s="8"/>
    </row>
    <row r="2176" spans="1:25" x14ac:dyDescent="0.25">
      <c r="A2176" t="str">
        <f>"12-0428"</f>
        <v>12-0428</v>
      </c>
      <c r="D2176" s="8">
        <v>41171</v>
      </c>
      <c r="F2176" s="8">
        <v>41171</v>
      </c>
      <c r="G2176" s="8">
        <v>41171</v>
      </c>
      <c r="Y2176" s="8"/>
    </row>
    <row r="2177" spans="1:25" x14ac:dyDescent="0.25">
      <c r="A2177" t="str">
        <f>"12-0429"</f>
        <v>12-0429</v>
      </c>
      <c r="D2177" s="8">
        <v>41171</v>
      </c>
      <c r="F2177" s="8">
        <v>42076</v>
      </c>
      <c r="G2177" s="8">
        <v>41152</v>
      </c>
      <c r="Y2177" s="8"/>
    </row>
    <row r="2178" spans="1:25" x14ac:dyDescent="0.25">
      <c r="A2178" t="str">
        <f>"12-0430"</f>
        <v>12-0430</v>
      </c>
      <c r="D2178" s="8">
        <v>41171</v>
      </c>
      <c r="F2178" s="8">
        <v>41171</v>
      </c>
      <c r="G2178" s="8">
        <v>41171</v>
      </c>
      <c r="Y2178" s="8"/>
    </row>
    <row r="2179" spans="1:25" x14ac:dyDescent="0.25">
      <c r="A2179" t="str">
        <f>"12-0431"</f>
        <v>12-0431</v>
      </c>
      <c r="D2179" s="8">
        <v>41171</v>
      </c>
      <c r="F2179" s="8">
        <v>41171</v>
      </c>
      <c r="G2179" s="8">
        <v>41171</v>
      </c>
      <c r="Y2179" s="8"/>
    </row>
    <row r="2180" spans="1:25" x14ac:dyDescent="0.25">
      <c r="A2180" t="str">
        <f>"12-0432"</f>
        <v>12-0432</v>
      </c>
      <c r="D2180" s="8">
        <v>41171</v>
      </c>
      <c r="F2180" s="8">
        <v>41171</v>
      </c>
      <c r="G2180" s="8">
        <v>41177</v>
      </c>
      <c r="Y2180" s="8"/>
    </row>
    <row r="2181" spans="1:25" x14ac:dyDescent="0.25">
      <c r="A2181" t="str">
        <f>"12-0433"</f>
        <v>12-0433</v>
      </c>
      <c r="D2181" s="8">
        <v>41171</v>
      </c>
      <c r="F2181" s="8">
        <v>41176</v>
      </c>
      <c r="G2181" s="8">
        <v>41171</v>
      </c>
      <c r="Y2181" s="8"/>
    </row>
    <row r="2182" spans="1:25" x14ac:dyDescent="0.25">
      <c r="A2182" t="str">
        <f>"12-0434"</f>
        <v>12-0434</v>
      </c>
      <c r="D2182" s="8">
        <v>41171</v>
      </c>
      <c r="F2182" s="8">
        <v>41171</v>
      </c>
      <c r="G2182" s="8">
        <v>41171</v>
      </c>
      <c r="Y2182" s="8"/>
    </row>
    <row r="2183" spans="1:25" x14ac:dyDescent="0.25">
      <c r="A2183" t="str">
        <f>"12-0435"</f>
        <v>12-0435</v>
      </c>
      <c r="D2183" s="8">
        <v>41171</v>
      </c>
      <c r="F2183" s="8">
        <v>41171</v>
      </c>
      <c r="G2183" s="8">
        <v>41171</v>
      </c>
      <c r="Y2183" s="8"/>
    </row>
    <row r="2184" spans="1:25" x14ac:dyDescent="0.25">
      <c r="A2184" t="str">
        <f>"12-0414B"</f>
        <v>12-0414B</v>
      </c>
      <c r="D2184" s="8">
        <v>41170</v>
      </c>
      <c r="F2184" s="8">
        <v>41176</v>
      </c>
      <c r="G2184" s="8">
        <v>41170</v>
      </c>
      <c r="Y2184" s="8"/>
    </row>
    <row r="2185" spans="1:25" x14ac:dyDescent="0.25">
      <c r="A2185" t="str">
        <f>"12-0424"</f>
        <v>12-0424</v>
      </c>
      <c r="D2185" s="8">
        <v>41170</v>
      </c>
      <c r="F2185" s="8">
        <v>41170</v>
      </c>
      <c r="G2185" s="8">
        <v>41152</v>
      </c>
      <c r="Y2185" s="8"/>
    </row>
    <row r="2186" spans="1:25" x14ac:dyDescent="0.25">
      <c r="A2186" t="str">
        <f>"12-0425"</f>
        <v>12-0425</v>
      </c>
      <c r="D2186" s="8">
        <v>41170</v>
      </c>
      <c r="F2186" s="8">
        <v>41170</v>
      </c>
      <c r="G2186" s="8">
        <v>41152</v>
      </c>
      <c r="Y2186" s="8"/>
    </row>
    <row r="2187" spans="1:25" x14ac:dyDescent="0.25">
      <c r="A2187" t="str">
        <f>"12-0426"</f>
        <v>12-0426</v>
      </c>
      <c r="D2187" s="8">
        <v>41170</v>
      </c>
      <c r="G2187" s="8">
        <v>41176</v>
      </c>
      <c r="Y2187" s="8"/>
    </row>
    <row r="2188" spans="1:25" x14ac:dyDescent="0.25">
      <c r="A2188" t="str">
        <f>"12-0421"</f>
        <v>12-0421</v>
      </c>
      <c r="D2188" s="8">
        <v>41169</v>
      </c>
      <c r="F2188" s="8">
        <v>41169</v>
      </c>
      <c r="G2188" s="8">
        <v>41169</v>
      </c>
      <c r="Y2188" s="8"/>
    </row>
    <row r="2189" spans="1:25" x14ac:dyDescent="0.25">
      <c r="A2189" t="str">
        <f>"12-0422"</f>
        <v>12-0422</v>
      </c>
      <c r="D2189" s="8">
        <v>41169</v>
      </c>
      <c r="F2189" s="8">
        <v>41169</v>
      </c>
      <c r="G2189" s="8">
        <v>41169</v>
      </c>
      <c r="Y2189" s="8"/>
    </row>
    <row r="2190" spans="1:25" x14ac:dyDescent="0.25">
      <c r="A2190" t="str">
        <f>"12-0423"</f>
        <v>12-0423</v>
      </c>
      <c r="D2190" s="8">
        <v>41169</v>
      </c>
      <c r="F2190" s="8">
        <v>41169</v>
      </c>
      <c r="G2190" s="8">
        <v>41169</v>
      </c>
      <c r="Y2190" s="8"/>
    </row>
    <row r="2191" spans="1:25" x14ac:dyDescent="0.25">
      <c r="A2191" t="str">
        <f>"12-0418"</f>
        <v>12-0418</v>
      </c>
      <c r="D2191" s="8">
        <v>41165</v>
      </c>
      <c r="F2191" s="8">
        <v>41165</v>
      </c>
      <c r="G2191" s="8">
        <v>41165</v>
      </c>
      <c r="Y2191" s="8"/>
    </row>
    <row r="2192" spans="1:25" x14ac:dyDescent="0.25">
      <c r="A2192" t="str">
        <f>"12-0419"</f>
        <v>12-0419</v>
      </c>
      <c r="D2192" s="8">
        <v>41165</v>
      </c>
      <c r="F2192" s="8">
        <v>41165</v>
      </c>
      <c r="G2192" s="8">
        <v>41165</v>
      </c>
      <c r="Y2192" s="8"/>
    </row>
    <row r="2193" spans="1:25" x14ac:dyDescent="0.25">
      <c r="A2193" t="str">
        <f>"12-0420"</f>
        <v>12-0420</v>
      </c>
      <c r="D2193" s="8">
        <v>41165</v>
      </c>
      <c r="F2193" s="8">
        <v>41165</v>
      </c>
      <c r="G2193" s="8">
        <v>41165</v>
      </c>
      <c r="Y2193" s="8"/>
    </row>
    <row r="2194" spans="1:25" x14ac:dyDescent="0.25">
      <c r="A2194" t="str">
        <f>"12-0414"</f>
        <v>12-0414</v>
      </c>
      <c r="D2194" s="8">
        <v>41164</v>
      </c>
      <c r="F2194" s="8">
        <v>41164</v>
      </c>
      <c r="G2194" s="8">
        <v>41164</v>
      </c>
      <c r="Y2194" s="8"/>
    </row>
    <row r="2195" spans="1:25" x14ac:dyDescent="0.25">
      <c r="A2195" t="str">
        <f>"12-0415"</f>
        <v>12-0415</v>
      </c>
      <c r="D2195" s="8">
        <v>41164</v>
      </c>
      <c r="F2195" s="8">
        <v>41164</v>
      </c>
      <c r="G2195" s="8">
        <v>41164</v>
      </c>
      <c r="Y2195" s="8"/>
    </row>
    <row r="2196" spans="1:25" x14ac:dyDescent="0.25">
      <c r="A2196" t="str">
        <f>"12-0416"</f>
        <v>12-0416</v>
      </c>
      <c r="D2196" s="8">
        <v>41164</v>
      </c>
      <c r="F2196" s="8">
        <v>41164</v>
      </c>
      <c r="G2196" s="8">
        <v>41164</v>
      </c>
      <c r="Y2196" s="8"/>
    </row>
    <row r="2197" spans="1:25" x14ac:dyDescent="0.25">
      <c r="A2197" t="str">
        <f>"12-0417"</f>
        <v>12-0417</v>
      </c>
      <c r="D2197" s="8">
        <v>41164</v>
      </c>
      <c r="F2197" s="8">
        <v>41164</v>
      </c>
      <c r="G2197" s="8">
        <v>41164</v>
      </c>
      <c r="Y2197" s="8"/>
    </row>
    <row r="2198" spans="1:25" x14ac:dyDescent="0.25">
      <c r="A2198" t="str">
        <f>"12-0412"</f>
        <v>12-0412</v>
      </c>
      <c r="D2198" s="8">
        <v>41162</v>
      </c>
      <c r="F2198" s="8">
        <v>41162</v>
      </c>
      <c r="G2198" s="8">
        <v>41162</v>
      </c>
      <c r="Y2198" s="8"/>
    </row>
    <row r="2199" spans="1:25" x14ac:dyDescent="0.25">
      <c r="A2199" t="str">
        <f>"12-0413"</f>
        <v>12-0413</v>
      </c>
      <c r="D2199" s="8">
        <v>41162</v>
      </c>
      <c r="F2199" s="8">
        <v>41568</v>
      </c>
      <c r="G2199" s="8">
        <v>41162</v>
      </c>
      <c r="Y2199" s="8"/>
    </row>
    <row r="2200" spans="1:25" x14ac:dyDescent="0.25">
      <c r="A2200" t="str">
        <f>"12-0410"</f>
        <v>12-0410</v>
      </c>
      <c r="D2200" s="8">
        <v>41159</v>
      </c>
      <c r="F2200" s="8">
        <v>41170</v>
      </c>
      <c r="G2200" s="8">
        <v>41162</v>
      </c>
      <c r="Y2200" s="8"/>
    </row>
    <row r="2201" spans="1:25" x14ac:dyDescent="0.25">
      <c r="A2201" t="str">
        <f>"12-0411"</f>
        <v>12-0411</v>
      </c>
      <c r="D2201" s="8">
        <v>41159</v>
      </c>
      <c r="F2201" s="8">
        <v>41159</v>
      </c>
      <c r="G2201" s="8">
        <v>41159</v>
      </c>
      <c r="Y2201" s="8"/>
    </row>
    <row r="2202" spans="1:25" x14ac:dyDescent="0.25">
      <c r="A2202" t="str">
        <f>"12-0406B"</f>
        <v>12-0406B</v>
      </c>
      <c r="D2202" s="8">
        <v>41158</v>
      </c>
      <c r="F2202" s="8">
        <v>41158</v>
      </c>
      <c r="G2202" s="8">
        <v>41158</v>
      </c>
      <c r="Y2202" s="8"/>
    </row>
    <row r="2203" spans="1:25" x14ac:dyDescent="0.25">
      <c r="A2203" t="str">
        <f>"12-0408"</f>
        <v>12-0408</v>
      </c>
      <c r="D2203" s="8">
        <v>41158</v>
      </c>
      <c r="F2203" s="8">
        <v>41158</v>
      </c>
      <c r="G2203" s="8">
        <v>41158</v>
      </c>
      <c r="Y2203" s="8"/>
    </row>
    <row r="2204" spans="1:25" x14ac:dyDescent="0.25">
      <c r="A2204" t="str">
        <f>"12-0409"</f>
        <v>12-0409</v>
      </c>
      <c r="D2204" s="8">
        <v>41158</v>
      </c>
      <c r="F2204" s="8">
        <v>41158</v>
      </c>
      <c r="G2204" s="8">
        <v>41158</v>
      </c>
      <c r="Y2204" s="8"/>
    </row>
    <row r="2205" spans="1:25" x14ac:dyDescent="0.25">
      <c r="A2205" t="str">
        <f>"12-0403"</f>
        <v>12-0403</v>
      </c>
      <c r="D2205" s="8">
        <v>41157</v>
      </c>
      <c r="F2205" s="8">
        <v>41157</v>
      </c>
      <c r="G2205" s="8">
        <v>41157</v>
      </c>
      <c r="Y2205" s="8"/>
    </row>
    <row r="2206" spans="1:25" x14ac:dyDescent="0.25">
      <c r="A2206" t="str">
        <f>"12-0404"</f>
        <v>12-0404</v>
      </c>
      <c r="D2206" s="8">
        <v>41157</v>
      </c>
      <c r="F2206" s="8">
        <v>41157</v>
      </c>
      <c r="G2206" s="8">
        <v>41157</v>
      </c>
      <c r="Y2206" s="8"/>
    </row>
    <row r="2207" spans="1:25" x14ac:dyDescent="0.25">
      <c r="A2207" t="str">
        <f>"12-0405"</f>
        <v>12-0405</v>
      </c>
      <c r="D2207" s="8">
        <v>41157</v>
      </c>
      <c r="F2207" s="8">
        <v>41158</v>
      </c>
      <c r="G2207" s="8">
        <v>41158</v>
      </c>
      <c r="Y2207" s="8"/>
    </row>
    <row r="2208" spans="1:25" x14ac:dyDescent="0.25">
      <c r="A2208" t="str">
        <f>"12-0406"</f>
        <v>12-0406</v>
      </c>
      <c r="D2208" s="8">
        <v>41157</v>
      </c>
      <c r="F2208" s="8">
        <v>41158</v>
      </c>
      <c r="G2208" s="8">
        <v>41157</v>
      </c>
      <c r="Y2208" s="8"/>
    </row>
    <row r="2209" spans="1:25" x14ac:dyDescent="0.25">
      <c r="A2209" t="str">
        <f>"12-0407"</f>
        <v>12-0407</v>
      </c>
      <c r="D2209" s="8">
        <v>41157</v>
      </c>
      <c r="F2209" s="8">
        <v>41157</v>
      </c>
      <c r="G2209" s="8">
        <v>41157</v>
      </c>
      <c r="Y2209" s="8"/>
    </row>
    <row r="2210" spans="1:25" x14ac:dyDescent="0.25">
      <c r="A2210" t="str">
        <f>"12-0397B"</f>
        <v>12-0397B</v>
      </c>
      <c r="D2210" s="8">
        <v>41156</v>
      </c>
      <c r="F2210" s="8">
        <v>41614</v>
      </c>
      <c r="G2210" s="8">
        <v>41156</v>
      </c>
      <c r="Y2210" s="8"/>
    </row>
    <row r="2211" spans="1:25" x14ac:dyDescent="0.25">
      <c r="A2211" t="str">
        <f>"12-0401"</f>
        <v>12-0401</v>
      </c>
      <c r="D2211" s="8">
        <v>41156</v>
      </c>
      <c r="F2211" s="8">
        <v>41156</v>
      </c>
      <c r="G2211" s="8">
        <v>41156</v>
      </c>
      <c r="Y2211" s="8"/>
    </row>
    <row r="2212" spans="1:25" x14ac:dyDescent="0.25">
      <c r="A2212" t="str">
        <f>"12-0402"</f>
        <v>12-0402</v>
      </c>
      <c r="D2212" s="8">
        <v>41156</v>
      </c>
      <c r="F2212" s="8">
        <v>41156</v>
      </c>
      <c r="G2212" s="8">
        <v>41156</v>
      </c>
      <c r="Y2212" s="8"/>
    </row>
    <row r="2213" spans="1:25" x14ac:dyDescent="0.25">
      <c r="A2213" t="str">
        <f>"12-0381-B"</f>
        <v>12-0381-B</v>
      </c>
      <c r="D2213" s="8">
        <v>41152</v>
      </c>
      <c r="F2213" s="8">
        <v>41152</v>
      </c>
      <c r="G2213" s="8">
        <v>41152</v>
      </c>
      <c r="Y2213" s="8"/>
    </row>
    <row r="2214" spans="1:25" x14ac:dyDescent="0.25">
      <c r="A2214" t="str">
        <f>"12-0400"</f>
        <v>12-0400</v>
      </c>
      <c r="D2214" s="8">
        <v>41152</v>
      </c>
      <c r="F2214" s="8">
        <v>41152</v>
      </c>
      <c r="G2214" s="8">
        <v>41152</v>
      </c>
      <c r="Y2214" s="8"/>
    </row>
    <row r="2215" spans="1:25" x14ac:dyDescent="0.25">
      <c r="A2215" t="str">
        <f>"12-0392"</f>
        <v>12-0392</v>
      </c>
      <c r="D2215" s="8">
        <v>41151</v>
      </c>
      <c r="F2215" s="8">
        <v>41242</v>
      </c>
      <c r="G2215" s="8">
        <v>41151</v>
      </c>
      <c r="Y2215" s="8"/>
    </row>
    <row r="2216" spans="1:25" x14ac:dyDescent="0.25">
      <c r="A2216" t="str">
        <f>"12-0393"</f>
        <v>12-0393</v>
      </c>
      <c r="D2216" s="8">
        <v>41151</v>
      </c>
      <c r="F2216" s="8">
        <v>41151</v>
      </c>
      <c r="G2216" s="8">
        <v>41151</v>
      </c>
      <c r="Y2216" s="8"/>
    </row>
    <row r="2217" spans="1:25" x14ac:dyDescent="0.25">
      <c r="A2217" t="str">
        <f>"12-0394"</f>
        <v>12-0394</v>
      </c>
      <c r="D2217" s="8">
        <v>41151</v>
      </c>
      <c r="F2217" s="8">
        <v>41151</v>
      </c>
      <c r="G2217" s="8">
        <v>41151</v>
      </c>
      <c r="Y2217" s="8"/>
    </row>
    <row r="2218" spans="1:25" x14ac:dyDescent="0.25">
      <c r="A2218" t="str">
        <f>"12-0395"</f>
        <v>12-0395</v>
      </c>
      <c r="D2218" s="8">
        <v>41151</v>
      </c>
      <c r="F2218" s="8">
        <v>41151</v>
      </c>
      <c r="G2218" s="8">
        <v>41151</v>
      </c>
      <c r="Y2218" s="8"/>
    </row>
    <row r="2219" spans="1:25" x14ac:dyDescent="0.25">
      <c r="A2219" t="str">
        <f>"12-0396"</f>
        <v>12-0396</v>
      </c>
      <c r="D2219" s="8">
        <v>41151</v>
      </c>
      <c r="F2219" s="8">
        <v>41152</v>
      </c>
      <c r="G2219" s="8">
        <v>41152</v>
      </c>
      <c r="Y2219" s="8"/>
    </row>
    <row r="2220" spans="1:25" x14ac:dyDescent="0.25">
      <c r="A2220" t="str">
        <f>"12-0397"</f>
        <v>12-0397</v>
      </c>
      <c r="D2220" s="8">
        <v>41151</v>
      </c>
      <c r="F2220" s="8">
        <v>41155</v>
      </c>
      <c r="G2220" s="8">
        <v>41152</v>
      </c>
      <c r="Y2220" s="8"/>
    </row>
    <row r="2221" spans="1:25" x14ac:dyDescent="0.25">
      <c r="A2221" t="str">
        <f>"12-0398"</f>
        <v>12-0398</v>
      </c>
      <c r="D2221" s="8">
        <v>41151</v>
      </c>
      <c r="F2221" s="8">
        <v>41151</v>
      </c>
      <c r="G2221" s="8">
        <v>41145</v>
      </c>
      <c r="Y2221" s="8"/>
    </row>
    <row r="2222" spans="1:25" x14ac:dyDescent="0.25">
      <c r="A2222" t="str">
        <f>"12-0399"</f>
        <v>12-0399</v>
      </c>
      <c r="D2222" s="8">
        <v>41151</v>
      </c>
      <c r="F2222" s="8">
        <v>41151</v>
      </c>
      <c r="G2222" s="8">
        <v>41151</v>
      </c>
      <c r="Y2222" s="8"/>
    </row>
    <row r="2223" spans="1:25" x14ac:dyDescent="0.25">
      <c r="A2223" t="str">
        <f>"12-0388"</f>
        <v>12-0388</v>
      </c>
      <c r="D2223" s="8">
        <v>41150</v>
      </c>
      <c r="F2223" s="8">
        <v>41150</v>
      </c>
      <c r="G2223" s="8">
        <v>41150</v>
      </c>
      <c r="Y2223" s="8"/>
    </row>
    <row r="2224" spans="1:25" x14ac:dyDescent="0.25">
      <c r="A2224" t="str">
        <f>"12-0389"</f>
        <v>12-0389</v>
      </c>
      <c r="D2224" s="8">
        <v>41150</v>
      </c>
      <c r="F2224" s="8">
        <v>41150</v>
      </c>
      <c r="G2224" s="8">
        <v>41150</v>
      </c>
      <c r="Y2224" s="8"/>
    </row>
    <row r="2225" spans="1:25" x14ac:dyDescent="0.25">
      <c r="A2225" t="str">
        <f>"12-0390"</f>
        <v>12-0390</v>
      </c>
      <c r="D2225" s="8">
        <v>41150</v>
      </c>
      <c r="F2225" s="8">
        <v>41150</v>
      </c>
      <c r="G2225" s="8">
        <v>41150</v>
      </c>
      <c r="Y2225" s="8"/>
    </row>
    <row r="2226" spans="1:25" x14ac:dyDescent="0.25">
      <c r="A2226" t="str">
        <f>"12-0391"</f>
        <v>12-0391</v>
      </c>
      <c r="D2226" s="8">
        <v>41150</v>
      </c>
      <c r="F2226" s="8">
        <v>41150</v>
      </c>
      <c r="G2226" s="8">
        <v>41150</v>
      </c>
      <c r="Y2226" s="8"/>
    </row>
    <row r="2227" spans="1:25" x14ac:dyDescent="0.25">
      <c r="A2227" t="str">
        <f>"12-0387"</f>
        <v>12-0387</v>
      </c>
      <c r="D2227" s="8">
        <v>41149</v>
      </c>
      <c r="F2227" s="8">
        <v>41149</v>
      </c>
      <c r="G2227" s="8">
        <v>41149</v>
      </c>
      <c r="Y2227" s="8"/>
    </row>
    <row r="2228" spans="1:25" x14ac:dyDescent="0.25">
      <c r="A2228" t="str">
        <f>"12-0386"</f>
        <v>12-0386</v>
      </c>
      <c r="D2228" s="8">
        <v>41145</v>
      </c>
      <c r="F2228" s="8">
        <v>41145</v>
      </c>
      <c r="G2228" s="8">
        <v>41145</v>
      </c>
      <c r="Y2228" s="8"/>
    </row>
    <row r="2229" spans="1:25" x14ac:dyDescent="0.25">
      <c r="A2229" t="str">
        <f>"12-0384"</f>
        <v>12-0384</v>
      </c>
      <c r="D2229" s="8">
        <v>41144</v>
      </c>
      <c r="F2229" s="8">
        <v>41144</v>
      </c>
      <c r="G2229" s="8">
        <v>41144</v>
      </c>
      <c r="Y2229" s="8"/>
    </row>
    <row r="2230" spans="1:25" x14ac:dyDescent="0.25">
      <c r="A2230" t="str">
        <f>"12-0385"</f>
        <v>12-0385</v>
      </c>
      <c r="D2230" s="8">
        <v>41144</v>
      </c>
      <c r="F2230" s="8">
        <v>41144</v>
      </c>
      <c r="G2230" s="8">
        <v>41144</v>
      </c>
      <c r="Y2230" s="8"/>
    </row>
    <row r="2231" spans="1:25" x14ac:dyDescent="0.25">
      <c r="A2231" t="str">
        <f>"12-0382"</f>
        <v>12-0382</v>
      </c>
      <c r="D2231" s="8">
        <v>41143</v>
      </c>
      <c r="F2231" s="8">
        <v>41143</v>
      </c>
      <c r="G2231" s="8">
        <v>41143</v>
      </c>
      <c r="Y2231" s="8"/>
    </row>
    <row r="2232" spans="1:25" x14ac:dyDescent="0.25">
      <c r="A2232" t="str">
        <f>"12-0383"</f>
        <v>12-0383</v>
      </c>
      <c r="D2232" s="8">
        <v>41143</v>
      </c>
      <c r="F2232" s="8">
        <v>41143</v>
      </c>
      <c r="G2232" s="8">
        <v>41143</v>
      </c>
      <c r="Y2232" s="8"/>
    </row>
    <row r="2233" spans="1:25" x14ac:dyDescent="0.25">
      <c r="A2233" t="str">
        <f>"12-0380"</f>
        <v>12-0380</v>
      </c>
      <c r="D2233" s="8">
        <v>41142</v>
      </c>
      <c r="F2233" s="8">
        <v>41164</v>
      </c>
      <c r="G2233" s="8">
        <v>41142</v>
      </c>
      <c r="Y2233" s="8"/>
    </row>
    <row r="2234" spans="1:25" x14ac:dyDescent="0.25">
      <c r="A2234" t="str">
        <f>"12-0381"</f>
        <v>12-0381</v>
      </c>
      <c r="D2234" s="8">
        <v>41142</v>
      </c>
      <c r="F2234" s="8">
        <v>42093</v>
      </c>
      <c r="G2234" s="8">
        <v>41142</v>
      </c>
      <c r="Y2234" s="8"/>
    </row>
    <row r="2235" spans="1:25" x14ac:dyDescent="0.25">
      <c r="A2235" t="str">
        <f>"12-0378"</f>
        <v>12-0378</v>
      </c>
      <c r="D2235" s="8">
        <v>41141</v>
      </c>
      <c r="F2235" s="8">
        <v>41141</v>
      </c>
      <c r="G2235" s="8">
        <v>41141</v>
      </c>
      <c r="Y2235" s="8"/>
    </row>
    <row r="2236" spans="1:25" x14ac:dyDescent="0.25">
      <c r="A2236" t="str">
        <f>"12-0379"</f>
        <v>12-0379</v>
      </c>
      <c r="D2236" s="8">
        <v>41141</v>
      </c>
      <c r="F2236" s="8">
        <v>41141</v>
      </c>
      <c r="G2236" s="8">
        <v>41141</v>
      </c>
      <c r="Y2236" s="8"/>
    </row>
    <row r="2237" spans="1:25" x14ac:dyDescent="0.25">
      <c r="A2237" t="str">
        <f>"12-0375"</f>
        <v>12-0375</v>
      </c>
      <c r="D2237" s="8">
        <v>41138</v>
      </c>
      <c r="F2237" s="8">
        <v>41138</v>
      </c>
      <c r="G2237" s="8">
        <v>41138</v>
      </c>
      <c r="Y2237" s="8"/>
    </row>
    <row r="2238" spans="1:25" x14ac:dyDescent="0.25">
      <c r="A2238" t="str">
        <f>"12-0376"</f>
        <v>12-0376</v>
      </c>
      <c r="D2238" s="8">
        <v>41138</v>
      </c>
      <c r="F2238" s="8">
        <v>41138</v>
      </c>
      <c r="G2238" s="8">
        <v>41138</v>
      </c>
      <c r="Y2238" s="8"/>
    </row>
    <row r="2239" spans="1:25" x14ac:dyDescent="0.25">
      <c r="A2239" t="str">
        <f>"12-0377"</f>
        <v>12-0377</v>
      </c>
      <c r="D2239" s="8">
        <v>41138</v>
      </c>
      <c r="F2239" s="8">
        <v>41138</v>
      </c>
      <c r="G2239" s="8">
        <v>41138</v>
      </c>
      <c r="Y2239" s="8"/>
    </row>
    <row r="2240" spans="1:25" x14ac:dyDescent="0.25">
      <c r="A2240" t="str">
        <f>"12-0365B"</f>
        <v>12-0365B</v>
      </c>
      <c r="D2240" s="8">
        <v>41134</v>
      </c>
      <c r="F2240" s="8">
        <v>41134</v>
      </c>
      <c r="G2240" s="8">
        <v>41134</v>
      </c>
      <c r="Y2240" s="8"/>
    </row>
    <row r="2241" spans="1:25" x14ac:dyDescent="0.25">
      <c r="A2241" t="str">
        <f>"12-0372"</f>
        <v>12-0372</v>
      </c>
      <c r="D2241" s="8">
        <v>41130</v>
      </c>
      <c r="F2241" s="8">
        <v>41177</v>
      </c>
      <c r="G2241" s="8">
        <v>41130</v>
      </c>
      <c r="Y2241" s="8"/>
    </row>
    <row r="2242" spans="1:25" x14ac:dyDescent="0.25">
      <c r="A2242" t="str">
        <f>"12-0373"</f>
        <v>12-0373</v>
      </c>
      <c r="D2242" s="8">
        <v>41130</v>
      </c>
      <c r="F2242" s="8">
        <v>41130</v>
      </c>
      <c r="G2242" s="8">
        <v>41130</v>
      </c>
      <c r="Y2242" s="8"/>
    </row>
    <row r="2243" spans="1:25" x14ac:dyDescent="0.25">
      <c r="A2243" t="str">
        <f>"12-0374"</f>
        <v>12-0374</v>
      </c>
      <c r="D2243" s="8">
        <v>41130</v>
      </c>
      <c r="F2243" s="8">
        <v>41130</v>
      </c>
      <c r="G2243" s="8">
        <v>41130</v>
      </c>
      <c r="Y2243" s="8"/>
    </row>
    <row r="2244" spans="1:25" x14ac:dyDescent="0.25">
      <c r="A2244" t="str">
        <f>"12-0370"</f>
        <v>12-0370</v>
      </c>
      <c r="D2244" s="8">
        <v>41124</v>
      </c>
      <c r="F2244" s="8">
        <v>41191</v>
      </c>
      <c r="G2244" s="8">
        <v>41124</v>
      </c>
      <c r="Y2244" s="8"/>
    </row>
    <row r="2245" spans="1:25" x14ac:dyDescent="0.25">
      <c r="A2245" t="str">
        <f>"12-0371"</f>
        <v>12-0371</v>
      </c>
      <c r="D2245" s="8">
        <v>41124</v>
      </c>
      <c r="F2245" s="8">
        <v>41124</v>
      </c>
      <c r="G2245" s="8">
        <v>41124</v>
      </c>
      <c r="Y2245" s="8"/>
    </row>
    <row r="2246" spans="1:25" x14ac:dyDescent="0.25">
      <c r="A2246" t="str">
        <f>"12-0366"</f>
        <v>12-0366</v>
      </c>
      <c r="D2246" s="8">
        <v>41123</v>
      </c>
      <c r="F2246" s="8">
        <v>41193</v>
      </c>
      <c r="G2246" s="8">
        <v>41134</v>
      </c>
      <c r="Y2246" s="8"/>
    </row>
    <row r="2247" spans="1:25" x14ac:dyDescent="0.25">
      <c r="A2247" t="str">
        <f>"12-0365"</f>
        <v>12-0365</v>
      </c>
      <c r="D2247" s="8">
        <v>41122</v>
      </c>
      <c r="F2247" s="8">
        <v>41123</v>
      </c>
      <c r="G2247" s="8">
        <v>41122</v>
      </c>
      <c r="Y2247" s="8"/>
    </row>
    <row r="2248" spans="1:25" x14ac:dyDescent="0.25">
      <c r="A2248" t="str">
        <f>"12-0364"</f>
        <v>12-0364</v>
      </c>
      <c r="D2248" s="8">
        <v>41121</v>
      </c>
      <c r="F2248" s="8">
        <v>41150</v>
      </c>
      <c r="G2248" s="8">
        <v>41121</v>
      </c>
      <c r="Y2248" s="8"/>
    </row>
    <row r="2249" spans="1:25" x14ac:dyDescent="0.25">
      <c r="A2249" t="str">
        <f>"12-0363"</f>
        <v>12-0363</v>
      </c>
      <c r="D2249" s="8">
        <v>41120</v>
      </c>
      <c r="F2249" s="8">
        <v>41121</v>
      </c>
      <c r="G2249" s="8">
        <v>41121</v>
      </c>
      <c r="Y2249" s="8"/>
    </row>
    <row r="2250" spans="1:25" x14ac:dyDescent="0.25">
      <c r="A2250" t="str">
        <f>"12-0361"</f>
        <v>12-0361</v>
      </c>
      <c r="D2250" s="8">
        <v>41117</v>
      </c>
      <c r="F2250" s="8">
        <v>41117</v>
      </c>
      <c r="G2250" s="8">
        <v>41117</v>
      </c>
      <c r="Y2250" s="8"/>
    </row>
    <row r="2251" spans="1:25" x14ac:dyDescent="0.25">
      <c r="A2251" t="str">
        <f>"12-0360"</f>
        <v>12-0360</v>
      </c>
      <c r="D2251" s="8">
        <v>41116</v>
      </c>
      <c r="F2251" s="8">
        <v>41116</v>
      </c>
      <c r="G2251" s="8">
        <v>41116</v>
      </c>
      <c r="Y2251" s="8"/>
    </row>
    <row r="2252" spans="1:25" x14ac:dyDescent="0.25">
      <c r="A2252" t="str">
        <f>"12-0367"</f>
        <v>12-0367</v>
      </c>
      <c r="D2252" s="8">
        <v>41115</v>
      </c>
      <c r="F2252" s="8">
        <v>41115</v>
      </c>
      <c r="G2252" s="8">
        <v>41115</v>
      </c>
      <c r="Y2252" s="8"/>
    </row>
    <row r="2253" spans="1:25" x14ac:dyDescent="0.25">
      <c r="A2253" t="str">
        <f>"12-0368"</f>
        <v>12-0368</v>
      </c>
      <c r="D2253" s="8">
        <v>41115</v>
      </c>
      <c r="F2253" s="8">
        <v>41115</v>
      </c>
      <c r="G2253" s="8">
        <v>41115</v>
      </c>
      <c r="Y2253" s="8"/>
    </row>
    <row r="2254" spans="1:25" x14ac:dyDescent="0.25">
      <c r="A2254" t="str">
        <f>"12-0369"</f>
        <v>12-0369</v>
      </c>
      <c r="D2254" s="8">
        <v>41115</v>
      </c>
      <c r="F2254" s="8">
        <v>41115</v>
      </c>
      <c r="G2254" s="8">
        <v>41115</v>
      </c>
      <c r="Y2254" s="8"/>
    </row>
    <row r="2255" spans="1:25" x14ac:dyDescent="0.25">
      <c r="A2255" t="str">
        <f>"12-0358"</f>
        <v>12-0358</v>
      </c>
      <c r="D2255" s="8">
        <v>41114</v>
      </c>
      <c r="F2255" s="8">
        <v>41116</v>
      </c>
      <c r="G2255" s="8">
        <v>41114</v>
      </c>
      <c r="Y2255" s="8"/>
    </row>
    <row r="2256" spans="1:25" x14ac:dyDescent="0.25">
      <c r="A2256" t="str">
        <f>"12-0359"</f>
        <v>12-0359</v>
      </c>
      <c r="D2256" s="8">
        <v>41114</v>
      </c>
      <c r="F2256" s="8">
        <v>41114</v>
      </c>
      <c r="G2256" s="8">
        <v>41114</v>
      </c>
      <c r="Y2256" s="8"/>
    </row>
    <row r="2257" spans="1:25" x14ac:dyDescent="0.25">
      <c r="A2257" t="str">
        <f>"12-0357"</f>
        <v>12-0357</v>
      </c>
      <c r="D2257" s="8">
        <v>41108</v>
      </c>
      <c r="F2257" s="8">
        <v>41108</v>
      </c>
      <c r="G2257" s="8">
        <v>41108</v>
      </c>
      <c r="Y2257" s="8"/>
    </row>
    <row r="2258" spans="1:25" x14ac:dyDescent="0.25">
      <c r="A2258" t="str">
        <f>"12-0356"</f>
        <v>12-0356</v>
      </c>
      <c r="D2258" s="8">
        <v>41107</v>
      </c>
      <c r="F2258" s="8">
        <v>41107</v>
      </c>
      <c r="G2258" s="8">
        <v>41107</v>
      </c>
      <c r="Y2258" s="8"/>
    </row>
    <row r="2259" spans="1:25" x14ac:dyDescent="0.25">
      <c r="A2259" t="str">
        <f>"12-0350B"</f>
        <v>12-0350B</v>
      </c>
      <c r="D2259" s="8">
        <v>41106</v>
      </c>
      <c r="F2259" s="8">
        <v>41106</v>
      </c>
      <c r="G2259" s="8">
        <v>41106</v>
      </c>
      <c r="Y2259" s="8"/>
    </row>
    <row r="2260" spans="1:25" x14ac:dyDescent="0.25">
      <c r="A2260" t="str">
        <f>"12-0352"</f>
        <v>12-0352</v>
      </c>
      <c r="D2260" s="8">
        <v>41106</v>
      </c>
      <c r="F2260" s="8">
        <v>41106</v>
      </c>
      <c r="G2260" s="8">
        <v>41106</v>
      </c>
      <c r="Y2260" s="8"/>
    </row>
    <row r="2261" spans="1:25" x14ac:dyDescent="0.25">
      <c r="A2261" t="str">
        <f>"12-0353"</f>
        <v>12-0353</v>
      </c>
      <c r="D2261" s="8">
        <v>41106</v>
      </c>
      <c r="F2261" s="8">
        <v>41106</v>
      </c>
      <c r="G2261" s="8">
        <v>41106</v>
      </c>
      <c r="Y2261" s="8"/>
    </row>
    <row r="2262" spans="1:25" x14ac:dyDescent="0.25">
      <c r="A2262" t="str">
        <f>"12-0354"</f>
        <v>12-0354</v>
      </c>
      <c r="D2262" s="8">
        <v>41106</v>
      </c>
      <c r="F2262" s="8">
        <v>41106</v>
      </c>
      <c r="G2262" s="8">
        <v>41106</v>
      </c>
      <c r="Y2262" s="8"/>
    </row>
    <row r="2263" spans="1:25" x14ac:dyDescent="0.25">
      <c r="A2263" t="str">
        <f>"12-0355"</f>
        <v>12-0355</v>
      </c>
      <c r="D2263" s="8">
        <v>41106</v>
      </c>
      <c r="F2263" s="8">
        <v>41106</v>
      </c>
      <c r="G2263" s="8">
        <v>41106</v>
      </c>
      <c r="Y2263" s="8"/>
    </row>
    <row r="2264" spans="1:25" x14ac:dyDescent="0.25">
      <c r="A2264" t="str">
        <f>"12-0350"</f>
        <v>12-0350</v>
      </c>
      <c r="D2264" s="8">
        <v>41103</v>
      </c>
      <c r="F2264" s="8">
        <v>41103</v>
      </c>
      <c r="G2264" s="8">
        <v>41103</v>
      </c>
      <c r="Y2264" s="8"/>
    </row>
    <row r="2265" spans="1:25" x14ac:dyDescent="0.25">
      <c r="A2265" t="str">
        <f>"12-0351"</f>
        <v>12-0351</v>
      </c>
      <c r="D2265" s="8">
        <v>41103</v>
      </c>
      <c r="F2265" s="8">
        <v>41103</v>
      </c>
      <c r="G2265" s="8">
        <v>41103</v>
      </c>
      <c r="Y2265" s="8"/>
    </row>
    <row r="2266" spans="1:25" x14ac:dyDescent="0.25">
      <c r="A2266" t="str">
        <f>"12-0362"</f>
        <v>12-0362</v>
      </c>
      <c r="D2266" s="8">
        <v>41103</v>
      </c>
      <c r="F2266" s="8">
        <v>41120</v>
      </c>
      <c r="G2266" s="8">
        <v>41121</v>
      </c>
      <c r="Y2266" s="8"/>
    </row>
    <row r="2267" spans="1:25" x14ac:dyDescent="0.25">
      <c r="A2267" t="str">
        <f>"12-0349"</f>
        <v>12-0349</v>
      </c>
      <c r="D2267" s="8">
        <v>41102</v>
      </c>
      <c r="F2267" s="8">
        <v>41102</v>
      </c>
      <c r="G2267" s="8">
        <v>41102</v>
      </c>
      <c r="Y2267" s="8"/>
    </row>
    <row r="2268" spans="1:25" x14ac:dyDescent="0.25">
      <c r="A2268" t="str">
        <f>"12-0347"</f>
        <v>12-0347</v>
      </c>
      <c r="D2268" s="8">
        <v>41101</v>
      </c>
      <c r="F2268" s="8">
        <v>41241</v>
      </c>
      <c r="G2268" s="8">
        <v>41105</v>
      </c>
      <c r="Y2268" s="8"/>
    </row>
    <row r="2269" spans="1:25" x14ac:dyDescent="0.25">
      <c r="A2269" t="str">
        <f>"12-0348"</f>
        <v>12-0348</v>
      </c>
      <c r="D2269" s="8">
        <v>41101</v>
      </c>
      <c r="F2269" s="8">
        <v>41128</v>
      </c>
      <c r="G2269" s="8">
        <v>41101</v>
      </c>
      <c r="Y2269" s="8"/>
    </row>
    <row r="2270" spans="1:25" x14ac:dyDescent="0.25">
      <c r="A2270" t="str">
        <f>"12-0341"</f>
        <v>12-0341</v>
      </c>
      <c r="D2270" s="8">
        <v>41100</v>
      </c>
      <c r="F2270" s="8">
        <v>41100</v>
      </c>
      <c r="G2270" s="8">
        <v>41085</v>
      </c>
      <c r="Y2270" s="8"/>
    </row>
    <row r="2271" spans="1:25" x14ac:dyDescent="0.25">
      <c r="A2271" t="str">
        <f>"12-0342"</f>
        <v>12-0342</v>
      </c>
      <c r="D2271" s="8">
        <v>41100</v>
      </c>
      <c r="F2271" s="8">
        <v>41100</v>
      </c>
      <c r="G2271" s="8">
        <v>41100</v>
      </c>
      <c r="Y2271" s="8"/>
    </row>
    <row r="2272" spans="1:25" x14ac:dyDescent="0.25">
      <c r="A2272" t="str">
        <f>"12-0343"</f>
        <v>12-0343</v>
      </c>
      <c r="D2272" s="8">
        <v>41100</v>
      </c>
      <c r="F2272" s="8">
        <v>41100</v>
      </c>
      <c r="G2272" s="8">
        <v>41100</v>
      </c>
      <c r="Y2272" s="8"/>
    </row>
    <row r="2273" spans="1:25" x14ac:dyDescent="0.25">
      <c r="A2273" t="str">
        <f>"12-0344"</f>
        <v>12-0344</v>
      </c>
      <c r="D2273" s="8">
        <v>41100</v>
      </c>
      <c r="F2273" s="8">
        <v>41100</v>
      </c>
      <c r="G2273" s="8">
        <v>41100</v>
      </c>
      <c r="Y2273" s="8"/>
    </row>
    <row r="2274" spans="1:25" x14ac:dyDescent="0.25">
      <c r="A2274" t="str">
        <f>"12-0345"</f>
        <v>12-0345</v>
      </c>
      <c r="D2274" s="8">
        <v>41100</v>
      </c>
      <c r="F2274" s="8">
        <v>41185</v>
      </c>
      <c r="G2274" s="8">
        <v>41113</v>
      </c>
      <c r="Y2274" s="8"/>
    </row>
    <row r="2275" spans="1:25" x14ac:dyDescent="0.25">
      <c r="A2275" t="str">
        <f>"12-0346"</f>
        <v>12-0346</v>
      </c>
      <c r="D2275" s="8">
        <v>41100</v>
      </c>
      <c r="F2275" s="8">
        <v>41100</v>
      </c>
      <c r="G2275" s="8">
        <v>41100</v>
      </c>
      <c r="Y2275" s="8"/>
    </row>
    <row r="2276" spans="1:25" x14ac:dyDescent="0.25">
      <c r="A2276" t="str">
        <f>"12-0339"</f>
        <v>12-0339</v>
      </c>
      <c r="D2276" s="8">
        <v>41099</v>
      </c>
      <c r="F2276" s="8">
        <v>41099</v>
      </c>
      <c r="G2276" s="8">
        <v>41099</v>
      </c>
      <c r="Y2276" s="8"/>
    </row>
    <row r="2277" spans="1:25" x14ac:dyDescent="0.25">
      <c r="A2277" t="str">
        <f>"12-0340"</f>
        <v>12-0340</v>
      </c>
      <c r="D2277" s="8">
        <v>41099</v>
      </c>
      <c r="F2277" s="8">
        <v>41099</v>
      </c>
      <c r="G2277" s="8">
        <v>41099</v>
      </c>
      <c r="Y2277" s="8"/>
    </row>
    <row r="2278" spans="1:25" x14ac:dyDescent="0.25">
      <c r="A2278" t="str">
        <f>"12-0338"</f>
        <v>12-0338</v>
      </c>
      <c r="D2278" s="8">
        <v>41096</v>
      </c>
      <c r="F2278" s="8">
        <v>41096</v>
      </c>
      <c r="G2278" s="8">
        <v>41096</v>
      </c>
      <c r="Y2278" s="8"/>
    </row>
    <row r="2279" spans="1:25" x14ac:dyDescent="0.25">
      <c r="A2279" t="str">
        <f>"12-0336"</f>
        <v>12-0336</v>
      </c>
      <c r="D2279" s="8">
        <v>41095</v>
      </c>
      <c r="F2279" s="8">
        <v>41095</v>
      </c>
      <c r="G2279" s="8">
        <v>41095</v>
      </c>
      <c r="Y2279" s="8"/>
    </row>
    <row r="2280" spans="1:25" x14ac:dyDescent="0.25">
      <c r="A2280" t="str">
        <f>"12-0337"</f>
        <v>12-0337</v>
      </c>
      <c r="D2280" s="8">
        <v>41095</v>
      </c>
      <c r="F2280" s="8">
        <v>41141</v>
      </c>
      <c r="G2280" s="8">
        <v>41095</v>
      </c>
      <c r="Y2280" s="8"/>
    </row>
    <row r="2281" spans="1:25" x14ac:dyDescent="0.25">
      <c r="A2281" t="str">
        <f>"12-0334"</f>
        <v>12-0334</v>
      </c>
      <c r="D2281" s="8">
        <v>41094</v>
      </c>
      <c r="F2281" s="8">
        <v>41094</v>
      </c>
      <c r="G2281" s="8">
        <v>41094</v>
      </c>
      <c r="Y2281" s="8"/>
    </row>
    <row r="2282" spans="1:25" x14ac:dyDescent="0.25">
      <c r="A2282" t="str">
        <f>"12-0335"</f>
        <v>12-0335</v>
      </c>
      <c r="D2282" s="8">
        <v>41094</v>
      </c>
      <c r="F2282" s="8">
        <v>41094</v>
      </c>
      <c r="G2282" s="8">
        <v>41094</v>
      </c>
      <c r="Y2282" s="8"/>
    </row>
    <row r="2283" spans="1:25" x14ac:dyDescent="0.25">
      <c r="A2283" t="str">
        <f>"12-0333"</f>
        <v>12-0333</v>
      </c>
      <c r="D2283" s="8">
        <v>41092</v>
      </c>
      <c r="F2283" s="8">
        <v>41297</v>
      </c>
      <c r="G2283" s="8">
        <v>41092</v>
      </c>
      <c r="Y2283" s="8"/>
    </row>
    <row r="2284" spans="1:25" x14ac:dyDescent="0.25">
      <c r="A2284" t="str">
        <f>"12-0331"</f>
        <v>12-0331</v>
      </c>
      <c r="D2284" s="8">
        <v>41089</v>
      </c>
      <c r="F2284" s="8">
        <v>41089</v>
      </c>
      <c r="G2284" s="8">
        <v>41089</v>
      </c>
      <c r="Y2284" s="8"/>
    </row>
    <row r="2285" spans="1:25" x14ac:dyDescent="0.25">
      <c r="A2285" t="str">
        <f>"12-0332"</f>
        <v>12-0332</v>
      </c>
      <c r="D2285" s="8">
        <v>41089</v>
      </c>
      <c r="F2285" s="8">
        <v>41089</v>
      </c>
      <c r="G2285" s="8">
        <v>41089</v>
      </c>
      <c r="Y2285" s="8"/>
    </row>
    <row r="2286" spans="1:25" x14ac:dyDescent="0.25">
      <c r="A2286" t="str">
        <f>"12-0290B"</f>
        <v>12-0290B</v>
      </c>
      <c r="D2286" s="8">
        <v>41088</v>
      </c>
      <c r="F2286" s="8">
        <v>41572</v>
      </c>
      <c r="G2286" s="8">
        <v>41088</v>
      </c>
      <c r="Y2286" s="8"/>
    </row>
    <row r="2287" spans="1:25" x14ac:dyDescent="0.25">
      <c r="A2287" t="str">
        <f>"12-0328"</f>
        <v>12-0328</v>
      </c>
      <c r="D2287" s="8">
        <v>41088</v>
      </c>
      <c r="F2287" s="8">
        <v>41088</v>
      </c>
      <c r="G2287" s="8">
        <v>41088</v>
      </c>
      <c r="Y2287" s="8"/>
    </row>
    <row r="2288" spans="1:25" x14ac:dyDescent="0.25">
      <c r="A2288" t="str">
        <f>"12-0329"</f>
        <v>12-0329</v>
      </c>
      <c r="D2288" s="8">
        <v>41088</v>
      </c>
      <c r="F2288" s="8">
        <v>41088</v>
      </c>
      <c r="G2288" s="8">
        <v>41088</v>
      </c>
      <c r="Y2288" s="8"/>
    </row>
    <row r="2289" spans="1:25" x14ac:dyDescent="0.25">
      <c r="A2289" t="str">
        <f>"12-0330"</f>
        <v>12-0330</v>
      </c>
      <c r="D2289" s="8">
        <v>41088</v>
      </c>
      <c r="F2289" s="8">
        <v>41725</v>
      </c>
      <c r="G2289" s="8">
        <v>41088</v>
      </c>
      <c r="Y2289" s="8"/>
    </row>
    <row r="2290" spans="1:25" x14ac:dyDescent="0.25">
      <c r="A2290" t="str">
        <f>"12-0326"</f>
        <v>12-0326</v>
      </c>
      <c r="D2290" s="8">
        <v>41085</v>
      </c>
      <c r="F2290" s="8">
        <v>41085</v>
      </c>
      <c r="G2290" s="8">
        <v>41085</v>
      </c>
      <c r="Y2290" s="8"/>
    </row>
    <row r="2291" spans="1:25" x14ac:dyDescent="0.25">
      <c r="A2291" t="str">
        <f>"12-0327"</f>
        <v>12-0327</v>
      </c>
      <c r="D2291" s="8">
        <v>41085</v>
      </c>
      <c r="F2291" s="8">
        <v>41085</v>
      </c>
      <c r="G2291" s="8">
        <v>41085</v>
      </c>
      <c r="Y2291" s="8"/>
    </row>
    <row r="2292" spans="1:25" x14ac:dyDescent="0.25">
      <c r="A2292" t="str">
        <f>"12-0321"</f>
        <v>12-0321</v>
      </c>
      <c r="D2292" s="8">
        <v>41081</v>
      </c>
      <c r="F2292" s="8">
        <v>41081</v>
      </c>
      <c r="G2292" s="8">
        <v>41081</v>
      </c>
      <c r="Y2292" s="8"/>
    </row>
    <row r="2293" spans="1:25" x14ac:dyDescent="0.25">
      <c r="A2293" t="str">
        <f>"12-0322"</f>
        <v>12-0322</v>
      </c>
      <c r="D2293" s="8">
        <v>41081</v>
      </c>
      <c r="F2293" s="8">
        <v>41081</v>
      </c>
      <c r="G2293" s="8">
        <v>41081</v>
      </c>
      <c r="Y2293" s="8"/>
    </row>
    <row r="2294" spans="1:25" x14ac:dyDescent="0.25">
      <c r="A2294" t="str">
        <f>"12-0323"</f>
        <v>12-0323</v>
      </c>
      <c r="D2294" s="8">
        <v>41081</v>
      </c>
      <c r="F2294" s="8">
        <v>41081</v>
      </c>
      <c r="G2294" s="8">
        <v>41081</v>
      </c>
      <c r="Y2294" s="8"/>
    </row>
    <row r="2295" spans="1:25" x14ac:dyDescent="0.25">
      <c r="A2295" t="str">
        <f>"12-0324"</f>
        <v>12-0324</v>
      </c>
      <c r="D2295" s="8">
        <v>41081</v>
      </c>
      <c r="F2295" s="8">
        <v>41081</v>
      </c>
      <c r="G2295" s="8">
        <v>41081</v>
      </c>
      <c r="Y2295" s="8"/>
    </row>
    <row r="2296" spans="1:25" x14ac:dyDescent="0.25">
      <c r="A2296" t="str">
        <f>"12-0325"</f>
        <v>12-0325</v>
      </c>
      <c r="D2296" s="8">
        <v>41081</v>
      </c>
      <c r="F2296" s="8">
        <v>41081</v>
      </c>
      <c r="G2296" s="8">
        <v>41081</v>
      </c>
      <c r="Y2296" s="8"/>
    </row>
    <row r="2297" spans="1:25" x14ac:dyDescent="0.25">
      <c r="A2297" t="str">
        <f>"12-0319"</f>
        <v>12-0319</v>
      </c>
      <c r="D2297" s="8">
        <v>41080</v>
      </c>
      <c r="F2297" s="8">
        <v>41080</v>
      </c>
      <c r="G2297" s="8">
        <v>41080</v>
      </c>
      <c r="Y2297" s="8"/>
    </row>
    <row r="2298" spans="1:25" x14ac:dyDescent="0.25">
      <c r="A2298" t="str">
        <f>"12-0320"</f>
        <v>12-0320</v>
      </c>
      <c r="D2298" s="8">
        <v>41080</v>
      </c>
      <c r="F2298" s="8">
        <v>41080</v>
      </c>
      <c r="G2298" s="8">
        <v>41080</v>
      </c>
      <c r="Y2298" s="8"/>
    </row>
    <row r="2299" spans="1:25" x14ac:dyDescent="0.25">
      <c r="A2299" t="str">
        <f>"12-0313B"</f>
        <v>12-0313B</v>
      </c>
      <c r="D2299" s="8">
        <v>41074</v>
      </c>
      <c r="F2299" s="8">
        <v>41074</v>
      </c>
      <c r="G2299" s="8">
        <v>41074</v>
      </c>
      <c r="Y2299" s="8"/>
    </row>
    <row r="2300" spans="1:25" x14ac:dyDescent="0.25">
      <c r="A2300" t="str">
        <f>"12-0316B"</f>
        <v>12-0316B</v>
      </c>
      <c r="D2300" s="8">
        <v>41074</v>
      </c>
      <c r="F2300" s="8">
        <v>41074</v>
      </c>
      <c r="G2300" s="8">
        <v>41074</v>
      </c>
      <c r="Y2300" s="8"/>
    </row>
    <row r="2301" spans="1:25" x14ac:dyDescent="0.25">
      <c r="A2301" t="str">
        <f>"12-0318"</f>
        <v>12-0318</v>
      </c>
      <c r="D2301" s="8">
        <v>41074</v>
      </c>
      <c r="F2301" s="8">
        <v>41075</v>
      </c>
      <c r="G2301" s="8">
        <v>41075</v>
      </c>
      <c r="Y2301" s="8"/>
    </row>
    <row r="2302" spans="1:25" x14ac:dyDescent="0.25">
      <c r="A2302" t="str">
        <f>"12-0316"</f>
        <v>12-0316</v>
      </c>
      <c r="D2302" s="8">
        <v>41073</v>
      </c>
      <c r="F2302" s="8">
        <v>41073</v>
      </c>
      <c r="G2302" s="8">
        <v>41073</v>
      </c>
      <c r="Y2302" s="8"/>
    </row>
    <row r="2303" spans="1:25" x14ac:dyDescent="0.25">
      <c r="A2303" t="str">
        <f>"12-0317"</f>
        <v>12-0317</v>
      </c>
      <c r="D2303" s="8">
        <v>41073</v>
      </c>
      <c r="F2303" s="8">
        <v>41074</v>
      </c>
      <c r="G2303" s="8">
        <v>41074</v>
      </c>
      <c r="Y2303" s="8"/>
    </row>
    <row r="2304" spans="1:25" x14ac:dyDescent="0.25">
      <c r="A2304" t="str">
        <f>"12-0306B"</f>
        <v>12-0306B</v>
      </c>
      <c r="D2304" s="8">
        <v>41072</v>
      </c>
      <c r="F2304" s="8">
        <v>41075</v>
      </c>
      <c r="G2304" s="8">
        <v>41075</v>
      </c>
      <c r="Y2304" s="8"/>
    </row>
    <row r="2305" spans="1:25" x14ac:dyDescent="0.25">
      <c r="A2305" t="str">
        <f>"12-0315"</f>
        <v>12-0315</v>
      </c>
      <c r="D2305" s="8">
        <v>41072</v>
      </c>
      <c r="F2305" s="8">
        <v>41072</v>
      </c>
      <c r="G2305" s="8">
        <v>41072</v>
      </c>
      <c r="Y2305" s="8"/>
    </row>
    <row r="2306" spans="1:25" x14ac:dyDescent="0.25">
      <c r="A2306" t="str">
        <f>"12-0239C"</f>
        <v>12-0239C</v>
      </c>
      <c r="D2306" s="8">
        <v>41071</v>
      </c>
      <c r="F2306" s="8">
        <v>41071</v>
      </c>
      <c r="G2306" s="8">
        <v>41071</v>
      </c>
      <c r="Y2306" s="8"/>
    </row>
    <row r="2307" spans="1:25" x14ac:dyDescent="0.25">
      <c r="A2307" t="str">
        <f>"12-0243B"</f>
        <v>12-0243B</v>
      </c>
      <c r="D2307" s="8">
        <v>41071</v>
      </c>
      <c r="F2307" s="8">
        <v>41071</v>
      </c>
      <c r="G2307" s="8">
        <v>41071</v>
      </c>
      <c r="Y2307" s="8"/>
    </row>
    <row r="2308" spans="1:25" x14ac:dyDescent="0.25">
      <c r="A2308" t="str">
        <f>"12-0310"</f>
        <v>12-0310</v>
      </c>
      <c r="D2308" s="8">
        <v>41071</v>
      </c>
      <c r="F2308" s="8">
        <v>41071</v>
      </c>
      <c r="G2308" s="8">
        <v>41071</v>
      </c>
      <c r="Y2308" s="8"/>
    </row>
    <row r="2309" spans="1:25" x14ac:dyDescent="0.25">
      <c r="A2309" t="str">
        <f>"12-0311"</f>
        <v>12-0311</v>
      </c>
      <c r="D2309" s="8">
        <v>41071</v>
      </c>
      <c r="F2309" s="8">
        <v>41071</v>
      </c>
      <c r="G2309" s="8">
        <v>41071</v>
      </c>
      <c r="Y2309" s="8"/>
    </row>
    <row r="2310" spans="1:25" x14ac:dyDescent="0.25">
      <c r="A2310" t="str">
        <f>"12-0312"</f>
        <v>12-0312</v>
      </c>
      <c r="D2310" s="8">
        <v>41071</v>
      </c>
      <c r="F2310" s="8">
        <v>41071</v>
      </c>
      <c r="G2310" s="8">
        <v>41071</v>
      </c>
      <c r="Y2310" s="8"/>
    </row>
    <row r="2311" spans="1:25" x14ac:dyDescent="0.25">
      <c r="A2311" t="str">
        <f>"12-0313"</f>
        <v>12-0313</v>
      </c>
      <c r="D2311" s="8">
        <v>41071</v>
      </c>
      <c r="F2311" s="8">
        <v>41071</v>
      </c>
      <c r="G2311" s="8">
        <v>41071</v>
      </c>
      <c r="Y2311" s="8"/>
    </row>
    <row r="2312" spans="1:25" x14ac:dyDescent="0.25">
      <c r="A2312" t="str">
        <f>"12-0314"</f>
        <v>12-0314</v>
      </c>
      <c r="D2312" s="8">
        <v>41071</v>
      </c>
      <c r="F2312" s="8">
        <v>41071</v>
      </c>
      <c r="G2312" s="8">
        <v>41071</v>
      </c>
      <c r="Y2312" s="8"/>
    </row>
    <row r="2313" spans="1:25" x14ac:dyDescent="0.25">
      <c r="A2313" t="str">
        <f>"12-0309"</f>
        <v>12-0309</v>
      </c>
      <c r="D2313" s="8">
        <v>41068</v>
      </c>
      <c r="F2313" s="8">
        <v>41068</v>
      </c>
      <c r="G2313" s="8">
        <v>41068</v>
      </c>
      <c r="Y2313" s="8"/>
    </row>
    <row r="2314" spans="1:25" x14ac:dyDescent="0.25">
      <c r="A2314" t="str">
        <f>"12-0304"</f>
        <v>12-0304</v>
      </c>
      <c r="D2314" s="8">
        <v>41067</v>
      </c>
      <c r="F2314" s="8">
        <v>41067</v>
      </c>
      <c r="G2314" s="8">
        <v>41067</v>
      </c>
      <c r="Y2314" s="8"/>
    </row>
    <row r="2315" spans="1:25" x14ac:dyDescent="0.25">
      <c r="A2315" t="str">
        <f>"12-0305"</f>
        <v>12-0305</v>
      </c>
      <c r="D2315" s="8">
        <v>41067</v>
      </c>
      <c r="F2315" s="8">
        <v>41067</v>
      </c>
      <c r="G2315" s="8">
        <v>41067</v>
      </c>
      <c r="Y2315" s="8"/>
    </row>
    <row r="2316" spans="1:25" x14ac:dyDescent="0.25">
      <c r="A2316" t="str">
        <f>"12-0306"</f>
        <v>12-0306</v>
      </c>
      <c r="D2316" s="8">
        <v>41067</v>
      </c>
      <c r="F2316" s="8">
        <v>41067</v>
      </c>
      <c r="G2316" s="8">
        <v>41067</v>
      </c>
      <c r="Y2316" s="8"/>
    </row>
    <row r="2317" spans="1:25" x14ac:dyDescent="0.25">
      <c r="A2317" t="str">
        <f>"12-0307"</f>
        <v>12-0307</v>
      </c>
      <c r="D2317" s="8">
        <v>41067</v>
      </c>
      <c r="F2317" s="8">
        <v>41067</v>
      </c>
      <c r="G2317" s="8">
        <v>41067</v>
      </c>
      <c r="Y2317" s="8"/>
    </row>
    <row r="2318" spans="1:25" x14ac:dyDescent="0.25">
      <c r="A2318" t="str">
        <f>"12-0308"</f>
        <v>12-0308</v>
      </c>
      <c r="D2318" s="8">
        <v>41067</v>
      </c>
      <c r="F2318" s="8">
        <v>41067</v>
      </c>
      <c r="G2318" s="8">
        <v>41067</v>
      </c>
      <c r="Y2318" s="8"/>
    </row>
    <row r="2319" spans="1:25" x14ac:dyDescent="0.25">
      <c r="A2319" t="str">
        <f>"12-0287B"</f>
        <v>12-0287B</v>
      </c>
      <c r="D2319" s="8">
        <v>41066</v>
      </c>
      <c r="F2319" s="8">
        <v>41066</v>
      </c>
      <c r="G2319" s="8">
        <v>41066</v>
      </c>
      <c r="Y2319" s="8"/>
    </row>
    <row r="2320" spans="1:25" x14ac:dyDescent="0.25">
      <c r="A2320" t="str">
        <f>"12-0301"</f>
        <v>12-0301</v>
      </c>
      <c r="D2320" s="8">
        <v>41066</v>
      </c>
      <c r="F2320" s="8">
        <v>41066</v>
      </c>
      <c r="G2320" s="8">
        <v>41066</v>
      </c>
      <c r="Y2320" s="8"/>
    </row>
    <row r="2321" spans="1:25" x14ac:dyDescent="0.25">
      <c r="A2321" t="str">
        <f>"12-0302"</f>
        <v>12-0302</v>
      </c>
      <c r="D2321" s="8">
        <v>41066</v>
      </c>
      <c r="F2321" s="8">
        <v>41066</v>
      </c>
      <c r="G2321" s="8">
        <v>41066</v>
      </c>
      <c r="Y2321" s="8"/>
    </row>
    <row r="2322" spans="1:25" x14ac:dyDescent="0.25">
      <c r="A2322" t="str">
        <f>"12-0303"</f>
        <v>12-0303</v>
      </c>
      <c r="D2322" s="8">
        <v>41066</v>
      </c>
      <c r="F2322" s="8">
        <v>41089</v>
      </c>
      <c r="G2322" s="8">
        <v>41066</v>
      </c>
      <c r="Y2322" s="8"/>
    </row>
    <row r="2323" spans="1:25" x14ac:dyDescent="0.25">
      <c r="A2323" t="str">
        <f>"12-0296B"</f>
        <v>12-0296B</v>
      </c>
      <c r="D2323" s="8">
        <v>41065</v>
      </c>
      <c r="F2323" s="8">
        <v>41186</v>
      </c>
      <c r="G2323" s="8">
        <v>41065</v>
      </c>
      <c r="Y2323" s="8"/>
    </row>
    <row r="2324" spans="1:25" x14ac:dyDescent="0.25">
      <c r="A2324" t="str">
        <f>"12-0300"</f>
        <v>12-0300</v>
      </c>
      <c r="D2324" s="8">
        <v>41065</v>
      </c>
      <c r="F2324" s="8">
        <v>41065</v>
      </c>
      <c r="G2324" s="8">
        <v>41065</v>
      </c>
      <c r="Y2324" s="8"/>
    </row>
    <row r="2325" spans="1:25" x14ac:dyDescent="0.25">
      <c r="A2325" t="str">
        <f>"12-0297"</f>
        <v>12-0297</v>
      </c>
      <c r="D2325" s="8">
        <v>41064</v>
      </c>
      <c r="F2325" s="8">
        <v>41071</v>
      </c>
      <c r="G2325" s="8">
        <v>41064</v>
      </c>
      <c r="Y2325" s="8"/>
    </row>
    <row r="2326" spans="1:25" x14ac:dyDescent="0.25">
      <c r="A2326" t="str">
        <f>"12-0298"</f>
        <v>12-0298</v>
      </c>
      <c r="D2326" s="8">
        <v>41064</v>
      </c>
      <c r="F2326" s="8">
        <v>41064</v>
      </c>
      <c r="G2326" s="8">
        <v>41064</v>
      </c>
      <c r="Y2326" s="8"/>
    </row>
    <row r="2327" spans="1:25" x14ac:dyDescent="0.25">
      <c r="A2327" t="str">
        <f>"12-0299"</f>
        <v>12-0299</v>
      </c>
      <c r="D2327" s="8">
        <v>41064</v>
      </c>
      <c r="F2327" s="8">
        <v>41064</v>
      </c>
      <c r="G2327" s="8">
        <v>41064</v>
      </c>
      <c r="Y2327" s="8"/>
    </row>
    <row r="2328" spans="1:25" x14ac:dyDescent="0.25">
      <c r="A2328" t="str">
        <f>"12-0296"</f>
        <v>12-0296</v>
      </c>
      <c r="D2328" s="8">
        <v>41061</v>
      </c>
      <c r="F2328" s="8">
        <v>41064</v>
      </c>
      <c r="G2328" s="8">
        <v>41061</v>
      </c>
      <c r="Y2328" s="8"/>
    </row>
    <row r="2329" spans="1:25" x14ac:dyDescent="0.25">
      <c r="A2329" t="str">
        <f>"12-0293"</f>
        <v>12-0293</v>
      </c>
      <c r="D2329" s="8">
        <v>41060</v>
      </c>
      <c r="F2329" s="8">
        <v>41157</v>
      </c>
      <c r="G2329" s="8">
        <v>41060</v>
      </c>
      <c r="Y2329" s="8"/>
    </row>
    <row r="2330" spans="1:25" x14ac:dyDescent="0.25">
      <c r="A2330" t="str">
        <f>"12-0294"</f>
        <v>12-0294</v>
      </c>
      <c r="D2330" s="8">
        <v>41060</v>
      </c>
      <c r="F2330" s="8">
        <v>41064</v>
      </c>
      <c r="G2330" s="8">
        <v>41060</v>
      </c>
      <c r="Y2330" s="8"/>
    </row>
    <row r="2331" spans="1:25" x14ac:dyDescent="0.25">
      <c r="A2331" t="str">
        <f>"12-0295"</f>
        <v>12-0295</v>
      </c>
      <c r="D2331" s="8">
        <v>41060</v>
      </c>
      <c r="F2331" s="8">
        <v>41060</v>
      </c>
      <c r="G2331" s="8">
        <v>41060</v>
      </c>
      <c r="Y2331" s="8"/>
    </row>
    <row r="2332" spans="1:25" x14ac:dyDescent="0.25">
      <c r="A2332" t="str">
        <f>"12-0289"</f>
        <v>12-0289</v>
      </c>
      <c r="D2332" s="8">
        <v>41059</v>
      </c>
      <c r="F2332" s="8">
        <v>41066</v>
      </c>
      <c r="G2332" s="8">
        <v>41059</v>
      </c>
      <c r="Y2332" s="8"/>
    </row>
    <row r="2333" spans="1:25" x14ac:dyDescent="0.25">
      <c r="A2333" t="str">
        <f>"12-0290"</f>
        <v>12-0290</v>
      </c>
      <c r="D2333" s="8">
        <v>41059</v>
      </c>
      <c r="F2333" s="8">
        <v>41572</v>
      </c>
      <c r="G2333" s="8">
        <v>41059</v>
      </c>
      <c r="Y2333" s="8"/>
    </row>
    <row r="2334" spans="1:25" x14ac:dyDescent="0.25">
      <c r="A2334" t="str">
        <f>"12-0291"</f>
        <v>12-0291</v>
      </c>
      <c r="D2334" s="8">
        <v>41059</v>
      </c>
      <c r="F2334" s="8">
        <v>41059</v>
      </c>
      <c r="G2334" s="8">
        <v>41059</v>
      </c>
      <c r="Y2334" s="8"/>
    </row>
    <row r="2335" spans="1:25" x14ac:dyDescent="0.25">
      <c r="A2335" t="str">
        <f>"12-0292"</f>
        <v>12-0292</v>
      </c>
      <c r="D2335" s="8">
        <v>41059</v>
      </c>
      <c r="F2335" s="8">
        <v>41059</v>
      </c>
      <c r="G2335" s="8">
        <v>41059</v>
      </c>
      <c r="Y2335" s="8"/>
    </row>
    <row r="2336" spans="1:25" x14ac:dyDescent="0.25">
      <c r="A2336" t="str">
        <f>"12-0288"</f>
        <v>12-0288</v>
      </c>
      <c r="D2336" s="8">
        <v>41058</v>
      </c>
      <c r="F2336" s="8">
        <v>41058</v>
      </c>
      <c r="G2336" s="8">
        <v>41058</v>
      </c>
      <c r="Y2336" s="8"/>
    </row>
    <row r="2337" spans="1:25" x14ac:dyDescent="0.25">
      <c r="A2337" t="str">
        <f>"12-0285B"</f>
        <v>12-0285B</v>
      </c>
      <c r="D2337" s="8">
        <v>41054</v>
      </c>
      <c r="F2337" s="8">
        <v>41662</v>
      </c>
      <c r="G2337" s="8">
        <v>41054</v>
      </c>
      <c r="Y2337" s="8"/>
    </row>
    <row r="2338" spans="1:25" x14ac:dyDescent="0.25">
      <c r="A2338" t="str">
        <f>"12-0285"</f>
        <v>12-0285</v>
      </c>
      <c r="D2338" s="8">
        <v>41053</v>
      </c>
      <c r="F2338" s="8">
        <v>41053</v>
      </c>
      <c r="G2338" s="8">
        <v>41053</v>
      </c>
      <c r="Y2338" s="8"/>
    </row>
    <row r="2339" spans="1:25" x14ac:dyDescent="0.25">
      <c r="A2339" t="str">
        <f>"12-0286"</f>
        <v>12-0286</v>
      </c>
      <c r="D2339" s="8">
        <v>41053</v>
      </c>
      <c r="F2339" s="8">
        <v>41053</v>
      </c>
      <c r="G2339" s="8">
        <v>41053</v>
      </c>
      <c r="Y2339" s="8"/>
    </row>
    <row r="2340" spans="1:25" x14ac:dyDescent="0.25">
      <c r="A2340" t="str">
        <f>"12-0287"</f>
        <v>12-0287</v>
      </c>
      <c r="D2340" s="8">
        <v>41053</v>
      </c>
      <c r="F2340" s="8">
        <v>41060</v>
      </c>
      <c r="G2340" s="8">
        <v>41053</v>
      </c>
      <c r="Y2340" s="8"/>
    </row>
    <row r="2341" spans="1:25" x14ac:dyDescent="0.25">
      <c r="A2341" t="str">
        <f>"12-0282"</f>
        <v>12-0282</v>
      </c>
      <c r="D2341" s="8">
        <v>41051</v>
      </c>
      <c r="F2341" s="8">
        <v>41052</v>
      </c>
      <c r="G2341" s="8">
        <v>41050</v>
      </c>
      <c r="Y2341" s="8"/>
    </row>
    <row r="2342" spans="1:25" x14ac:dyDescent="0.25">
      <c r="A2342" t="str">
        <f>"12-0283"</f>
        <v>12-0283</v>
      </c>
      <c r="D2342" s="8">
        <v>41051</v>
      </c>
      <c r="F2342" s="8">
        <v>41052</v>
      </c>
      <c r="G2342" s="8">
        <v>41051</v>
      </c>
      <c r="Y2342" s="8"/>
    </row>
    <row r="2343" spans="1:25" x14ac:dyDescent="0.25">
      <c r="A2343" t="str">
        <f>"12-0284"</f>
        <v>12-0284</v>
      </c>
      <c r="D2343" s="8">
        <v>41051</v>
      </c>
      <c r="F2343" s="8">
        <v>41052</v>
      </c>
      <c r="G2343" s="8">
        <v>41064</v>
      </c>
      <c r="Y2343" s="8"/>
    </row>
    <row r="2344" spans="1:25" x14ac:dyDescent="0.25">
      <c r="A2344" t="str">
        <f>"12-0239B"</f>
        <v>12-0239B</v>
      </c>
      <c r="D2344" s="8">
        <v>41050</v>
      </c>
      <c r="F2344" s="8">
        <v>41176</v>
      </c>
      <c r="G2344" s="8">
        <v>41050</v>
      </c>
      <c r="Y2344" s="8"/>
    </row>
    <row r="2345" spans="1:25" x14ac:dyDescent="0.25">
      <c r="A2345" t="str">
        <f>"12-0278B"</f>
        <v>12-0278B</v>
      </c>
      <c r="D2345" s="8">
        <v>41050</v>
      </c>
      <c r="F2345" s="8">
        <v>41050</v>
      </c>
      <c r="G2345" s="8">
        <v>41050</v>
      </c>
      <c r="Y2345" s="8"/>
    </row>
    <row r="2346" spans="1:25" x14ac:dyDescent="0.25">
      <c r="A2346" t="str">
        <f>"12-0281"</f>
        <v>12-0281</v>
      </c>
      <c r="D2346" s="8">
        <v>41050</v>
      </c>
      <c r="F2346" s="8">
        <v>41050</v>
      </c>
      <c r="G2346" s="8">
        <v>41050</v>
      </c>
      <c r="Y2346" s="8"/>
    </row>
    <row r="2347" spans="1:25" x14ac:dyDescent="0.25">
      <c r="A2347" t="str">
        <f>"12-0280"</f>
        <v>12-0280</v>
      </c>
      <c r="D2347" s="8">
        <v>41047</v>
      </c>
      <c r="F2347" s="8">
        <v>41050</v>
      </c>
      <c r="G2347" s="8">
        <v>41047</v>
      </c>
      <c r="Y2347" s="8"/>
    </row>
    <row r="2348" spans="1:25" x14ac:dyDescent="0.25">
      <c r="A2348" t="str">
        <f>"12-0279"</f>
        <v>12-0279</v>
      </c>
      <c r="D2348" s="8">
        <v>41045</v>
      </c>
      <c r="F2348" s="8">
        <v>41045</v>
      </c>
      <c r="G2348" s="8">
        <v>41045</v>
      </c>
      <c r="Y2348" s="8"/>
    </row>
    <row r="2349" spans="1:25" x14ac:dyDescent="0.25">
      <c r="A2349" t="str">
        <f>"12-0275"</f>
        <v>12-0275</v>
      </c>
      <c r="D2349" s="8">
        <v>41044</v>
      </c>
      <c r="F2349" s="8">
        <v>41044</v>
      </c>
      <c r="G2349" s="8">
        <v>41044</v>
      </c>
      <c r="Y2349" s="8"/>
    </row>
    <row r="2350" spans="1:25" x14ac:dyDescent="0.25">
      <c r="A2350" t="str">
        <f>"12-0276"</f>
        <v>12-0276</v>
      </c>
      <c r="D2350" s="8">
        <v>41044</v>
      </c>
      <c r="F2350" s="8">
        <v>41044</v>
      </c>
      <c r="G2350" s="8">
        <v>41044</v>
      </c>
      <c r="Y2350" s="8"/>
    </row>
    <row r="2351" spans="1:25" x14ac:dyDescent="0.25">
      <c r="A2351" t="str">
        <f>"12-0277"</f>
        <v>12-0277</v>
      </c>
      <c r="D2351" s="8">
        <v>41044</v>
      </c>
      <c r="F2351" s="8">
        <v>41044</v>
      </c>
      <c r="G2351" s="8">
        <v>41064</v>
      </c>
      <c r="Y2351" s="8"/>
    </row>
    <row r="2352" spans="1:25" x14ac:dyDescent="0.25">
      <c r="A2352" t="str">
        <f>"12-0278"</f>
        <v>12-0278</v>
      </c>
      <c r="D2352" s="8">
        <v>41044</v>
      </c>
      <c r="F2352" s="8">
        <v>41044</v>
      </c>
      <c r="G2352" s="8">
        <v>41044</v>
      </c>
      <c r="Y2352" s="8"/>
    </row>
    <row r="2353" spans="1:25" x14ac:dyDescent="0.25">
      <c r="A2353" t="str">
        <f>"12-0231B"</f>
        <v>12-0231B</v>
      </c>
      <c r="D2353" s="8">
        <v>41043</v>
      </c>
      <c r="F2353" s="8">
        <v>41043</v>
      </c>
      <c r="G2353" s="8">
        <v>41043</v>
      </c>
      <c r="Y2353" s="8"/>
    </row>
    <row r="2354" spans="1:25" x14ac:dyDescent="0.25">
      <c r="A2354" t="str">
        <f>"12-0272"</f>
        <v>12-0272</v>
      </c>
      <c r="D2354" s="8">
        <v>41043</v>
      </c>
      <c r="F2354" s="8">
        <v>41043</v>
      </c>
      <c r="G2354" s="8">
        <v>41043</v>
      </c>
      <c r="Y2354" s="8"/>
    </row>
    <row r="2355" spans="1:25" x14ac:dyDescent="0.25">
      <c r="A2355" t="str">
        <f>"12-0273"</f>
        <v>12-0273</v>
      </c>
      <c r="D2355" s="8">
        <v>41043</v>
      </c>
      <c r="F2355" s="8">
        <v>41043</v>
      </c>
      <c r="G2355" s="8">
        <v>41043</v>
      </c>
      <c r="Y2355" s="8"/>
    </row>
    <row r="2356" spans="1:25" x14ac:dyDescent="0.25">
      <c r="A2356" t="str">
        <f>"12-0274"</f>
        <v>12-0274</v>
      </c>
      <c r="D2356" s="8">
        <v>41043</v>
      </c>
      <c r="F2356" s="8">
        <v>41054</v>
      </c>
      <c r="G2356" s="8">
        <v>41044</v>
      </c>
      <c r="Y2356" s="8"/>
    </row>
    <row r="2357" spans="1:25" x14ac:dyDescent="0.25">
      <c r="A2357" t="str">
        <f>"12-0271"</f>
        <v>12-0271</v>
      </c>
      <c r="D2357" s="8">
        <v>41040</v>
      </c>
      <c r="F2357" s="8">
        <v>41290</v>
      </c>
      <c r="G2357" s="8">
        <v>41040</v>
      </c>
      <c r="Y2357" s="8"/>
    </row>
    <row r="2358" spans="1:25" x14ac:dyDescent="0.25">
      <c r="A2358" t="str">
        <f>"12-0269"</f>
        <v>12-0269</v>
      </c>
      <c r="D2358" s="8">
        <v>41039</v>
      </c>
      <c r="F2358" s="8">
        <v>41039</v>
      </c>
      <c r="G2358" s="8">
        <v>41039</v>
      </c>
      <c r="Y2358" s="8"/>
    </row>
    <row r="2359" spans="1:25" x14ac:dyDescent="0.25">
      <c r="A2359" t="str">
        <f>"12-0270"</f>
        <v>12-0270</v>
      </c>
      <c r="D2359" s="8">
        <v>41039</v>
      </c>
      <c r="F2359" s="8">
        <v>41040</v>
      </c>
      <c r="G2359" s="8">
        <v>41040</v>
      </c>
      <c r="Y2359" s="8"/>
    </row>
    <row r="2360" spans="1:25" x14ac:dyDescent="0.25">
      <c r="A2360" t="str">
        <f>"12-0265"</f>
        <v>12-0265</v>
      </c>
      <c r="D2360" s="8">
        <v>41038</v>
      </c>
      <c r="F2360" s="8">
        <v>41038</v>
      </c>
      <c r="G2360" s="8">
        <v>41038</v>
      </c>
      <c r="Y2360" s="8"/>
    </row>
    <row r="2361" spans="1:25" x14ac:dyDescent="0.25">
      <c r="A2361" t="str">
        <f>"12-0266"</f>
        <v>12-0266</v>
      </c>
      <c r="D2361" s="8">
        <v>41038</v>
      </c>
      <c r="F2361" s="8">
        <v>41038</v>
      </c>
      <c r="G2361" s="8">
        <v>41038</v>
      </c>
      <c r="Y2361" s="8"/>
    </row>
    <row r="2362" spans="1:25" x14ac:dyDescent="0.25">
      <c r="A2362" t="str">
        <f>"12-0267"</f>
        <v>12-0267</v>
      </c>
      <c r="D2362" s="8">
        <v>41038</v>
      </c>
      <c r="F2362" s="8">
        <v>41038</v>
      </c>
      <c r="G2362" s="8">
        <v>41038</v>
      </c>
      <c r="Y2362" s="8"/>
    </row>
    <row r="2363" spans="1:25" x14ac:dyDescent="0.25">
      <c r="A2363" t="str">
        <f>"12-0268"</f>
        <v>12-0268</v>
      </c>
      <c r="D2363" s="8">
        <v>41038</v>
      </c>
      <c r="F2363" s="8">
        <v>41038</v>
      </c>
      <c r="G2363" s="8">
        <v>41038</v>
      </c>
      <c r="Y2363" s="8"/>
    </row>
    <row r="2364" spans="1:25" x14ac:dyDescent="0.25">
      <c r="A2364" t="str">
        <f>"12-0264"</f>
        <v>12-0264</v>
      </c>
      <c r="D2364" s="8">
        <v>41036</v>
      </c>
      <c r="F2364" s="8">
        <v>41036</v>
      </c>
      <c r="G2364" s="8">
        <v>41036</v>
      </c>
      <c r="Y2364" s="8"/>
    </row>
    <row r="2365" spans="1:25" x14ac:dyDescent="0.25">
      <c r="A2365" t="str">
        <f>"12-0262"</f>
        <v>12-0262</v>
      </c>
      <c r="D2365" s="8">
        <v>41033</v>
      </c>
      <c r="F2365" s="8">
        <v>41033</v>
      </c>
      <c r="G2365" s="8">
        <v>41033</v>
      </c>
      <c r="Y2365" s="8"/>
    </row>
    <row r="2366" spans="1:25" x14ac:dyDescent="0.25">
      <c r="A2366" t="str">
        <f>"12-0263"</f>
        <v>12-0263</v>
      </c>
      <c r="D2366" s="8">
        <v>41033</v>
      </c>
      <c r="F2366" s="8">
        <v>41033</v>
      </c>
      <c r="G2366" s="8">
        <v>41038</v>
      </c>
      <c r="Y2366" s="8"/>
    </row>
    <row r="2367" spans="1:25" x14ac:dyDescent="0.25">
      <c r="A2367" t="str">
        <f>"12-0258"</f>
        <v>12-0258</v>
      </c>
      <c r="D2367" s="8">
        <v>41032</v>
      </c>
      <c r="F2367" s="8">
        <v>41032</v>
      </c>
      <c r="G2367" s="8">
        <v>41032</v>
      </c>
      <c r="Y2367" s="8"/>
    </row>
    <row r="2368" spans="1:25" x14ac:dyDescent="0.25">
      <c r="A2368" t="str">
        <f>"12-0259"</f>
        <v>12-0259</v>
      </c>
      <c r="D2368" s="8">
        <v>41032</v>
      </c>
      <c r="F2368" s="8">
        <v>41032</v>
      </c>
      <c r="G2368" s="8">
        <v>41032</v>
      </c>
      <c r="Y2368" s="8"/>
    </row>
    <row r="2369" spans="1:25" x14ac:dyDescent="0.25">
      <c r="A2369" t="str">
        <f>"12-0260"</f>
        <v>12-0260</v>
      </c>
      <c r="D2369" s="8">
        <v>41032</v>
      </c>
      <c r="F2369" s="8">
        <v>41032</v>
      </c>
      <c r="G2369" s="8">
        <v>41032</v>
      </c>
      <c r="Y2369" s="8"/>
    </row>
    <row r="2370" spans="1:25" x14ac:dyDescent="0.25">
      <c r="A2370" t="str">
        <f>"12-0261"</f>
        <v>12-0261</v>
      </c>
      <c r="D2370" s="8">
        <v>41032</v>
      </c>
      <c r="F2370" s="8">
        <v>41032</v>
      </c>
      <c r="G2370" s="8">
        <v>41032</v>
      </c>
      <c r="Y2370" s="8"/>
    </row>
    <row r="2371" spans="1:25" x14ac:dyDescent="0.25">
      <c r="A2371" t="str">
        <f>"12-0252B"</f>
        <v>12-0252B</v>
      </c>
      <c r="D2371" s="8">
        <v>41031</v>
      </c>
      <c r="F2371" s="8">
        <v>41193</v>
      </c>
      <c r="G2371" s="8">
        <v>41031</v>
      </c>
      <c r="Y2371" s="8"/>
    </row>
    <row r="2372" spans="1:25" x14ac:dyDescent="0.25">
      <c r="A2372" t="str">
        <f>"12-0255"</f>
        <v>12-0255</v>
      </c>
      <c r="D2372" s="8">
        <v>41031</v>
      </c>
      <c r="F2372" s="8">
        <v>41031</v>
      </c>
      <c r="G2372" s="8">
        <v>41031</v>
      </c>
      <c r="Y2372" s="8"/>
    </row>
    <row r="2373" spans="1:25" x14ac:dyDescent="0.25">
      <c r="A2373" t="str">
        <f>"12-0256"</f>
        <v>12-0256</v>
      </c>
      <c r="D2373" s="8">
        <v>41031</v>
      </c>
      <c r="F2373" s="8">
        <v>41031</v>
      </c>
      <c r="G2373" s="8">
        <v>41031</v>
      </c>
      <c r="Y2373" s="8"/>
    </row>
    <row r="2374" spans="1:25" x14ac:dyDescent="0.25">
      <c r="A2374" t="str">
        <f>"12-0257"</f>
        <v>12-0257</v>
      </c>
      <c r="D2374" s="8">
        <v>41031</v>
      </c>
      <c r="F2374" s="8">
        <v>41149</v>
      </c>
      <c r="G2374" s="8">
        <v>41032</v>
      </c>
      <c r="Y2374" s="8"/>
    </row>
    <row r="2375" spans="1:25" x14ac:dyDescent="0.25">
      <c r="A2375" t="str">
        <f>"12-0254"</f>
        <v>12-0254</v>
      </c>
      <c r="D2375" s="8">
        <v>41029</v>
      </c>
      <c r="F2375" s="8">
        <v>41029</v>
      </c>
      <c r="G2375" s="8">
        <v>41029</v>
      </c>
      <c r="Y2375" s="8"/>
    </row>
    <row r="2376" spans="1:25" x14ac:dyDescent="0.25">
      <c r="A2376" t="str">
        <f>"12-0251"</f>
        <v>12-0251</v>
      </c>
      <c r="D2376" s="8">
        <v>41026</v>
      </c>
      <c r="F2376" s="8">
        <v>41026</v>
      </c>
      <c r="G2376" s="8">
        <v>41026</v>
      </c>
      <c r="Y2376" s="8"/>
    </row>
    <row r="2377" spans="1:25" x14ac:dyDescent="0.25">
      <c r="A2377" t="str">
        <f>"12-0252"</f>
        <v>12-0252</v>
      </c>
      <c r="D2377" s="8">
        <v>41026</v>
      </c>
      <c r="F2377" s="8">
        <v>41026</v>
      </c>
      <c r="G2377" s="8">
        <v>41026</v>
      </c>
      <c r="Y2377" s="8"/>
    </row>
    <row r="2378" spans="1:25" x14ac:dyDescent="0.25">
      <c r="A2378" t="str">
        <f>"12-0253"</f>
        <v>12-0253</v>
      </c>
      <c r="D2378" s="8">
        <v>41026</v>
      </c>
      <c r="F2378" s="8">
        <v>41026</v>
      </c>
      <c r="G2378" s="8">
        <v>41026</v>
      </c>
      <c r="Y2378" s="8"/>
    </row>
    <row r="2379" spans="1:25" x14ac:dyDescent="0.25">
      <c r="A2379" t="str">
        <f>"12-0237B"</f>
        <v>12-0237B</v>
      </c>
      <c r="D2379" s="8">
        <v>41023</v>
      </c>
      <c r="F2379" s="8">
        <v>41023</v>
      </c>
      <c r="G2379" s="8">
        <v>41023</v>
      </c>
      <c r="Y2379" s="8"/>
    </row>
    <row r="2380" spans="1:25" x14ac:dyDescent="0.25">
      <c r="A2380" t="str">
        <f>"12-0249"</f>
        <v>12-0249</v>
      </c>
      <c r="D2380" s="8">
        <v>41023</v>
      </c>
      <c r="F2380" s="8">
        <v>41023</v>
      </c>
      <c r="G2380" s="8">
        <v>41023</v>
      </c>
      <c r="Y2380" s="8"/>
    </row>
    <row r="2381" spans="1:25" x14ac:dyDescent="0.25">
      <c r="A2381" t="str">
        <f>"12-0250"</f>
        <v>12-0250</v>
      </c>
      <c r="D2381" s="8">
        <v>41023</v>
      </c>
      <c r="F2381" s="8">
        <v>41023</v>
      </c>
      <c r="G2381" s="8">
        <v>41023</v>
      </c>
      <c r="Y2381" s="8"/>
    </row>
    <row r="2382" spans="1:25" x14ac:dyDescent="0.25">
      <c r="A2382" t="str">
        <f>"12-0204B"</f>
        <v>12-0204B</v>
      </c>
      <c r="D2382" s="8">
        <v>41022</v>
      </c>
      <c r="F2382" s="8">
        <v>41022</v>
      </c>
      <c r="G2382" s="8">
        <v>41022</v>
      </c>
      <c r="Y2382" s="8"/>
    </row>
    <row r="2383" spans="1:25" x14ac:dyDescent="0.25">
      <c r="A2383" t="str">
        <f>"12-0248"</f>
        <v>12-0248</v>
      </c>
      <c r="D2383" s="8">
        <v>41022</v>
      </c>
      <c r="F2383" s="8">
        <v>41991</v>
      </c>
      <c r="G2383" s="8">
        <v>41022</v>
      </c>
      <c r="Y2383" s="8"/>
    </row>
    <row r="2384" spans="1:25" x14ac:dyDescent="0.25">
      <c r="A2384" t="str">
        <f>"12-0243"</f>
        <v>12-0243</v>
      </c>
      <c r="D2384" s="8">
        <v>41019</v>
      </c>
      <c r="F2384" s="8">
        <v>41045</v>
      </c>
      <c r="G2384" s="8">
        <v>41043</v>
      </c>
      <c r="Y2384" s="8"/>
    </row>
    <row r="2385" spans="1:25" x14ac:dyDescent="0.25">
      <c r="A2385" t="str">
        <f>"12-0244"</f>
        <v>12-0244</v>
      </c>
      <c r="D2385" s="8">
        <v>41019</v>
      </c>
      <c r="F2385" s="8">
        <v>41019</v>
      </c>
      <c r="G2385" s="8">
        <v>41019</v>
      </c>
      <c r="Y2385" s="8"/>
    </row>
    <row r="2386" spans="1:25" x14ac:dyDescent="0.25">
      <c r="A2386" t="str">
        <f>"12-0245"</f>
        <v>12-0245</v>
      </c>
      <c r="D2386" s="8">
        <v>41019</v>
      </c>
      <c r="F2386" s="8">
        <v>41019</v>
      </c>
      <c r="G2386" s="8">
        <v>41019</v>
      </c>
      <c r="Y2386" s="8"/>
    </row>
    <row r="2387" spans="1:25" x14ac:dyDescent="0.25">
      <c r="A2387" t="str">
        <f>"12-0246"</f>
        <v>12-0246</v>
      </c>
      <c r="D2387" s="8">
        <v>41019</v>
      </c>
      <c r="F2387" s="8">
        <v>41019</v>
      </c>
      <c r="G2387" s="8">
        <v>41019</v>
      </c>
      <c r="Y2387" s="8"/>
    </row>
    <row r="2388" spans="1:25" x14ac:dyDescent="0.25">
      <c r="A2388" t="str">
        <f>"12-0247"</f>
        <v>12-0247</v>
      </c>
      <c r="D2388" s="8">
        <v>41019</v>
      </c>
      <c r="F2388" s="8">
        <v>41019</v>
      </c>
      <c r="G2388" s="8">
        <v>41019</v>
      </c>
      <c r="Y2388" s="8"/>
    </row>
    <row r="2389" spans="1:25" x14ac:dyDescent="0.25">
      <c r="A2389" t="str">
        <f>"12-0240"</f>
        <v>12-0240</v>
      </c>
      <c r="D2389" s="8">
        <v>41018</v>
      </c>
      <c r="F2389" s="8">
        <v>41018</v>
      </c>
      <c r="G2389" s="8">
        <v>41018</v>
      </c>
      <c r="Y2389" s="8"/>
    </row>
    <row r="2390" spans="1:25" x14ac:dyDescent="0.25">
      <c r="A2390" t="str">
        <f>"12-0241"</f>
        <v>12-0241</v>
      </c>
      <c r="D2390" s="8">
        <v>41018</v>
      </c>
      <c r="F2390" s="8">
        <v>41018</v>
      </c>
      <c r="G2390" s="8">
        <v>41018</v>
      </c>
      <c r="Y2390" s="8"/>
    </row>
    <row r="2391" spans="1:25" x14ac:dyDescent="0.25">
      <c r="A2391" t="str">
        <f>"12-0242"</f>
        <v>12-0242</v>
      </c>
      <c r="D2391" s="8">
        <v>41018</v>
      </c>
      <c r="F2391" s="8">
        <v>41018</v>
      </c>
      <c r="G2391" s="8">
        <v>41018</v>
      </c>
      <c r="Y2391" s="8"/>
    </row>
    <row r="2392" spans="1:25" x14ac:dyDescent="0.25">
      <c r="A2392" t="str">
        <f>"12-0237"</f>
        <v>12-0237</v>
      </c>
      <c r="D2392" s="8">
        <v>41017</v>
      </c>
      <c r="F2392" s="8">
        <v>41177</v>
      </c>
      <c r="G2392" s="8">
        <v>41017</v>
      </c>
      <c r="Y2392" s="8"/>
    </row>
    <row r="2393" spans="1:25" x14ac:dyDescent="0.25">
      <c r="A2393" t="str">
        <f>"12-0238"</f>
        <v>12-0238</v>
      </c>
      <c r="D2393" s="8">
        <v>41017</v>
      </c>
      <c r="F2393" s="8">
        <v>41142</v>
      </c>
      <c r="G2393" s="8">
        <v>41017</v>
      </c>
      <c r="Y2393" s="8"/>
    </row>
    <row r="2394" spans="1:25" x14ac:dyDescent="0.25">
      <c r="A2394" t="str">
        <f>"12-0239"</f>
        <v>12-0239</v>
      </c>
      <c r="D2394" s="8">
        <v>41017</v>
      </c>
      <c r="F2394" s="8">
        <v>41176</v>
      </c>
      <c r="G2394" s="8">
        <v>41017</v>
      </c>
      <c r="Y2394" s="8"/>
    </row>
    <row r="2395" spans="1:25" x14ac:dyDescent="0.25">
      <c r="A2395" t="str">
        <f>"12-0210B"</f>
        <v>12-0210B</v>
      </c>
      <c r="D2395" s="8">
        <v>41016</v>
      </c>
      <c r="F2395" s="8">
        <v>41016</v>
      </c>
      <c r="G2395" s="8">
        <v>41016</v>
      </c>
      <c r="Y2395" s="8"/>
    </row>
    <row r="2396" spans="1:25" x14ac:dyDescent="0.25">
      <c r="A2396" t="str">
        <f>"12-0211B"</f>
        <v>12-0211B</v>
      </c>
      <c r="D2396" s="8">
        <v>41016</v>
      </c>
      <c r="F2396" s="8">
        <v>41016</v>
      </c>
      <c r="G2396" s="8">
        <v>41016</v>
      </c>
      <c r="Y2396" s="8"/>
    </row>
    <row r="2397" spans="1:25" x14ac:dyDescent="0.25">
      <c r="A2397" t="str">
        <f>"12-0228B"</f>
        <v>12-0228B</v>
      </c>
      <c r="D2397" s="8">
        <v>41016</v>
      </c>
      <c r="F2397" s="8">
        <v>41016</v>
      </c>
      <c r="G2397" s="8">
        <v>41016</v>
      </c>
      <c r="Y2397" s="8"/>
    </row>
    <row r="2398" spans="1:25" x14ac:dyDescent="0.25">
      <c r="A2398" t="str">
        <f>"12-0235"</f>
        <v>12-0235</v>
      </c>
      <c r="D2398" s="8">
        <v>41016</v>
      </c>
      <c r="F2398" s="8">
        <v>41016</v>
      </c>
      <c r="G2398" s="8">
        <v>41016</v>
      </c>
      <c r="Y2398" s="8"/>
    </row>
    <row r="2399" spans="1:25" x14ac:dyDescent="0.25">
      <c r="A2399" t="str">
        <f>"12-0236"</f>
        <v>12-0236</v>
      </c>
      <c r="D2399" s="8">
        <v>41016</v>
      </c>
      <c r="F2399" s="8">
        <v>41016</v>
      </c>
      <c r="G2399" s="8">
        <v>41016</v>
      </c>
      <c r="Y2399" s="8"/>
    </row>
    <row r="2400" spans="1:25" x14ac:dyDescent="0.25">
      <c r="A2400" t="str">
        <f>"12-0229B"</f>
        <v>12-0229B</v>
      </c>
      <c r="D2400" s="8">
        <v>41015</v>
      </c>
      <c r="F2400" s="8">
        <v>41015</v>
      </c>
      <c r="G2400" s="8">
        <v>41015</v>
      </c>
      <c r="Y2400" s="8"/>
    </row>
    <row r="2401" spans="1:25" x14ac:dyDescent="0.25">
      <c r="A2401" t="str">
        <f>"12-0233"</f>
        <v>12-0233</v>
      </c>
      <c r="D2401" s="8">
        <v>41015</v>
      </c>
      <c r="F2401" s="8">
        <v>41015</v>
      </c>
      <c r="G2401" s="8">
        <v>41015</v>
      </c>
      <c r="Y2401" s="8"/>
    </row>
    <row r="2402" spans="1:25" x14ac:dyDescent="0.25">
      <c r="A2402" t="str">
        <f>"12-0234"</f>
        <v>12-0234</v>
      </c>
      <c r="D2402" s="8">
        <v>41015</v>
      </c>
      <c r="F2402" s="8">
        <v>41015</v>
      </c>
      <c r="G2402" s="8">
        <v>41015</v>
      </c>
      <c r="Y2402" s="8"/>
    </row>
    <row r="2403" spans="1:25" x14ac:dyDescent="0.25">
      <c r="A2403" t="str">
        <f>"12-0029B"</f>
        <v>12-0029B</v>
      </c>
      <c r="D2403" s="8">
        <v>41012</v>
      </c>
      <c r="F2403" s="8">
        <v>41012</v>
      </c>
      <c r="G2403" s="8">
        <v>41012</v>
      </c>
      <c r="Y2403" s="8"/>
    </row>
    <row r="2404" spans="1:25" x14ac:dyDescent="0.25">
      <c r="A2404" t="str">
        <f>"12-0229"</f>
        <v>12-0229</v>
      </c>
      <c r="D2404" s="8">
        <v>41012</v>
      </c>
      <c r="F2404" s="8">
        <v>41012</v>
      </c>
      <c r="G2404" s="8">
        <v>41012</v>
      </c>
      <c r="Y2404" s="8"/>
    </row>
    <row r="2405" spans="1:25" x14ac:dyDescent="0.25">
      <c r="A2405" t="str">
        <f>"12-0230"</f>
        <v>12-0230</v>
      </c>
      <c r="D2405" s="8">
        <v>41012</v>
      </c>
      <c r="F2405" s="8">
        <v>41012</v>
      </c>
      <c r="G2405" s="8">
        <v>41012</v>
      </c>
      <c r="Y2405" s="8"/>
    </row>
    <row r="2406" spans="1:25" x14ac:dyDescent="0.25">
      <c r="A2406" t="str">
        <f>"12-0231"</f>
        <v>12-0231</v>
      </c>
      <c r="D2406" s="8">
        <v>41012</v>
      </c>
      <c r="F2406" s="8">
        <v>41012</v>
      </c>
      <c r="G2406" s="8">
        <v>41012</v>
      </c>
      <c r="Y2406" s="8"/>
    </row>
    <row r="2407" spans="1:25" x14ac:dyDescent="0.25">
      <c r="A2407" t="str">
        <f>"12-0232"</f>
        <v>12-0232</v>
      </c>
      <c r="D2407" s="8">
        <v>41012</v>
      </c>
      <c r="F2407" s="8">
        <v>41017</v>
      </c>
      <c r="G2407" s="8">
        <v>41012</v>
      </c>
      <c r="Y2407" s="8"/>
    </row>
    <row r="2408" spans="1:25" x14ac:dyDescent="0.25">
      <c r="A2408" t="str">
        <f>"12-0227"</f>
        <v>12-0227</v>
      </c>
      <c r="D2408" s="8">
        <v>41011</v>
      </c>
      <c r="F2408" s="8">
        <v>41011</v>
      </c>
      <c r="G2408" s="8">
        <v>41011</v>
      </c>
      <c r="Y2408" s="8"/>
    </row>
    <row r="2409" spans="1:25" x14ac:dyDescent="0.25">
      <c r="A2409" t="str">
        <f>"12-0228"</f>
        <v>12-0228</v>
      </c>
      <c r="D2409" s="8">
        <v>41011</v>
      </c>
      <c r="F2409" s="8">
        <v>41012</v>
      </c>
      <c r="G2409" s="8">
        <v>41010</v>
      </c>
      <c r="Y2409" s="8"/>
    </row>
    <row r="2410" spans="1:25" x14ac:dyDescent="0.25">
      <c r="A2410" t="str">
        <f>"12-0221"</f>
        <v>12-0221</v>
      </c>
      <c r="D2410" s="8">
        <v>41010</v>
      </c>
      <c r="F2410" s="8">
        <v>41010</v>
      </c>
      <c r="G2410" s="8">
        <v>41009</v>
      </c>
      <c r="Y2410" s="8"/>
    </row>
    <row r="2411" spans="1:25" x14ac:dyDescent="0.25">
      <c r="A2411" t="str">
        <f>"12-0222"</f>
        <v>12-0222</v>
      </c>
      <c r="D2411" s="8">
        <v>41010</v>
      </c>
      <c r="F2411" s="8">
        <v>41010</v>
      </c>
      <c r="G2411" s="8">
        <v>41010</v>
      </c>
      <c r="Y2411" s="8"/>
    </row>
    <row r="2412" spans="1:25" x14ac:dyDescent="0.25">
      <c r="A2412" t="str">
        <f>"12-0223"</f>
        <v>12-0223</v>
      </c>
      <c r="D2412" s="8">
        <v>41010</v>
      </c>
      <c r="F2412" s="8">
        <v>41010</v>
      </c>
      <c r="G2412" s="8">
        <v>41012</v>
      </c>
      <c r="Y2412" s="8"/>
    </row>
    <row r="2413" spans="1:25" x14ac:dyDescent="0.25">
      <c r="A2413" t="str">
        <f>"12-0224"</f>
        <v>12-0224</v>
      </c>
      <c r="D2413" s="8">
        <v>41010</v>
      </c>
      <c r="F2413" s="8">
        <v>41010</v>
      </c>
      <c r="G2413" s="8">
        <v>41010</v>
      </c>
      <c r="Y2413" s="8"/>
    </row>
    <row r="2414" spans="1:25" x14ac:dyDescent="0.25">
      <c r="A2414" t="str">
        <f>"12-0225"</f>
        <v>12-0225</v>
      </c>
      <c r="D2414" s="8">
        <v>41010</v>
      </c>
      <c r="F2414" s="8">
        <v>41022</v>
      </c>
      <c r="G2414" s="8">
        <v>41010</v>
      </c>
      <c r="Y2414" s="8"/>
    </row>
    <row r="2415" spans="1:25" x14ac:dyDescent="0.25">
      <c r="A2415" t="str">
        <f>"12-0226"</f>
        <v>12-0226</v>
      </c>
      <c r="D2415" s="8">
        <v>41010</v>
      </c>
      <c r="F2415" s="8">
        <v>41011</v>
      </c>
      <c r="G2415" s="8">
        <v>41010</v>
      </c>
      <c r="Y2415" s="8"/>
    </row>
    <row r="2416" spans="1:25" x14ac:dyDescent="0.25">
      <c r="A2416" t="str">
        <f>"12-0219"</f>
        <v>12-0219</v>
      </c>
      <c r="D2416" s="8">
        <v>41009</v>
      </c>
      <c r="G2416" s="8">
        <v>41009</v>
      </c>
      <c r="Y2416" s="8"/>
    </row>
    <row r="2417" spans="1:25" x14ac:dyDescent="0.25">
      <c r="A2417" t="str">
        <f>"12-0220"</f>
        <v>12-0220</v>
      </c>
      <c r="D2417" s="8">
        <v>41009</v>
      </c>
      <c r="F2417" s="8">
        <v>41009</v>
      </c>
      <c r="G2417" s="8">
        <v>41009</v>
      </c>
      <c r="Y2417" s="8"/>
    </row>
    <row r="2418" spans="1:25" x14ac:dyDescent="0.25">
      <c r="A2418" t="str">
        <f>"12-0212"</f>
        <v>12-0212</v>
      </c>
      <c r="D2418" s="8">
        <v>41005</v>
      </c>
      <c r="F2418" s="8">
        <v>41005</v>
      </c>
      <c r="G2418" s="8">
        <v>41005</v>
      </c>
      <c r="Y2418" s="8"/>
    </row>
    <row r="2419" spans="1:25" x14ac:dyDescent="0.25">
      <c r="A2419" t="str">
        <f>"12-0213"</f>
        <v>12-0213</v>
      </c>
      <c r="D2419" s="8">
        <v>41005</v>
      </c>
      <c r="F2419" s="8">
        <v>41005</v>
      </c>
      <c r="G2419" s="8">
        <v>41005</v>
      </c>
      <c r="Y2419" s="8"/>
    </row>
    <row r="2420" spans="1:25" x14ac:dyDescent="0.25">
      <c r="A2420" t="str">
        <f>"12-0214"</f>
        <v>12-0214</v>
      </c>
      <c r="D2420" s="8">
        <v>41005</v>
      </c>
      <c r="F2420" s="8">
        <v>41005</v>
      </c>
      <c r="G2420" s="8">
        <v>41005</v>
      </c>
      <c r="Y2420" s="8"/>
    </row>
    <row r="2421" spans="1:25" x14ac:dyDescent="0.25">
      <c r="A2421" t="str">
        <f>"12-0215"</f>
        <v>12-0215</v>
      </c>
      <c r="D2421" s="8">
        <v>41005</v>
      </c>
      <c r="F2421" s="8">
        <v>41005</v>
      </c>
      <c r="G2421" s="8">
        <v>41005</v>
      </c>
      <c r="Y2421" s="8"/>
    </row>
    <row r="2422" spans="1:25" x14ac:dyDescent="0.25">
      <c r="A2422" t="str">
        <f>"12-0216"</f>
        <v>12-0216</v>
      </c>
      <c r="D2422" s="8">
        <v>41005</v>
      </c>
      <c r="F2422" s="8">
        <v>41005</v>
      </c>
      <c r="G2422" s="8">
        <v>41005</v>
      </c>
      <c r="Y2422" s="8"/>
    </row>
    <row r="2423" spans="1:25" x14ac:dyDescent="0.25">
      <c r="A2423" t="str">
        <f>"12-0217"</f>
        <v>12-0217</v>
      </c>
      <c r="D2423" s="8">
        <v>41005</v>
      </c>
      <c r="F2423" s="8">
        <v>41040</v>
      </c>
      <c r="G2423" s="8">
        <v>41005</v>
      </c>
      <c r="Y2423" s="8"/>
    </row>
    <row r="2424" spans="1:25" x14ac:dyDescent="0.25">
      <c r="A2424" t="str">
        <f>"12-0218"</f>
        <v>12-0218</v>
      </c>
      <c r="D2424" s="8">
        <v>41005</v>
      </c>
      <c r="F2424" s="8">
        <v>41005</v>
      </c>
      <c r="G2424" s="8">
        <v>41005</v>
      </c>
      <c r="Y2424" s="8"/>
    </row>
    <row r="2425" spans="1:25" x14ac:dyDescent="0.25">
      <c r="A2425" t="str">
        <f>"12-0207B"</f>
        <v>12-0207B</v>
      </c>
      <c r="D2425" s="8">
        <v>41003</v>
      </c>
      <c r="F2425" s="8">
        <v>41003</v>
      </c>
      <c r="G2425" s="8">
        <v>41003</v>
      </c>
      <c r="Y2425" s="8"/>
    </row>
    <row r="2426" spans="1:25" x14ac:dyDescent="0.25">
      <c r="A2426" t="str">
        <f>"12-0209"</f>
        <v>12-0209</v>
      </c>
      <c r="D2426" s="8">
        <v>41003</v>
      </c>
      <c r="F2426" s="8">
        <v>41003</v>
      </c>
      <c r="G2426" s="8">
        <v>41003</v>
      </c>
      <c r="Y2426" s="8"/>
    </row>
    <row r="2427" spans="1:25" x14ac:dyDescent="0.25">
      <c r="A2427" t="str">
        <f>"12-0210"</f>
        <v>12-0210</v>
      </c>
      <c r="D2427" s="8">
        <v>41003</v>
      </c>
      <c r="F2427" s="8">
        <v>41003</v>
      </c>
      <c r="G2427" s="8">
        <v>41003</v>
      </c>
      <c r="Y2427" s="8"/>
    </row>
    <row r="2428" spans="1:25" x14ac:dyDescent="0.25">
      <c r="A2428" t="str">
        <f>"12-0211"</f>
        <v>12-0211</v>
      </c>
      <c r="D2428" s="8">
        <v>41003</v>
      </c>
      <c r="F2428" s="8">
        <v>41003</v>
      </c>
      <c r="G2428" s="8">
        <v>41003</v>
      </c>
      <c r="Y2428" s="8"/>
    </row>
    <row r="2429" spans="1:25" x14ac:dyDescent="0.25">
      <c r="A2429" t="str">
        <f>"12-0204"</f>
        <v>12-0204</v>
      </c>
      <c r="D2429" s="8">
        <v>41002</v>
      </c>
      <c r="F2429" s="8">
        <v>41002</v>
      </c>
      <c r="G2429" s="8">
        <v>41002</v>
      </c>
      <c r="Y2429" s="8"/>
    </row>
    <row r="2430" spans="1:25" x14ac:dyDescent="0.25">
      <c r="A2430" t="str">
        <f>"12-0205"</f>
        <v>12-0205</v>
      </c>
      <c r="D2430" s="8">
        <v>41002</v>
      </c>
      <c r="F2430" s="8">
        <v>41002</v>
      </c>
      <c r="G2430" s="8">
        <v>41002</v>
      </c>
      <c r="Y2430" s="8"/>
    </row>
    <row r="2431" spans="1:25" x14ac:dyDescent="0.25">
      <c r="A2431" t="str">
        <f>"12-0206"</f>
        <v>12-0206</v>
      </c>
      <c r="D2431" s="8">
        <v>41002</v>
      </c>
      <c r="F2431" s="8">
        <v>41002</v>
      </c>
      <c r="G2431" s="8">
        <v>41005</v>
      </c>
      <c r="Y2431" s="8"/>
    </row>
    <row r="2432" spans="1:25" x14ac:dyDescent="0.25">
      <c r="A2432" t="str">
        <f>"12-0207"</f>
        <v>12-0207</v>
      </c>
      <c r="D2432" s="8">
        <v>41002</v>
      </c>
      <c r="F2432" s="8">
        <v>41002</v>
      </c>
      <c r="G2432" s="8">
        <v>41002</v>
      </c>
      <c r="Y2432" s="8"/>
    </row>
    <row r="2433" spans="1:25" x14ac:dyDescent="0.25">
      <c r="A2433" t="str">
        <f>"12-0208"</f>
        <v>12-0208</v>
      </c>
      <c r="D2433" s="8">
        <v>41002</v>
      </c>
      <c r="F2433" s="8">
        <v>41002</v>
      </c>
      <c r="G2433" s="8">
        <v>41002</v>
      </c>
      <c r="Y2433" s="8"/>
    </row>
    <row r="2434" spans="1:25" x14ac:dyDescent="0.25">
      <c r="A2434" t="str">
        <f>"12-0128"</f>
        <v>12-0128</v>
      </c>
      <c r="D2434" s="8">
        <v>41001</v>
      </c>
      <c r="F2434" s="8">
        <v>41001</v>
      </c>
      <c r="G2434" s="8">
        <v>40970</v>
      </c>
      <c r="Y2434" s="8"/>
    </row>
    <row r="2435" spans="1:25" x14ac:dyDescent="0.25">
      <c r="A2435" t="str">
        <f>"12-0202"</f>
        <v>12-0202</v>
      </c>
      <c r="D2435" s="8">
        <v>41001</v>
      </c>
      <c r="F2435" s="8">
        <v>41001</v>
      </c>
      <c r="G2435" s="8">
        <v>41001</v>
      </c>
      <c r="Y2435" s="8"/>
    </row>
    <row r="2436" spans="1:25" x14ac:dyDescent="0.25">
      <c r="A2436" t="str">
        <f>"12-0203"</f>
        <v>12-0203</v>
      </c>
      <c r="D2436" s="8">
        <v>41001</v>
      </c>
      <c r="F2436" s="8">
        <v>41001</v>
      </c>
      <c r="G2436" s="8">
        <v>41001</v>
      </c>
      <c r="Y2436" s="8"/>
    </row>
    <row r="2437" spans="1:25" x14ac:dyDescent="0.25">
      <c r="A2437" t="str">
        <f>"12-0195"</f>
        <v>12-0195</v>
      </c>
      <c r="D2437" s="8">
        <v>40998</v>
      </c>
      <c r="F2437" s="8">
        <v>41612</v>
      </c>
      <c r="G2437" s="8">
        <v>40998</v>
      </c>
      <c r="Y2437" s="8"/>
    </row>
    <row r="2438" spans="1:25" x14ac:dyDescent="0.25">
      <c r="A2438" t="str">
        <f>"12-0196"</f>
        <v>12-0196</v>
      </c>
      <c r="D2438" s="8">
        <v>40998</v>
      </c>
      <c r="F2438" s="8">
        <v>40998</v>
      </c>
      <c r="G2438" s="8">
        <v>40998</v>
      </c>
      <c r="Y2438" s="8"/>
    </row>
    <row r="2439" spans="1:25" x14ac:dyDescent="0.25">
      <c r="A2439" t="str">
        <f>"12-0197"</f>
        <v>12-0197</v>
      </c>
      <c r="D2439" s="8">
        <v>40998</v>
      </c>
      <c r="F2439" s="8">
        <v>41382</v>
      </c>
      <c r="G2439" s="8">
        <v>40998</v>
      </c>
      <c r="Y2439" s="8"/>
    </row>
    <row r="2440" spans="1:25" x14ac:dyDescent="0.25">
      <c r="A2440" t="str">
        <f>"12-0198"</f>
        <v>12-0198</v>
      </c>
      <c r="D2440" s="8">
        <v>40998</v>
      </c>
      <c r="F2440" s="8">
        <v>40998</v>
      </c>
      <c r="G2440" s="8">
        <v>40998</v>
      </c>
      <c r="Y2440" s="8"/>
    </row>
    <row r="2441" spans="1:25" x14ac:dyDescent="0.25">
      <c r="A2441" t="str">
        <f>"12-0199"</f>
        <v>12-0199</v>
      </c>
      <c r="D2441" s="8">
        <v>40998</v>
      </c>
      <c r="F2441" s="8">
        <v>40998</v>
      </c>
      <c r="G2441" s="8">
        <v>40998</v>
      </c>
      <c r="Y2441" s="8"/>
    </row>
    <row r="2442" spans="1:25" x14ac:dyDescent="0.25">
      <c r="A2442" t="str">
        <f>"12-0200"</f>
        <v>12-0200</v>
      </c>
      <c r="D2442" s="8">
        <v>40998</v>
      </c>
      <c r="F2442" s="8">
        <v>41004</v>
      </c>
      <c r="G2442" s="8">
        <v>40998</v>
      </c>
      <c r="Y2442" s="8"/>
    </row>
    <row r="2443" spans="1:25" x14ac:dyDescent="0.25">
      <c r="A2443" t="str">
        <f>"12-0201"</f>
        <v>12-0201</v>
      </c>
      <c r="D2443" s="8">
        <v>40998</v>
      </c>
      <c r="F2443" s="8">
        <v>41001</v>
      </c>
      <c r="G2443" s="8">
        <v>40998</v>
      </c>
      <c r="Y2443" s="8"/>
    </row>
    <row r="2444" spans="1:25" x14ac:dyDescent="0.25">
      <c r="A2444" t="str">
        <f>"12-0192"</f>
        <v>12-0192</v>
      </c>
      <c r="D2444" s="8">
        <v>40997</v>
      </c>
      <c r="F2444" s="8">
        <v>40997</v>
      </c>
      <c r="G2444" s="8">
        <v>40997</v>
      </c>
      <c r="Y2444" s="8"/>
    </row>
    <row r="2445" spans="1:25" x14ac:dyDescent="0.25">
      <c r="A2445" t="str">
        <f>"12-0193"</f>
        <v>12-0193</v>
      </c>
      <c r="D2445" s="8">
        <v>40997</v>
      </c>
      <c r="F2445" s="8">
        <v>40997</v>
      </c>
      <c r="G2445" s="8">
        <v>40997</v>
      </c>
      <c r="Y2445" s="8"/>
    </row>
    <row r="2446" spans="1:25" x14ac:dyDescent="0.25">
      <c r="A2446" t="str">
        <f>"12-0194"</f>
        <v>12-0194</v>
      </c>
      <c r="D2446" s="8">
        <v>40997</v>
      </c>
      <c r="F2446" s="8">
        <v>40997</v>
      </c>
      <c r="G2446" s="8">
        <v>40997</v>
      </c>
      <c r="Y2446" s="8"/>
    </row>
    <row r="2447" spans="1:25" x14ac:dyDescent="0.25">
      <c r="A2447" t="str">
        <f>"12-0187"</f>
        <v>12-0187</v>
      </c>
      <c r="D2447" s="8">
        <v>40996</v>
      </c>
      <c r="F2447" s="8">
        <v>40998</v>
      </c>
      <c r="G2447" s="8">
        <v>40996</v>
      </c>
      <c r="Y2447" s="8"/>
    </row>
    <row r="2448" spans="1:25" x14ac:dyDescent="0.25">
      <c r="A2448" t="str">
        <f>"12-0188"</f>
        <v>12-0188</v>
      </c>
      <c r="D2448" s="8">
        <v>40996</v>
      </c>
      <c r="F2448" s="8">
        <v>41010</v>
      </c>
      <c r="G2448" s="8">
        <v>40998</v>
      </c>
      <c r="Y2448" s="8"/>
    </row>
    <row r="2449" spans="1:25" x14ac:dyDescent="0.25">
      <c r="A2449" t="str">
        <f>"12-0189"</f>
        <v>12-0189</v>
      </c>
      <c r="D2449" s="8">
        <v>40996</v>
      </c>
      <c r="F2449" s="8">
        <v>40996</v>
      </c>
      <c r="G2449" s="8">
        <v>40996</v>
      </c>
      <c r="Y2449" s="8"/>
    </row>
    <row r="2450" spans="1:25" x14ac:dyDescent="0.25">
      <c r="A2450" t="str">
        <f>"12-0190"</f>
        <v>12-0190</v>
      </c>
      <c r="D2450" s="8">
        <v>40996</v>
      </c>
      <c r="F2450" s="8">
        <v>41001</v>
      </c>
      <c r="G2450" s="8">
        <v>41005</v>
      </c>
      <c r="Y2450" s="8"/>
    </row>
    <row r="2451" spans="1:25" x14ac:dyDescent="0.25">
      <c r="A2451" t="str">
        <f>"12-0191"</f>
        <v>12-0191</v>
      </c>
      <c r="D2451" s="8">
        <v>40996</v>
      </c>
      <c r="F2451" s="8">
        <v>40996</v>
      </c>
      <c r="G2451" s="8">
        <v>40996</v>
      </c>
      <c r="Y2451" s="8"/>
    </row>
    <row r="2452" spans="1:25" x14ac:dyDescent="0.25">
      <c r="A2452" t="str">
        <f>"12-0163B"</f>
        <v>12-0163B</v>
      </c>
      <c r="D2452" s="8">
        <v>40995</v>
      </c>
      <c r="F2452" s="8">
        <v>40995</v>
      </c>
      <c r="G2452" s="8">
        <v>40995</v>
      </c>
      <c r="Y2452" s="8"/>
    </row>
    <row r="2453" spans="1:25" x14ac:dyDescent="0.25">
      <c r="A2453" t="str">
        <f>"12-0184"</f>
        <v>12-0184</v>
      </c>
      <c r="D2453" s="8">
        <v>40995</v>
      </c>
      <c r="F2453" s="8">
        <v>41150</v>
      </c>
      <c r="G2453" s="8">
        <v>40997</v>
      </c>
      <c r="Y2453" s="8"/>
    </row>
    <row r="2454" spans="1:25" x14ac:dyDescent="0.25">
      <c r="A2454" t="str">
        <f>"12-0185"</f>
        <v>12-0185</v>
      </c>
      <c r="D2454" s="8">
        <v>40995</v>
      </c>
      <c r="F2454" s="8">
        <v>41011</v>
      </c>
      <c r="G2454" s="8">
        <v>40995</v>
      </c>
      <c r="Y2454" s="8"/>
    </row>
    <row r="2455" spans="1:25" x14ac:dyDescent="0.25">
      <c r="A2455" t="str">
        <f>"12-0186"</f>
        <v>12-0186</v>
      </c>
      <c r="D2455" s="8">
        <v>40995</v>
      </c>
      <c r="F2455" s="8">
        <v>40995</v>
      </c>
      <c r="G2455" s="8">
        <v>40995</v>
      </c>
      <c r="Y2455" s="8"/>
    </row>
    <row r="2456" spans="1:25" x14ac:dyDescent="0.25">
      <c r="A2456" t="str">
        <f>"12-0179"</f>
        <v>12-0179</v>
      </c>
      <c r="D2456" s="8">
        <v>40994</v>
      </c>
      <c r="F2456" s="8">
        <v>40994</v>
      </c>
      <c r="G2456" s="8">
        <v>40994</v>
      </c>
      <c r="Y2456" s="8"/>
    </row>
    <row r="2457" spans="1:25" x14ac:dyDescent="0.25">
      <c r="A2457" t="str">
        <f>"12-0180"</f>
        <v>12-0180</v>
      </c>
      <c r="D2457" s="8">
        <v>40994</v>
      </c>
      <c r="F2457" s="8">
        <v>40994</v>
      </c>
      <c r="G2457" s="8">
        <v>40994</v>
      </c>
      <c r="Y2457" s="8"/>
    </row>
    <row r="2458" spans="1:25" x14ac:dyDescent="0.25">
      <c r="A2458" t="str">
        <f>"12-0181"</f>
        <v>12-0181</v>
      </c>
      <c r="D2458" s="8">
        <v>40994</v>
      </c>
      <c r="F2458" s="8">
        <v>40994</v>
      </c>
      <c r="G2458" s="8">
        <v>40994</v>
      </c>
      <c r="Y2458" s="8"/>
    </row>
    <row r="2459" spans="1:25" x14ac:dyDescent="0.25">
      <c r="A2459" t="str">
        <f>"12-0182"</f>
        <v>12-0182</v>
      </c>
      <c r="D2459" s="8">
        <v>40994</v>
      </c>
      <c r="F2459" s="8">
        <v>40994</v>
      </c>
      <c r="G2459" s="8">
        <v>40994</v>
      </c>
      <c r="Y2459" s="8"/>
    </row>
    <row r="2460" spans="1:25" x14ac:dyDescent="0.25">
      <c r="A2460" t="str">
        <f>"12-0183"</f>
        <v>12-0183</v>
      </c>
      <c r="D2460" s="8">
        <v>40994</v>
      </c>
      <c r="F2460" s="8">
        <v>40994</v>
      </c>
      <c r="G2460" s="8">
        <v>40995</v>
      </c>
      <c r="Y2460" s="8"/>
    </row>
    <row r="2461" spans="1:25" x14ac:dyDescent="0.25">
      <c r="A2461" t="str">
        <f>"12-0176"</f>
        <v>12-0176</v>
      </c>
      <c r="D2461" s="8">
        <v>40991</v>
      </c>
      <c r="F2461" s="8">
        <v>40991</v>
      </c>
      <c r="G2461" s="8">
        <v>40995</v>
      </c>
      <c r="Y2461" s="8"/>
    </row>
    <row r="2462" spans="1:25" x14ac:dyDescent="0.25">
      <c r="A2462" t="str">
        <f>"12-0177"</f>
        <v>12-0177</v>
      </c>
      <c r="D2462" s="8">
        <v>40991</v>
      </c>
      <c r="F2462" s="8">
        <v>40991</v>
      </c>
      <c r="G2462" s="8">
        <v>40995</v>
      </c>
      <c r="Y2462" s="8"/>
    </row>
    <row r="2463" spans="1:25" x14ac:dyDescent="0.25">
      <c r="A2463" t="str">
        <f>"12-0178"</f>
        <v>12-0178</v>
      </c>
      <c r="D2463" s="8">
        <v>40991</v>
      </c>
      <c r="F2463" s="8">
        <v>41205</v>
      </c>
      <c r="G2463" s="8">
        <v>40993</v>
      </c>
      <c r="Y2463" s="8"/>
    </row>
    <row r="2464" spans="1:25" x14ac:dyDescent="0.25">
      <c r="A2464" t="str">
        <f>"12-0170"</f>
        <v>12-0170</v>
      </c>
      <c r="D2464" s="8">
        <v>40990</v>
      </c>
      <c r="F2464" s="8">
        <v>40990</v>
      </c>
      <c r="G2464" s="8">
        <v>40990</v>
      </c>
      <c r="Y2464" s="8"/>
    </row>
    <row r="2465" spans="1:25" x14ac:dyDescent="0.25">
      <c r="A2465" t="str">
        <f>"12-0171"</f>
        <v>12-0171</v>
      </c>
      <c r="D2465" s="8">
        <v>40990</v>
      </c>
      <c r="F2465" s="8">
        <v>40990</v>
      </c>
      <c r="G2465" s="8">
        <v>40990</v>
      </c>
      <c r="Y2465" s="8"/>
    </row>
    <row r="2466" spans="1:25" x14ac:dyDescent="0.25">
      <c r="A2466" t="str">
        <f>"12-0172"</f>
        <v>12-0172</v>
      </c>
      <c r="D2466" s="8">
        <v>40990</v>
      </c>
      <c r="F2466" s="8">
        <v>40990</v>
      </c>
      <c r="G2466" s="8">
        <v>40990</v>
      </c>
      <c r="Y2466" s="8"/>
    </row>
    <row r="2467" spans="1:25" x14ac:dyDescent="0.25">
      <c r="A2467" t="str">
        <f>"12-0173"</f>
        <v>12-0173</v>
      </c>
      <c r="D2467" s="8">
        <v>40990</v>
      </c>
      <c r="F2467" s="8">
        <v>40994</v>
      </c>
      <c r="G2467" s="8">
        <v>40990</v>
      </c>
      <c r="Y2467" s="8"/>
    </row>
    <row r="2468" spans="1:25" x14ac:dyDescent="0.25">
      <c r="A2468" t="str">
        <f>"12-0174"</f>
        <v>12-0174</v>
      </c>
      <c r="D2468" s="8">
        <v>40990</v>
      </c>
      <c r="F2468" s="8">
        <v>41004</v>
      </c>
      <c r="G2468" s="8">
        <v>40990</v>
      </c>
      <c r="Y2468" s="8"/>
    </row>
    <row r="2469" spans="1:25" x14ac:dyDescent="0.25">
      <c r="A2469" t="str">
        <f>"12-0175"</f>
        <v>12-0175</v>
      </c>
      <c r="D2469" s="8">
        <v>40990</v>
      </c>
      <c r="F2469" s="8">
        <v>40990</v>
      </c>
      <c r="G2469" s="8">
        <v>40990</v>
      </c>
      <c r="Y2469" s="8"/>
    </row>
    <row r="2470" spans="1:25" x14ac:dyDescent="0.25">
      <c r="A2470" t="str">
        <f>"12-0165"</f>
        <v>12-0165</v>
      </c>
      <c r="D2470" s="8">
        <v>40989</v>
      </c>
      <c r="F2470" s="8">
        <v>40989</v>
      </c>
      <c r="G2470" s="8">
        <v>40989</v>
      </c>
      <c r="Y2470" s="8"/>
    </row>
    <row r="2471" spans="1:25" x14ac:dyDescent="0.25">
      <c r="A2471" t="str">
        <f>"12-0166"</f>
        <v>12-0166</v>
      </c>
      <c r="D2471" s="8">
        <v>40989</v>
      </c>
      <c r="F2471" s="8">
        <v>40989</v>
      </c>
      <c r="G2471" s="8">
        <v>40989</v>
      </c>
      <c r="Y2471" s="8"/>
    </row>
    <row r="2472" spans="1:25" x14ac:dyDescent="0.25">
      <c r="A2472" t="str">
        <f>"12-0167"</f>
        <v>12-0167</v>
      </c>
      <c r="D2472" s="8">
        <v>40989</v>
      </c>
      <c r="F2472" s="8">
        <v>40989</v>
      </c>
      <c r="G2472" s="8">
        <v>40989</v>
      </c>
      <c r="Y2472" s="8"/>
    </row>
    <row r="2473" spans="1:25" x14ac:dyDescent="0.25">
      <c r="A2473" t="str">
        <f>"12-0168"</f>
        <v>12-0168</v>
      </c>
      <c r="D2473" s="8">
        <v>40989</v>
      </c>
      <c r="F2473" s="8">
        <v>41661</v>
      </c>
      <c r="G2473" s="8">
        <v>40989</v>
      </c>
      <c r="Y2473" s="8"/>
    </row>
    <row r="2474" spans="1:25" x14ac:dyDescent="0.25">
      <c r="A2474" t="str">
        <f>"12-0169"</f>
        <v>12-0169</v>
      </c>
      <c r="D2474" s="8">
        <v>40989</v>
      </c>
      <c r="F2474" s="8">
        <v>40989</v>
      </c>
      <c r="G2474" s="8">
        <v>40989</v>
      </c>
      <c r="Y2474" s="8"/>
    </row>
    <row r="2475" spans="1:25" x14ac:dyDescent="0.25">
      <c r="A2475" t="str">
        <f>"12-0148B"</f>
        <v>12-0148B</v>
      </c>
      <c r="D2475" s="8">
        <v>40988</v>
      </c>
      <c r="F2475" s="8">
        <v>40988</v>
      </c>
      <c r="G2475" s="8">
        <v>40988</v>
      </c>
      <c r="Y2475" s="8"/>
    </row>
    <row r="2476" spans="1:25" x14ac:dyDescent="0.25">
      <c r="A2476" t="str">
        <f>"12-0160"</f>
        <v>12-0160</v>
      </c>
      <c r="D2476" s="8">
        <v>40988</v>
      </c>
      <c r="F2476" s="8">
        <v>41100</v>
      </c>
      <c r="G2476" s="8">
        <v>40988</v>
      </c>
      <c r="Y2476" s="8"/>
    </row>
    <row r="2477" spans="1:25" x14ac:dyDescent="0.25">
      <c r="A2477" t="str">
        <f>"12-0162"</f>
        <v>12-0162</v>
      </c>
      <c r="D2477" s="8">
        <v>40988</v>
      </c>
      <c r="F2477" s="8">
        <v>41186</v>
      </c>
      <c r="G2477" s="8">
        <v>40988</v>
      </c>
      <c r="Y2477" s="8"/>
    </row>
    <row r="2478" spans="1:25" x14ac:dyDescent="0.25">
      <c r="A2478" t="str">
        <f>"12-0163"</f>
        <v>12-0163</v>
      </c>
      <c r="D2478" s="8">
        <v>40988</v>
      </c>
      <c r="F2478" s="8">
        <v>40988</v>
      </c>
      <c r="G2478" s="8">
        <v>40988</v>
      </c>
      <c r="Y2478" s="8"/>
    </row>
    <row r="2479" spans="1:25" x14ac:dyDescent="0.25">
      <c r="A2479" t="str">
        <f>"12-0164"</f>
        <v>12-0164</v>
      </c>
      <c r="D2479" s="8">
        <v>40988</v>
      </c>
      <c r="F2479" s="8">
        <v>40989</v>
      </c>
      <c r="G2479" s="8">
        <v>40989</v>
      </c>
      <c r="Y2479" s="8"/>
    </row>
    <row r="2480" spans="1:25" x14ac:dyDescent="0.25">
      <c r="A2480" t="str">
        <f>"12-0157"</f>
        <v>12-0157</v>
      </c>
      <c r="D2480" s="8">
        <v>40987</v>
      </c>
      <c r="G2480" s="8">
        <v>40987</v>
      </c>
      <c r="Y2480" s="8"/>
    </row>
    <row r="2481" spans="1:25" x14ac:dyDescent="0.25">
      <c r="A2481" t="str">
        <f>"12-0158"</f>
        <v>12-0158</v>
      </c>
      <c r="D2481" s="8">
        <v>40987</v>
      </c>
      <c r="F2481" s="8">
        <v>40987</v>
      </c>
      <c r="G2481" s="8">
        <v>40987</v>
      </c>
      <c r="Y2481" s="8"/>
    </row>
    <row r="2482" spans="1:25" x14ac:dyDescent="0.25">
      <c r="A2482" t="str">
        <f>"12-0159"</f>
        <v>12-0159</v>
      </c>
      <c r="D2482" s="8">
        <v>40987</v>
      </c>
      <c r="F2482" s="8">
        <v>40987</v>
      </c>
      <c r="G2482" s="8">
        <v>40987</v>
      </c>
      <c r="Y2482" s="8"/>
    </row>
    <row r="2483" spans="1:25" x14ac:dyDescent="0.25">
      <c r="A2483" t="str">
        <f>"12-0156"</f>
        <v>12-0156</v>
      </c>
      <c r="D2483" s="8">
        <v>40982</v>
      </c>
      <c r="F2483" s="8">
        <v>40982</v>
      </c>
      <c r="G2483" s="8">
        <v>40977</v>
      </c>
      <c r="Y2483" s="8"/>
    </row>
    <row r="2484" spans="1:25" x14ac:dyDescent="0.25">
      <c r="A2484" t="str">
        <f>"12-0094B"</f>
        <v>12-0094B</v>
      </c>
      <c r="D2484" s="8">
        <v>40981</v>
      </c>
      <c r="F2484" s="8">
        <v>42073</v>
      </c>
      <c r="G2484" s="8">
        <v>40981</v>
      </c>
      <c r="Y2484" s="8"/>
    </row>
    <row r="2485" spans="1:25" x14ac:dyDescent="0.25">
      <c r="A2485" t="str">
        <f>"12-0154"</f>
        <v>12-0154</v>
      </c>
      <c r="D2485" s="8">
        <v>40981</v>
      </c>
      <c r="F2485" s="8">
        <v>40981</v>
      </c>
      <c r="G2485" s="8">
        <v>40981</v>
      </c>
      <c r="Y2485" s="8"/>
    </row>
    <row r="2486" spans="1:25" x14ac:dyDescent="0.25">
      <c r="A2486" t="str">
        <f>"12-0155"</f>
        <v>12-0155</v>
      </c>
      <c r="D2486" s="8">
        <v>40981</v>
      </c>
      <c r="F2486" s="8">
        <v>40988</v>
      </c>
      <c r="G2486" s="8">
        <v>40983</v>
      </c>
      <c r="Y2486" s="8"/>
    </row>
    <row r="2487" spans="1:25" x14ac:dyDescent="0.25">
      <c r="A2487" t="str">
        <f>"12-0151"</f>
        <v>12-0151</v>
      </c>
      <c r="D2487" s="8">
        <v>40980</v>
      </c>
      <c r="F2487" s="8">
        <v>40980</v>
      </c>
      <c r="G2487" s="8">
        <v>40980</v>
      </c>
      <c r="Y2487" s="8"/>
    </row>
    <row r="2488" spans="1:25" x14ac:dyDescent="0.25">
      <c r="A2488" t="str">
        <f>"12-0152"</f>
        <v>12-0152</v>
      </c>
      <c r="D2488" s="8">
        <v>40980</v>
      </c>
      <c r="F2488" s="8">
        <v>40980</v>
      </c>
      <c r="G2488" s="8">
        <v>40975</v>
      </c>
      <c r="Y2488" s="8"/>
    </row>
    <row r="2489" spans="1:25" x14ac:dyDescent="0.25">
      <c r="A2489" t="str">
        <f>"12-0153"</f>
        <v>12-0153</v>
      </c>
      <c r="D2489" s="8">
        <v>40980</v>
      </c>
      <c r="F2489" s="8">
        <v>41394</v>
      </c>
      <c r="G2489" s="8">
        <v>40980</v>
      </c>
      <c r="Y2489" s="8"/>
    </row>
    <row r="2490" spans="1:25" x14ac:dyDescent="0.25">
      <c r="A2490" t="str">
        <f>"12-0148"</f>
        <v>12-0148</v>
      </c>
      <c r="D2490" s="8">
        <v>40977</v>
      </c>
      <c r="F2490" s="8">
        <v>40977</v>
      </c>
      <c r="G2490" s="8">
        <v>40977</v>
      </c>
      <c r="Y2490" s="8"/>
    </row>
    <row r="2491" spans="1:25" x14ac:dyDescent="0.25">
      <c r="A2491" t="str">
        <f>"12-0149"</f>
        <v>12-0149</v>
      </c>
      <c r="D2491" s="8">
        <v>40977</v>
      </c>
      <c r="F2491" s="8">
        <v>40980</v>
      </c>
      <c r="G2491" s="8">
        <v>40977</v>
      </c>
      <c r="Y2491" s="8"/>
    </row>
    <row r="2492" spans="1:25" x14ac:dyDescent="0.25">
      <c r="A2492" t="str">
        <f>"12-0150"</f>
        <v>12-0150</v>
      </c>
      <c r="D2492" s="8">
        <v>40977</v>
      </c>
      <c r="F2492" s="8">
        <v>40977</v>
      </c>
      <c r="G2492" s="8">
        <v>40977</v>
      </c>
      <c r="Y2492" s="8"/>
    </row>
    <row r="2493" spans="1:25" x14ac:dyDescent="0.25">
      <c r="A2493" t="str">
        <f>"12-0137B"</f>
        <v>12-0137B</v>
      </c>
      <c r="D2493" s="8">
        <v>40976</v>
      </c>
      <c r="F2493" s="8">
        <v>40976</v>
      </c>
      <c r="G2493" s="8">
        <v>40976</v>
      </c>
      <c r="Y2493" s="8"/>
    </row>
    <row r="2494" spans="1:25" x14ac:dyDescent="0.25">
      <c r="A2494" t="str">
        <f>"12-0147"</f>
        <v>12-0147</v>
      </c>
      <c r="D2494" s="8">
        <v>40976</v>
      </c>
      <c r="F2494" s="8">
        <v>40976</v>
      </c>
      <c r="G2494" s="8">
        <v>40976</v>
      </c>
      <c r="Y2494" s="8"/>
    </row>
    <row r="2495" spans="1:25" x14ac:dyDescent="0.25">
      <c r="A2495" t="str">
        <f>"12-0144"</f>
        <v>12-0144</v>
      </c>
      <c r="D2495" s="8">
        <v>40975</v>
      </c>
      <c r="F2495" s="8">
        <v>40995</v>
      </c>
      <c r="G2495" s="8">
        <v>40975</v>
      </c>
      <c r="Y2495" s="8"/>
    </row>
    <row r="2496" spans="1:25" x14ac:dyDescent="0.25">
      <c r="A2496" t="str">
        <f>"12-0145"</f>
        <v>12-0145</v>
      </c>
      <c r="D2496" s="8">
        <v>40975</v>
      </c>
      <c r="F2496" s="8">
        <v>40975</v>
      </c>
      <c r="G2496" s="8">
        <v>40975</v>
      </c>
      <c r="Y2496" s="8"/>
    </row>
    <row r="2497" spans="1:25" x14ac:dyDescent="0.25">
      <c r="A2497" t="str">
        <f>"12-0146"</f>
        <v>12-0146</v>
      </c>
      <c r="D2497" s="8">
        <v>40975</v>
      </c>
      <c r="F2497" s="8">
        <v>41229</v>
      </c>
      <c r="G2497" s="8">
        <v>40975</v>
      </c>
      <c r="Y2497" s="8"/>
    </row>
    <row r="2498" spans="1:25" x14ac:dyDescent="0.25">
      <c r="A2498" t="str">
        <f>"12-0143"</f>
        <v>12-0143</v>
      </c>
      <c r="D2498" s="8">
        <v>40974</v>
      </c>
      <c r="F2498" s="8">
        <v>40974</v>
      </c>
      <c r="G2498" s="8">
        <v>40976</v>
      </c>
      <c r="Y2498" s="8"/>
    </row>
    <row r="2499" spans="1:25" x14ac:dyDescent="0.25">
      <c r="A2499" t="str">
        <f>"12-0138"</f>
        <v>12-0138</v>
      </c>
      <c r="D2499" s="8">
        <v>40973</v>
      </c>
      <c r="F2499" s="8">
        <v>40973</v>
      </c>
      <c r="G2499" s="8">
        <v>40973</v>
      </c>
      <c r="Y2499" s="8"/>
    </row>
    <row r="2500" spans="1:25" x14ac:dyDescent="0.25">
      <c r="A2500" t="str">
        <f>"12-0139"</f>
        <v>12-0139</v>
      </c>
      <c r="D2500" s="8">
        <v>40973</v>
      </c>
      <c r="F2500" s="8">
        <v>40973</v>
      </c>
      <c r="G2500" s="8">
        <v>40977</v>
      </c>
      <c r="Y2500" s="8"/>
    </row>
    <row r="2501" spans="1:25" x14ac:dyDescent="0.25">
      <c r="A2501" t="str">
        <f>"12-0140"</f>
        <v>12-0140</v>
      </c>
      <c r="D2501" s="8">
        <v>40973</v>
      </c>
      <c r="F2501" s="8">
        <v>40973</v>
      </c>
      <c r="G2501" s="8">
        <v>40973</v>
      </c>
      <c r="Y2501" s="8"/>
    </row>
    <row r="2502" spans="1:25" x14ac:dyDescent="0.25">
      <c r="A2502" t="str">
        <f>"12-0141"</f>
        <v>12-0141</v>
      </c>
      <c r="D2502" s="8">
        <v>40973</v>
      </c>
      <c r="F2502" s="8">
        <v>40987</v>
      </c>
      <c r="G2502" s="8">
        <v>40976</v>
      </c>
      <c r="Y2502" s="8"/>
    </row>
    <row r="2503" spans="1:25" x14ac:dyDescent="0.25">
      <c r="A2503" t="str">
        <f>"12-0142"</f>
        <v>12-0142</v>
      </c>
      <c r="D2503" s="8">
        <v>40973</v>
      </c>
      <c r="F2503" s="8">
        <v>40973</v>
      </c>
      <c r="G2503" s="8">
        <v>40973</v>
      </c>
      <c r="Y2503" s="8"/>
    </row>
    <row r="2504" spans="1:25" x14ac:dyDescent="0.25">
      <c r="A2504" t="str">
        <f>"12-0136"</f>
        <v>12-0136</v>
      </c>
      <c r="D2504" s="8">
        <v>40970</v>
      </c>
      <c r="F2504" s="8">
        <v>40973</v>
      </c>
      <c r="G2504" s="8">
        <v>40970</v>
      </c>
      <c r="Y2504" s="8"/>
    </row>
    <row r="2505" spans="1:25" x14ac:dyDescent="0.25">
      <c r="A2505" t="str">
        <f>"12-0137"</f>
        <v>12-0137</v>
      </c>
      <c r="D2505" s="8">
        <v>40970</v>
      </c>
      <c r="F2505" s="8">
        <v>40970</v>
      </c>
      <c r="G2505" s="8">
        <v>40970</v>
      </c>
      <c r="Y2505" s="8"/>
    </row>
    <row r="2506" spans="1:25" x14ac:dyDescent="0.25">
      <c r="A2506" t="str">
        <f>"12-0135"</f>
        <v>12-0135</v>
      </c>
      <c r="D2506" s="8">
        <v>40969</v>
      </c>
      <c r="F2506" s="8">
        <v>40969</v>
      </c>
      <c r="G2506" s="8">
        <v>40969</v>
      </c>
      <c r="Y2506" s="8"/>
    </row>
    <row r="2507" spans="1:25" x14ac:dyDescent="0.25">
      <c r="A2507" t="str">
        <f>"12-0131"</f>
        <v>12-0131</v>
      </c>
      <c r="D2507" s="8">
        <v>40968</v>
      </c>
      <c r="F2507" s="8">
        <v>41169</v>
      </c>
      <c r="G2507" s="8">
        <v>40970</v>
      </c>
      <c r="Y2507" s="8"/>
    </row>
    <row r="2508" spans="1:25" x14ac:dyDescent="0.25">
      <c r="A2508" t="str">
        <f>"12-0132"</f>
        <v>12-0132</v>
      </c>
      <c r="D2508" s="8">
        <v>40968</v>
      </c>
      <c r="F2508" s="8">
        <v>40968</v>
      </c>
      <c r="G2508" s="8">
        <v>40968</v>
      </c>
      <c r="Y2508" s="8"/>
    </row>
    <row r="2509" spans="1:25" x14ac:dyDescent="0.25">
      <c r="A2509" t="str">
        <f>"12-0133"</f>
        <v>12-0133</v>
      </c>
      <c r="D2509" s="8">
        <v>40968</v>
      </c>
      <c r="F2509" s="8">
        <v>40968</v>
      </c>
      <c r="G2509" s="8">
        <v>40968</v>
      </c>
      <c r="Y2509" s="8"/>
    </row>
    <row r="2510" spans="1:25" x14ac:dyDescent="0.25">
      <c r="A2510" t="str">
        <f>"12-0134"</f>
        <v>12-0134</v>
      </c>
      <c r="D2510" s="8">
        <v>40968</v>
      </c>
      <c r="F2510" s="8">
        <v>40968</v>
      </c>
      <c r="G2510" s="8">
        <v>40968</v>
      </c>
      <c r="Y2510" s="8"/>
    </row>
    <row r="2511" spans="1:25" x14ac:dyDescent="0.25">
      <c r="A2511" t="str">
        <f>"12-0026B"</f>
        <v>12-0026B</v>
      </c>
      <c r="D2511" s="8">
        <v>40967</v>
      </c>
      <c r="F2511" s="8">
        <v>40967</v>
      </c>
      <c r="G2511" s="8">
        <v>40967</v>
      </c>
      <c r="Y2511" s="8"/>
    </row>
    <row r="2512" spans="1:25" x14ac:dyDescent="0.25">
      <c r="A2512" t="str">
        <f>"12-0129"</f>
        <v>12-0129</v>
      </c>
      <c r="D2512" s="8">
        <v>40967</v>
      </c>
      <c r="F2512" s="8">
        <v>40967</v>
      </c>
      <c r="G2512" s="8">
        <v>40967</v>
      </c>
      <c r="Y2512" s="8"/>
    </row>
    <row r="2513" spans="1:25" x14ac:dyDescent="0.25">
      <c r="A2513" t="str">
        <f>"12-0130"</f>
        <v>12-0130</v>
      </c>
      <c r="D2513" s="8">
        <v>40967</v>
      </c>
      <c r="F2513" s="8">
        <v>40967</v>
      </c>
      <c r="G2513" s="8">
        <v>40967</v>
      </c>
      <c r="Y2513" s="8"/>
    </row>
    <row r="2514" spans="1:25" x14ac:dyDescent="0.25">
      <c r="A2514" t="str">
        <f>"11-0639B"</f>
        <v>11-0639B</v>
      </c>
      <c r="D2514" s="8">
        <v>40966</v>
      </c>
      <c r="F2514" s="8">
        <v>40966</v>
      </c>
      <c r="G2514" s="8">
        <v>40968</v>
      </c>
      <c r="Y2514" s="8"/>
    </row>
    <row r="2515" spans="1:25" x14ac:dyDescent="0.25">
      <c r="A2515" t="str">
        <f>"12-0125"</f>
        <v>12-0125</v>
      </c>
      <c r="D2515" s="8">
        <v>40966</v>
      </c>
      <c r="F2515" s="8">
        <v>40966</v>
      </c>
      <c r="G2515" s="8">
        <v>40966</v>
      </c>
      <c r="Y2515" s="8"/>
    </row>
    <row r="2516" spans="1:25" x14ac:dyDescent="0.25">
      <c r="A2516" t="str">
        <f>"12-0126"</f>
        <v>12-0126</v>
      </c>
      <c r="D2516" s="8">
        <v>40966</v>
      </c>
      <c r="F2516" s="8">
        <v>41095</v>
      </c>
      <c r="G2516" s="8">
        <v>40966</v>
      </c>
      <c r="Y2516" s="8"/>
    </row>
    <row r="2517" spans="1:25" x14ac:dyDescent="0.25">
      <c r="A2517" t="str">
        <f>"12-0127"</f>
        <v>12-0127</v>
      </c>
      <c r="D2517" s="8">
        <v>40966</v>
      </c>
      <c r="F2517" s="8">
        <v>40966</v>
      </c>
      <c r="G2517" s="8">
        <v>40966</v>
      </c>
      <c r="Y2517" s="8"/>
    </row>
    <row r="2518" spans="1:25" x14ac:dyDescent="0.25">
      <c r="A2518" t="str">
        <f>"12-0121"</f>
        <v>12-0121</v>
      </c>
      <c r="D2518" s="8">
        <v>40963</v>
      </c>
      <c r="F2518" s="8">
        <v>40963</v>
      </c>
      <c r="G2518" s="8">
        <v>40962</v>
      </c>
      <c r="Y2518" s="8"/>
    </row>
    <row r="2519" spans="1:25" x14ac:dyDescent="0.25">
      <c r="A2519" t="str">
        <f>"12-0122"</f>
        <v>12-0122</v>
      </c>
      <c r="D2519" s="8">
        <v>40963</v>
      </c>
      <c r="F2519" s="8">
        <v>40963</v>
      </c>
      <c r="G2519" s="8">
        <v>40963</v>
      </c>
      <c r="Y2519" s="8"/>
    </row>
    <row r="2520" spans="1:25" x14ac:dyDescent="0.25">
      <c r="A2520" t="str">
        <f>"12-0123"</f>
        <v>12-0123</v>
      </c>
      <c r="D2520" s="8">
        <v>40963</v>
      </c>
      <c r="F2520" s="8">
        <v>40963</v>
      </c>
      <c r="G2520" s="8">
        <v>40963</v>
      </c>
      <c r="Y2520" s="8"/>
    </row>
    <row r="2521" spans="1:25" x14ac:dyDescent="0.25">
      <c r="A2521" t="str">
        <f>"12-0124"</f>
        <v>12-0124</v>
      </c>
      <c r="D2521" s="8">
        <v>40963</v>
      </c>
      <c r="F2521" s="8">
        <v>41806</v>
      </c>
      <c r="G2521" s="8">
        <v>40963</v>
      </c>
      <c r="Y2521" s="8"/>
    </row>
    <row r="2522" spans="1:25" x14ac:dyDescent="0.25">
      <c r="A2522" t="str">
        <f>"12-0119"</f>
        <v>12-0119</v>
      </c>
      <c r="D2522" s="8">
        <v>40962</v>
      </c>
      <c r="F2522" s="8">
        <v>40962</v>
      </c>
      <c r="G2522" s="8">
        <v>40962</v>
      </c>
      <c r="Y2522" s="8"/>
    </row>
    <row r="2523" spans="1:25" x14ac:dyDescent="0.25">
      <c r="A2523" t="str">
        <f>"12-0120"</f>
        <v>12-0120</v>
      </c>
      <c r="D2523" s="8">
        <v>40962</v>
      </c>
      <c r="F2523" s="8">
        <v>40962</v>
      </c>
      <c r="G2523" s="8">
        <v>40962</v>
      </c>
      <c r="Y2523" s="8"/>
    </row>
    <row r="2524" spans="1:25" x14ac:dyDescent="0.25">
      <c r="A2524" t="str">
        <f>"11-0662B"</f>
        <v>11-0662B</v>
      </c>
      <c r="D2524" s="8">
        <v>40961</v>
      </c>
      <c r="F2524" s="8">
        <v>41053</v>
      </c>
      <c r="G2524" s="8">
        <v>40961</v>
      </c>
      <c r="Y2524" s="8"/>
    </row>
    <row r="2525" spans="1:25" x14ac:dyDescent="0.25">
      <c r="A2525" t="str">
        <f>"12-0118"</f>
        <v>12-0118</v>
      </c>
      <c r="D2525" s="8">
        <v>40961</v>
      </c>
      <c r="F2525" s="8">
        <v>40961</v>
      </c>
      <c r="G2525" s="8">
        <v>40961</v>
      </c>
      <c r="Y2525" s="8"/>
    </row>
    <row r="2526" spans="1:25" x14ac:dyDescent="0.25">
      <c r="A2526" t="str">
        <f>"12-0116"</f>
        <v>12-0116</v>
      </c>
      <c r="D2526" s="8">
        <v>40960</v>
      </c>
      <c r="F2526" s="8">
        <v>40960</v>
      </c>
      <c r="G2526" s="8">
        <v>40960</v>
      </c>
      <c r="Y2526" s="8"/>
    </row>
    <row r="2527" spans="1:25" x14ac:dyDescent="0.25">
      <c r="A2527" t="str">
        <f>"12-0117"</f>
        <v>12-0117</v>
      </c>
      <c r="D2527" s="8">
        <v>40960</v>
      </c>
      <c r="F2527" s="8">
        <v>40960</v>
      </c>
      <c r="G2527" s="8">
        <v>40960</v>
      </c>
      <c r="Y2527" s="8"/>
    </row>
    <row r="2528" spans="1:25" x14ac:dyDescent="0.25">
      <c r="A2528" t="str">
        <f>"11-0600B"</f>
        <v>11-0600B</v>
      </c>
      <c r="D2528" s="8">
        <v>40959</v>
      </c>
      <c r="F2528" s="8">
        <v>40962</v>
      </c>
      <c r="G2528" s="8">
        <v>40959</v>
      </c>
      <c r="Y2528" s="8"/>
    </row>
    <row r="2529" spans="1:25" x14ac:dyDescent="0.25">
      <c r="A2529" t="str">
        <f>"12-0114"</f>
        <v>12-0114</v>
      </c>
      <c r="D2529" s="8">
        <v>40959</v>
      </c>
      <c r="F2529" s="8">
        <v>40960</v>
      </c>
      <c r="G2529" s="8">
        <v>40959</v>
      </c>
      <c r="Y2529" s="8"/>
    </row>
    <row r="2530" spans="1:25" x14ac:dyDescent="0.25">
      <c r="A2530" t="str">
        <f>"12-0115"</f>
        <v>12-0115</v>
      </c>
      <c r="D2530" s="8">
        <v>40959</v>
      </c>
      <c r="F2530" s="8">
        <v>40988</v>
      </c>
      <c r="G2530" s="8">
        <v>40959</v>
      </c>
      <c r="Y2530" s="8"/>
    </row>
    <row r="2531" spans="1:25" x14ac:dyDescent="0.25">
      <c r="A2531" t="str">
        <f>"12-0109B"</f>
        <v>12-0109B</v>
      </c>
      <c r="D2531" s="8">
        <v>40956</v>
      </c>
      <c r="F2531" s="8">
        <v>40956</v>
      </c>
      <c r="G2531" s="8">
        <v>40956</v>
      </c>
      <c r="Y2531" s="8"/>
    </row>
    <row r="2532" spans="1:25" x14ac:dyDescent="0.25">
      <c r="A2532" t="str">
        <f>"12-0109C"</f>
        <v>12-0109C</v>
      </c>
      <c r="D2532" s="8">
        <v>40956</v>
      </c>
      <c r="F2532" s="8">
        <v>41204</v>
      </c>
      <c r="G2532" s="8">
        <v>41564</v>
      </c>
      <c r="Y2532" s="8"/>
    </row>
    <row r="2533" spans="1:25" x14ac:dyDescent="0.25">
      <c r="A2533" t="str">
        <f>"12-0110"</f>
        <v>12-0110</v>
      </c>
      <c r="D2533" s="8">
        <v>40956</v>
      </c>
      <c r="F2533" s="8">
        <v>40956</v>
      </c>
      <c r="G2533" s="8">
        <v>40956</v>
      </c>
      <c r="Y2533" s="8"/>
    </row>
    <row r="2534" spans="1:25" x14ac:dyDescent="0.25">
      <c r="A2534" t="str">
        <f>"12-0111"</f>
        <v>12-0111</v>
      </c>
      <c r="D2534" s="8">
        <v>40956</v>
      </c>
      <c r="F2534" s="8">
        <v>40956</v>
      </c>
      <c r="G2534" s="8">
        <v>40956</v>
      </c>
      <c r="Y2534" s="8"/>
    </row>
    <row r="2535" spans="1:25" x14ac:dyDescent="0.25">
      <c r="A2535" t="str">
        <f>"12-0112"</f>
        <v>12-0112</v>
      </c>
      <c r="D2535" s="8">
        <v>40956</v>
      </c>
      <c r="F2535" s="8">
        <v>40959</v>
      </c>
      <c r="G2535" s="8">
        <v>40956</v>
      </c>
      <c r="Y2535" s="8"/>
    </row>
    <row r="2536" spans="1:25" x14ac:dyDescent="0.25">
      <c r="A2536" t="str">
        <f>"12-0113"</f>
        <v>12-0113</v>
      </c>
      <c r="D2536" s="8">
        <v>40956</v>
      </c>
      <c r="F2536" s="8">
        <v>40959</v>
      </c>
      <c r="G2536" s="8">
        <v>40956</v>
      </c>
      <c r="Y2536" s="8"/>
    </row>
    <row r="2537" spans="1:25" x14ac:dyDescent="0.25">
      <c r="A2537" t="str">
        <f>"12-0109"</f>
        <v>12-0109</v>
      </c>
      <c r="D2537" s="8">
        <v>40955</v>
      </c>
      <c r="F2537" s="8">
        <v>40956</v>
      </c>
      <c r="G2537" s="8">
        <v>40955</v>
      </c>
      <c r="Y2537" s="8"/>
    </row>
    <row r="2538" spans="1:25" x14ac:dyDescent="0.25">
      <c r="A2538" t="str">
        <f>"12-0102"</f>
        <v>12-0102</v>
      </c>
      <c r="D2538" s="8">
        <v>40953</v>
      </c>
      <c r="F2538" s="8">
        <v>40953</v>
      </c>
      <c r="G2538" s="8">
        <v>40953</v>
      </c>
      <c r="Y2538" s="8"/>
    </row>
    <row r="2539" spans="1:25" x14ac:dyDescent="0.25">
      <c r="A2539" t="str">
        <f>"12-0103"</f>
        <v>12-0103</v>
      </c>
      <c r="D2539" s="8">
        <v>40953</v>
      </c>
      <c r="F2539" s="8">
        <v>40998</v>
      </c>
      <c r="G2539" s="8">
        <v>40953</v>
      </c>
      <c r="Y2539" s="8"/>
    </row>
    <row r="2540" spans="1:25" x14ac:dyDescent="0.25">
      <c r="A2540" t="str">
        <f>"12-0104"</f>
        <v>12-0104</v>
      </c>
      <c r="D2540" s="8">
        <v>40953</v>
      </c>
      <c r="F2540" s="8">
        <v>40953</v>
      </c>
      <c r="G2540" s="8">
        <v>40953</v>
      </c>
      <c r="Y2540" s="8"/>
    </row>
    <row r="2541" spans="1:25" x14ac:dyDescent="0.25">
      <c r="A2541" t="str">
        <f>"12-0106"</f>
        <v>12-0106</v>
      </c>
      <c r="D2541" s="8">
        <v>40953</v>
      </c>
      <c r="F2541" s="8">
        <v>40953</v>
      </c>
      <c r="G2541" s="8">
        <v>40953</v>
      </c>
      <c r="Y2541" s="8"/>
    </row>
    <row r="2542" spans="1:25" x14ac:dyDescent="0.25">
      <c r="A2542" t="str">
        <f>"12-0107"</f>
        <v>12-0107</v>
      </c>
      <c r="D2542" s="8">
        <v>40953</v>
      </c>
      <c r="F2542" s="8">
        <v>40953</v>
      </c>
      <c r="G2542" s="8">
        <v>40953</v>
      </c>
      <c r="Y2542" s="8"/>
    </row>
    <row r="2543" spans="1:25" x14ac:dyDescent="0.25">
      <c r="A2543" t="str">
        <f>"12-0108"</f>
        <v>12-0108</v>
      </c>
      <c r="D2543" s="8">
        <v>40953</v>
      </c>
      <c r="F2543" s="8">
        <v>40953</v>
      </c>
      <c r="G2543" s="8">
        <v>40953</v>
      </c>
      <c r="Y2543" s="8"/>
    </row>
    <row r="2544" spans="1:25" x14ac:dyDescent="0.25">
      <c r="A2544" t="str">
        <f>"12-0087B"</f>
        <v>12-0087B</v>
      </c>
      <c r="D2544" s="8">
        <v>40952</v>
      </c>
      <c r="F2544" s="8">
        <v>40952</v>
      </c>
      <c r="G2544" s="8">
        <v>40952</v>
      </c>
      <c r="Y2544" s="8"/>
    </row>
    <row r="2545" spans="1:25" x14ac:dyDescent="0.25">
      <c r="A2545" t="str">
        <f>"12-0097"</f>
        <v>12-0097</v>
      </c>
      <c r="D2545" s="8">
        <v>40952</v>
      </c>
      <c r="F2545" s="8">
        <v>40952</v>
      </c>
      <c r="G2545" s="8">
        <v>40952</v>
      </c>
      <c r="Y2545" s="8"/>
    </row>
    <row r="2546" spans="1:25" x14ac:dyDescent="0.25">
      <c r="A2546" t="str">
        <f>"12-0098"</f>
        <v>12-0098</v>
      </c>
      <c r="D2546" s="8">
        <v>40952</v>
      </c>
      <c r="F2546" s="8">
        <v>40955</v>
      </c>
      <c r="G2546" s="8">
        <v>40952</v>
      </c>
      <c r="Y2546" s="8"/>
    </row>
    <row r="2547" spans="1:25" x14ac:dyDescent="0.25">
      <c r="A2547" t="str">
        <f>"12-0099"</f>
        <v>12-0099</v>
      </c>
      <c r="D2547" s="8">
        <v>40952</v>
      </c>
      <c r="F2547" s="8">
        <v>40952</v>
      </c>
      <c r="G2547" s="8">
        <v>40952</v>
      </c>
      <c r="Y2547" s="8"/>
    </row>
    <row r="2548" spans="1:25" x14ac:dyDescent="0.25">
      <c r="A2548" t="str">
        <f>"12-0100"</f>
        <v>12-0100</v>
      </c>
      <c r="D2548" s="8">
        <v>40952</v>
      </c>
      <c r="F2548" s="8">
        <v>40952</v>
      </c>
      <c r="G2548" s="8">
        <v>40952</v>
      </c>
      <c r="Y2548" s="8"/>
    </row>
    <row r="2549" spans="1:25" x14ac:dyDescent="0.25">
      <c r="A2549" t="str">
        <f>"12-0101"</f>
        <v>12-0101</v>
      </c>
      <c r="D2549" s="8">
        <v>40952</v>
      </c>
      <c r="F2549" s="8">
        <v>40952</v>
      </c>
      <c r="G2549" s="8">
        <v>40952</v>
      </c>
      <c r="Y2549" s="8"/>
    </row>
    <row r="2550" spans="1:25" x14ac:dyDescent="0.25">
      <c r="A2550" t="str">
        <f>"12-0093"</f>
        <v>12-0093</v>
      </c>
      <c r="D2550" s="8">
        <v>40949</v>
      </c>
      <c r="F2550" s="8">
        <v>40949</v>
      </c>
      <c r="G2550" s="8">
        <v>40949</v>
      </c>
      <c r="Y2550" s="8"/>
    </row>
    <row r="2551" spans="1:25" x14ac:dyDescent="0.25">
      <c r="A2551" t="str">
        <f>"12-0094"</f>
        <v>12-0094</v>
      </c>
      <c r="D2551" s="8">
        <v>40949</v>
      </c>
      <c r="F2551" s="8">
        <v>42075</v>
      </c>
      <c r="G2551" s="8">
        <v>40949</v>
      </c>
      <c r="Y2551" s="8"/>
    </row>
    <row r="2552" spans="1:25" x14ac:dyDescent="0.25">
      <c r="A2552" t="str">
        <f>"12-0095"</f>
        <v>12-0095</v>
      </c>
      <c r="D2552" s="8">
        <v>40949</v>
      </c>
      <c r="F2552" s="8">
        <v>40949</v>
      </c>
      <c r="G2552" s="8">
        <v>40949</v>
      </c>
      <c r="Y2552" s="8"/>
    </row>
    <row r="2553" spans="1:25" x14ac:dyDescent="0.25">
      <c r="A2553" t="str">
        <f>"12-0096"</f>
        <v>12-0096</v>
      </c>
      <c r="D2553" s="8">
        <v>40949</v>
      </c>
      <c r="F2553" s="8">
        <v>40949</v>
      </c>
      <c r="G2553" s="8">
        <v>40949</v>
      </c>
      <c r="Y2553" s="8"/>
    </row>
    <row r="2554" spans="1:25" x14ac:dyDescent="0.25">
      <c r="A2554" t="str">
        <f>"12-0011B"</f>
        <v>12-0011B</v>
      </c>
      <c r="D2554" s="8">
        <v>40948</v>
      </c>
      <c r="F2554" s="8">
        <v>40948</v>
      </c>
      <c r="G2554" s="8">
        <v>40948</v>
      </c>
      <c r="Y2554" s="8"/>
    </row>
    <row r="2555" spans="1:25" x14ac:dyDescent="0.25">
      <c r="A2555" t="str">
        <f>"12-0091"</f>
        <v>12-0091</v>
      </c>
      <c r="D2555" s="8">
        <v>40947</v>
      </c>
      <c r="F2555" s="8">
        <v>40947</v>
      </c>
      <c r="G2555" s="8">
        <v>40947</v>
      </c>
      <c r="Y2555" s="8"/>
    </row>
    <row r="2556" spans="1:25" x14ac:dyDescent="0.25">
      <c r="A2556" t="str">
        <f>"12-0092"</f>
        <v>12-0092</v>
      </c>
      <c r="D2556" s="8">
        <v>40947</v>
      </c>
      <c r="F2556" s="8">
        <v>40947</v>
      </c>
      <c r="G2556" s="8">
        <v>40947</v>
      </c>
      <c r="Y2556" s="8"/>
    </row>
    <row r="2557" spans="1:25" x14ac:dyDescent="0.25">
      <c r="A2557" t="str">
        <f>"12-0087"</f>
        <v>12-0087</v>
      </c>
      <c r="D2557" s="8">
        <v>40946</v>
      </c>
      <c r="F2557" s="8">
        <v>40946</v>
      </c>
      <c r="G2557" s="8">
        <v>40946</v>
      </c>
      <c r="Y2557" s="8"/>
    </row>
    <row r="2558" spans="1:25" x14ac:dyDescent="0.25">
      <c r="A2558" t="str">
        <f>"12-0088"</f>
        <v>12-0088</v>
      </c>
      <c r="D2558" s="8">
        <v>40946</v>
      </c>
      <c r="F2558" s="8">
        <v>40946</v>
      </c>
      <c r="G2558" s="8">
        <v>40946</v>
      </c>
      <c r="Y2558" s="8"/>
    </row>
    <row r="2559" spans="1:25" x14ac:dyDescent="0.25">
      <c r="A2559" t="str">
        <f>"12-0089"</f>
        <v>12-0089</v>
      </c>
      <c r="D2559" s="8">
        <v>40946</v>
      </c>
      <c r="F2559" s="8">
        <v>40946</v>
      </c>
      <c r="G2559" s="8">
        <v>41300</v>
      </c>
      <c r="Y2559" s="8"/>
    </row>
    <row r="2560" spans="1:25" x14ac:dyDescent="0.25">
      <c r="A2560" t="str">
        <f>"12-0090"</f>
        <v>12-0090</v>
      </c>
      <c r="D2560" s="8">
        <v>40946</v>
      </c>
      <c r="F2560" s="8">
        <v>40947</v>
      </c>
      <c r="G2560" s="8">
        <v>40946</v>
      </c>
      <c r="Y2560" s="8"/>
    </row>
    <row r="2561" spans="1:25" x14ac:dyDescent="0.25">
      <c r="A2561" t="str">
        <f>"12-0090B"</f>
        <v>12-0090B</v>
      </c>
      <c r="D2561" s="8">
        <v>40946</v>
      </c>
      <c r="F2561" s="8">
        <v>40947</v>
      </c>
      <c r="G2561" s="8">
        <v>40946</v>
      </c>
      <c r="Y2561" s="8"/>
    </row>
    <row r="2562" spans="1:25" x14ac:dyDescent="0.25">
      <c r="A2562" t="str">
        <f>"12-0090C"</f>
        <v>12-0090C</v>
      </c>
      <c r="D2562" s="8">
        <v>40946</v>
      </c>
      <c r="F2562" s="8">
        <v>40947</v>
      </c>
      <c r="G2562" s="8">
        <v>40946</v>
      </c>
      <c r="Y2562" s="8"/>
    </row>
    <row r="2563" spans="1:25" x14ac:dyDescent="0.25">
      <c r="A2563" t="str">
        <f>"12-0083B"</f>
        <v>12-0083B</v>
      </c>
      <c r="D2563" s="8">
        <v>40945</v>
      </c>
      <c r="F2563" s="8">
        <v>40945</v>
      </c>
      <c r="G2563" s="8">
        <v>40945</v>
      </c>
      <c r="Y2563" s="8"/>
    </row>
    <row r="2564" spans="1:25" x14ac:dyDescent="0.25">
      <c r="A2564" t="str">
        <f>"12-0085"</f>
        <v>12-0085</v>
      </c>
      <c r="D2564" s="8">
        <v>40945</v>
      </c>
      <c r="F2564" s="8">
        <v>40945</v>
      </c>
      <c r="G2564" s="8">
        <v>40945</v>
      </c>
      <c r="Y2564" s="8"/>
    </row>
    <row r="2565" spans="1:25" x14ac:dyDescent="0.25">
      <c r="A2565" t="str">
        <f>"12-0086"</f>
        <v>12-0086</v>
      </c>
      <c r="D2565" s="8">
        <v>40945</v>
      </c>
      <c r="F2565" s="8">
        <v>40945</v>
      </c>
      <c r="G2565" s="8">
        <v>40945</v>
      </c>
      <c r="Y2565" s="8"/>
    </row>
    <row r="2566" spans="1:25" x14ac:dyDescent="0.25">
      <c r="A2566" t="str">
        <f>"12-0083"</f>
        <v>12-0083</v>
      </c>
      <c r="D2566" s="8">
        <v>40942</v>
      </c>
      <c r="F2566" s="8">
        <v>40942</v>
      </c>
      <c r="G2566" s="8">
        <v>40942</v>
      </c>
      <c r="Y2566" s="8"/>
    </row>
    <row r="2567" spans="1:25" x14ac:dyDescent="0.25">
      <c r="A2567" t="str">
        <f>"12-0084"</f>
        <v>12-0084</v>
      </c>
      <c r="D2567" s="8">
        <v>40942</v>
      </c>
      <c r="F2567" s="8">
        <v>40942</v>
      </c>
      <c r="G2567" s="8">
        <v>40942</v>
      </c>
      <c r="Y2567" s="8"/>
    </row>
    <row r="2568" spans="1:25" x14ac:dyDescent="0.25">
      <c r="A2568" t="str">
        <f>"12-0080"</f>
        <v>12-0080</v>
      </c>
      <c r="D2568" s="8">
        <v>40941</v>
      </c>
      <c r="F2568" s="8">
        <v>40941</v>
      </c>
      <c r="G2568" s="8">
        <v>40941</v>
      </c>
      <c r="Y2568" s="8"/>
    </row>
    <row r="2569" spans="1:25" x14ac:dyDescent="0.25">
      <c r="A2569" t="str">
        <f>"12-0081"</f>
        <v>12-0081</v>
      </c>
      <c r="D2569" s="8">
        <v>40941</v>
      </c>
      <c r="F2569" s="8">
        <v>40941</v>
      </c>
      <c r="G2569" s="8">
        <v>40941</v>
      </c>
      <c r="Y2569" s="8"/>
    </row>
    <row r="2570" spans="1:25" x14ac:dyDescent="0.25">
      <c r="A2570" t="str">
        <f>"12-0082"</f>
        <v>12-0082</v>
      </c>
      <c r="D2570" s="8">
        <v>40941</v>
      </c>
      <c r="F2570" s="8">
        <v>40945</v>
      </c>
      <c r="G2570" s="8">
        <v>40941</v>
      </c>
      <c r="Y2570" s="8"/>
    </row>
    <row r="2571" spans="1:25" x14ac:dyDescent="0.25">
      <c r="A2571" t="str">
        <f>"12-0076"</f>
        <v>12-0076</v>
      </c>
      <c r="D2571" s="8">
        <v>40940</v>
      </c>
      <c r="F2571" s="8">
        <v>40941</v>
      </c>
      <c r="G2571" s="8">
        <v>40953</v>
      </c>
      <c r="Y2571" s="8"/>
    </row>
    <row r="2572" spans="1:25" x14ac:dyDescent="0.25">
      <c r="A2572" t="str">
        <f>"12-0077"</f>
        <v>12-0077</v>
      </c>
      <c r="D2572" s="8">
        <v>40940</v>
      </c>
      <c r="F2572" s="8">
        <v>40940</v>
      </c>
      <c r="G2572" s="8">
        <v>40940</v>
      </c>
      <c r="Y2572" s="8"/>
    </row>
    <row r="2573" spans="1:25" x14ac:dyDescent="0.25">
      <c r="A2573" t="str">
        <f>"12-0078"</f>
        <v>12-0078</v>
      </c>
      <c r="D2573" s="8">
        <v>40940</v>
      </c>
      <c r="F2573" s="8">
        <v>40940</v>
      </c>
      <c r="G2573" s="8">
        <v>40940</v>
      </c>
      <c r="Y2573" s="8"/>
    </row>
    <row r="2574" spans="1:25" x14ac:dyDescent="0.25">
      <c r="A2574" t="str">
        <f>"12-0079"</f>
        <v>12-0079</v>
      </c>
      <c r="D2574" s="8">
        <v>40940</v>
      </c>
      <c r="F2574" s="8">
        <v>40940</v>
      </c>
      <c r="G2574" s="8">
        <v>40940</v>
      </c>
      <c r="Y2574" s="8"/>
    </row>
    <row r="2575" spans="1:25" x14ac:dyDescent="0.25">
      <c r="A2575" t="str">
        <f>"12-0073"</f>
        <v>12-0073</v>
      </c>
      <c r="D2575" s="8">
        <v>40939</v>
      </c>
      <c r="G2575" s="8">
        <v>40944</v>
      </c>
    </row>
    <row r="2576" spans="1:25" x14ac:dyDescent="0.25">
      <c r="A2576" t="str">
        <f>"12-0074"</f>
        <v>12-0074</v>
      </c>
      <c r="D2576" s="8">
        <v>40939</v>
      </c>
      <c r="F2576" s="8">
        <v>40939</v>
      </c>
      <c r="G2576" s="8">
        <v>40939</v>
      </c>
      <c r="Y2576" s="8"/>
    </row>
    <row r="2577" spans="1:25" x14ac:dyDescent="0.25">
      <c r="A2577" t="str">
        <f>"12-0075"</f>
        <v>12-0075</v>
      </c>
      <c r="D2577" s="8">
        <v>40939</v>
      </c>
      <c r="F2577" s="8">
        <v>40939</v>
      </c>
      <c r="G2577" s="8">
        <v>40939</v>
      </c>
      <c r="Y2577" s="8"/>
    </row>
    <row r="2578" spans="1:25" x14ac:dyDescent="0.25">
      <c r="A2578" t="str">
        <f>"12-0065"</f>
        <v>12-0065</v>
      </c>
      <c r="D2578" s="8">
        <v>40938</v>
      </c>
      <c r="F2578" s="8">
        <v>40938</v>
      </c>
      <c r="G2578" s="8">
        <v>40938</v>
      </c>
      <c r="Y2578" s="8"/>
    </row>
    <row r="2579" spans="1:25" x14ac:dyDescent="0.25">
      <c r="A2579" t="str">
        <f>"12-0066"</f>
        <v>12-0066</v>
      </c>
      <c r="D2579" s="8">
        <v>40938</v>
      </c>
      <c r="F2579" s="8">
        <v>40938</v>
      </c>
      <c r="G2579" s="8">
        <v>40938</v>
      </c>
      <c r="Y2579" s="8"/>
    </row>
    <row r="2580" spans="1:25" x14ac:dyDescent="0.25">
      <c r="A2580" t="str">
        <f>"12-0067"</f>
        <v>12-0067</v>
      </c>
      <c r="D2580" s="8">
        <v>40938</v>
      </c>
      <c r="F2580" s="8">
        <v>40938</v>
      </c>
      <c r="G2580" s="8">
        <v>40938</v>
      </c>
      <c r="Y2580" s="8"/>
    </row>
    <row r="2581" spans="1:25" x14ac:dyDescent="0.25">
      <c r="A2581" t="str">
        <f>"12-0068"</f>
        <v>12-0068</v>
      </c>
      <c r="D2581" s="8">
        <v>40938</v>
      </c>
      <c r="F2581" s="8">
        <v>40938</v>
      </c>
      <c r="G2581" s="8">
        <v>40938</v>
      </c>
      <c r="Y2581" s="8"/>
    </row>
    <row r="2582" spans="1:25" x14ac:dyDescent="0.25">
      <c r="A2582" t="str">
        <f>"12-0069"</f>
        <v>12-0069</v>
      </c>
      <c r="D2582" s="8">
        <v>40938</v>
      </c>
      <c r="F2582" s="8">
        <v>40938</v>
      </c>
      <c r="G2582" s="8">
        <v>40938</v>
      </c>
      <c r="Y2582" s="8"/>
    </row>
    <row r="2583" spans="1:25" x14ac:dyDescent="0.25">
      <c r="A2583" t="str">
        <f>"12-0070"</f>
        <v>12-0070</v>
      </c>
      <c r="D2583" s="8">
        <v>40938</v>
      </c>
      <c r="F2583" s="8">
        <v>40938</v>
      </c>
      <c r="G2583" s="8">
        <v>40938</v>
      </c>
      <c r="Y2583" s="8"/>
    </row>
    <row r="2584" spans="1:25" x14ac:dyDescent="0.25">
      <c r="A2584" t="str">
        <f>"12-0071"</f>
        <v>12-0071</v>
      </c>
      <c r="D2584" s="8">
        <v>40938</v>
      </c>
      <c r="F2584" s="8">
        <v>40940</v>
      </c>
      <c r="G2584" s="8">
        <v>40938</v>
      </c>
      <c r="Y2584" s="8"/>
    </row>
    <row r="2585" spans="1:25" x14ac:dyDescent="0.25">
      <c r="A2585" t="str">
        <f>"12-0072"</f>
        <v>12-0072</v>
      </c>
      <c r="D2585" s="8">
        <v>40938</v>
      </c>
      <c r="F2585" s="8">
        <v>40939</v>
      </c>
      <c r="G2585" s="8">
        <v>40938</v>
      </c>
      <c r="Y2585" s="8"/>
    </row>
    <row r="2586" spans="1:25" x14ac:dyDescent="0.25">
      <c r="A2586" t="str">
        <f>"12-0060"</f>
        <v>12-0060</v>
      </c>
      <c r="D2586" s="8">
        <v>40935</v>
      </c>
      <c r="F2586" s="8">
        <v>40935</v>
      </c>
      <c r="G2586" s="8">
        <v>40935</v>
      </c>
      <c r="Y2586" s="8"/>
    </row>
    <row r="2587" spans="1:25" x14ac:dyDescent="0.25">
      <c r="A2587" t="str">
        <f>"12-0061"</f>
        <v>12-0061</v>
      </c>
      <c r="D2587" s="8">
        <v>40935</v>
      </c>
      <c r="F2587" s="8">
        <v>40935</v>
      </c>
      <c r="G2587" s="8">
        <v>40935</v>
      </c>
      <c r="Y2587" s="8"/>
    </row>
    <row r="2588" spans="1:25" x14ac:dyDescent="0.25">
      <c r="A2588" t="str">
        <f>"12-0062"</f>
        <v>12-0062</v>
      </c>
      <c r="D2588" s="8">
        <v>40935</v>
      </c>
      <c r="F2588" s="8">
        <v>40935</v>
      </c>
      <c r="G2588" s="8">
        <v>40935</v>
      </c>
      <c r="Y2588" s="8"/>
    </row>
    <row r="2589" spans="1:25" x14ac:dyDescent="0.25">
      <c r="A2589" t="str">
        <f>"12-0063"</f>
        <v>12-0063</v>
      </c>
      <c r="D2589" s="8">
        <v>40935</v>
      </c>
      <c r="F2589" s="8">
        <v>40935</v>
      </c>
      <c r="G2589" s="8">
        <v>40935</v>
      </c>
      <c r="Y2589" s="8"/>
    </row>
    <row r="2590" spans="1:25" x14ac:dyDescent="0.25">
      <c r="A2590" t="str">
        <f>"12-0064"</f>
        <v>12-0064</v>
      </c>
      <c r="D2590" s="8">
        <v>40935</v>
      </c>
      <c r="F2590" s="8">
        <v>40935</v>
      </c>
      <c r="G2590" s="8">
        <v>40935</v>
      </c>
      <c r="Y2590" s="8"/>
    </row>
    <row r="2591" spans="1:25" x14ac:dyDescent="0.25">
      <c r="A2591" t="str">
        <f>"12-0054"</f>
        <v>12-0054</v>
      </c>
      <c r="D2591" s="8">
        <v>40934</v>
      </c>
      <c r="F2591" s="8">
        <v>40934</v>
      </c>
      <c r="G2591" s="8">
        <v>40934</v>
      </c>
      <c r="Y2591" s="8"/>
    </row>
    <row r="2592" spans="1:25" x14ac:dyDescent="0.25">
      <c r="A2592" t="str">
        <f>"12-0055"</f>
        <v>12-0055</v>
      </c>
      <c r="D2592" s="8">
        <v>40934</v>
      </c>
      <c r="F2592" s="8">
        <v>40940</v>
      </c>
      <c r="G2592" s="8">
        <v>40934</v>
      </c>
      <c r="Y2592" s="8"/>
    </row>
    <row r="2593" spans="1:25" x14ac:dyDescent="0.25">
      <c r="A2593" t="str">
        <f>"12-0056"</f>
        <v>12-0056</v>
      </c>
      <c r="D2593" s="8">
        <v>40934</v>
      </c>
      <c r="F2593" s="8">
        <v>40959</v>
      </c>
      <c r="G2593" s="8">
        <v>40934</v>
      </c>
      <c r="Y2593" s="8"/>
    </row>
    <row r="2594" spans="1:25" x14ac:dyDescent="0.25">
      <c r="A2594" t="str">
        <f>"12-0057"</f>
        <v>12-0057</v>
      </c>
      <c r="D2594" s="8">
        <v>40934</v>
      </c>
      <c r="F2594" s="8">
        <v>40934</v>
      </c>
      <c r="G2594" s="8">
        <v>40934</v>
      </c>
      <c r="Y2594" s="8"/>
    </row>
    <row r="2595" spans="1:25" x14ac:dyDescent="0.25">
      <c r="A2595" t="str">
        <f>"12-0058"</f>
        <v>12-0058</v>
      </c>
      <c r="D2595" s="8">
        <v>40934</v>
      </c>
      <c r="F2595" s="8">
        <v>40935</v>
      </c>
      <c r="G2595" s="8">
        <v>40934</v>
      </c>
      <c r="Y2595" s="8"/>
    </row>
    <row r="2596" spans="1:25" x14ac:dyDescent="0.25">
      <c r="A2596" t="str">
        <f>"12-0059"</f>
        <v>12-0059</v>
      </c>
      <c r="D2596" s="8">
        <v>40934</v>
      </c>
      <c r="F2596" s="8">
        <v>40934</v>
      </c>
      <c r="G2596" s="8">
        <v>40934</v>
      </c>
      <c r="Y2596" s="8"/>
    </row>
    <row r="2597" spans="1:25" x14ac:dyDescent="0.25">
      <c r="A2597" t="str">
        <f>"12-0049"</f>
        <v>12-0049</v>
      </c>
      <c r="D2597" s="8">
        <v>40933</v>
      </c>
      <c r="F2597" s="8">
        <v>40969</v>
      </c>
      <c r="G2597" s="8">
        <v>40933</v>
      </c>
      <c r="Y2597" s="8"/>
    </row>
    <row r="2598" spans="1:25" x14ac:dyDescent="0.25">
      <c r="A2598" t="str">
        <f>"12-0050"</f>
        <v>12-0050</v>
      </c>
      <c r="D2598" s="8">
        <v>40933</v>
      </c>
      <c r="F2598" s="8">
        <v>40933</v>
      </c>
      <c r="G2598" s="8">
        <v>40933</v>
      </c>
      <c r="Y2598" s="8"/>
    </row>
    <row r="2599" spans="1:25" x14ac:dyDescent="0.25">
      <c r="A2599" t="str">
        <f>"12-0051"</f>
        <v>12-0051</v>
      </c>
      <c r="D2599" s="8">
        <v>40933</v>
      </c>
      <c r="F2599" s="8">
        <v>40933</v>
      </c>
      <c r="G2599" s="8">
        <v>40933</v>
      </c>
      <c r="Y2599" s="8"/>
    </row>
    <row r="2600" spans="1:25" x14ac:dyDescent="0.25">
      <c r="A2600" t="str">
        <f>"12-0052"</f>
        <v>12-0052</v>
      </c>
      <c r="D2600" s="8">
        <v>40933</v>
      </c>
      <c r="F2600" s="8">
        <v>40933</v>
      </c>
      <c r="G2600" s="8">
        <v>40933</v>
      </c>
      <c r="Y2600" s="8"/>
    </row>
    <row r="2601" spans="1:25" x14ac:dyDescent="0.25">
      <c r="A2601" t="str">
        <f>"12-0053"</f>
        <v>12-0053</v>
      </c>
      <c r="D2601" s="8">
        <v>40933</v>
      </c>
      <c r="F2601" s="8">
        <v>40933</v>
      </c>
      <c r="G2601" s="8">
        <v>40933</v>
      </c>
      <c r="Y2601" s="8"/>
    </row>
    <row r="2602" spans="1:25" x14ac:dyDescent="0.25">
      <c r="A2602" t="str">
        <f>"12-0045"</f>
        <v>12-0045</v>
      </c>
      <c r="D2602" s="8">
        <v>40932</v>
      </c>
      <c r="F2602" s="8">
        <v>40932</v>
      </c>
      <c r="G2602" s="8">
        <v>40932</v>
      </c>
      <c r="Y2602" s="8"/>
    </row>
    <row r="2603" spans="1:25" x14ac:dyDescent="0.25">
      <c r="A2603" t="str">
        <f>"12-0046"</f>
        <v>12-0046</v>
      </c>
      <c r="D2603" s="8">
        <v>40932</v>
      </c>
      <c r="F2603" s="8">
        <v>40932</v>
      </c>
      <c r="G2603" s="8">
        <v>40932</v>
      </c>
      <c r="Y2603" s="8"/>
    </row>
    <row r="2604" spans="1:25" x14ac:dyDescent="0.25">
      <c r="A2604" t="str">
        <f>"12-0047"</f>
        <v>12-0047</v>
      </c>
      <c r="D2604" s="8">
        <v>40932</v>
      </c>
      <c r="F2604" s="8">
        <v>40932</v>
      </c>
      <c r="G2604" s="8">
        <v>40932</v>
      </c>
      <c r="Y2604" s="8"/>
    </row>
    <row r="2605" spans="1:25" x14ac:dyDescent="0.25">
      <c r="A2605" t="str">
        <f>"12-0048"</f>
        <v>12-0048</v>
      </c>
      <c r="D2605" s="8">
        <v>40932</v>
      </c>
      <c r="F2605" s="8">
        <v>40947</v>
      </c>
      <c r="G2605" s="8">
        <v>40949</v>
      </c>
      <c r="Y2605" s="8"/>
    </row>
    <row r="2606" spans="1:25" x14ac:dyDescent="0.25">
      <c r="A2606" t="str">
        <f>"12-0043"</f>
        <v>12-0043</v>
      </c>
      <c r="D2606" s="8">
        <v>40931</v>
      </c>
      <c r="F2606" s="8">
        <v>40931</v>
      </c>
      <c r="G2606" s="8">
        <v>40931</v>
      </c>
      <c r="Y2606" s="8"/>
    </row>
    <row r="2607" spans="1:25" x14ac:dyDescent="0.25">
      <c r="A2607" t="str">
        <f>"12-0044"</f>
        <v>12-0044</v>
      </c>
      <c r="D2607" s="8">
        <v>40931</v>
      </c>
      <c r="F2607" s="8">
        <v>40931</v>
      </c>
      <c r="G2607" s="8">
        <v>40931</v>
      </c>
      <c r="Y2607" s="8"/>
    </row>
    <row r="2608" spans="1:25" x14ac:dyDescent="0.25">
      <c r="A2608" t="str">
        <f>"12-0040"</f>
        <v>12-0040</v>
      </c>
      <c r="D2608" s="8">
        <v>40928</v>
      </c>
      <c r="F2608" s="8">
        <v>40928</v>
      </c>
      <c r="G2608" s="8">
        <v>40928</v>
      </c>
      <c r="Y2608" s="8"/>
    </row>
    <row r="2609" spans="1:25" x14ac:dyDescent="0.25">
      <c r="A2609" t="str">
        <f>"12-0041"</f>
        <v>12-0041</v>
      </c>
      <c r="D2609" s="8">
        <v>40928</v>
      </c>
      <c r="F2609" s="8">
        <v>40928</v>
      </c>
      <c r="G2609" s="8">
        <v>40928</v>
      </c>
      <c r="Y2609" s="8"/>
    </row>
    <row r="2610" spans="1:25" x14ac:dyDescent="0.25">
      <c r="A2610" t="str">
        <f>"12-0042"</f>
        <v>12-0042</v>
      </c>
      <c r="D2610" s="8">
        <v>40928</v>
      </c>
      <c r="F2610" s="8">
        <v>40928</v>
      </c>
      <c r="G2610" s="8">
        <v>40928</v>
      </c>
      <c r="Y2610" s="8"/>
    </row>
    <row r="2611" spans="1:25" x14ac:dyDescent="0.25">
      <c r="A2611" t="str">
        <f>"12-0020B"</f>
        <v>12-0020B</v>
      </c>
      <c r="D2611" s="8">
        <v>40927</v>
      </c>
      <c r="F2611" s="8">
        <v>40927</v>
      </c>
      <c r="G2611" s="8">
        <v>40927</v>
      </c>
      <c r="Y2611" s="8"/>
    </row>
    <row r="2612" spans="1:25" x14ac:dyDescent="0.25">
      <c r="A2612" t="str">
        <f>"12-0037"</f>
        <v>12-0037</v>
      </c>
      <c r="D2612" s="8">
        <v>40927</v>
      </c>
      <c r="F2612" s="8">
        <v>40927</v>
      </c>
      <c r="G2612" s="8">
        <v>40927</v>
      </c>
      <c r="Y2612" s="8"/>
    </row>
    <row r="2613" spans="1:25" x14ac:dyDescent="0.25">
      <c r="A2613" t="str">
        <f>"12-0038"</f>
        <v>12-0038</v>
      </c>
      <c r="D2613" s="8">
        <v>40927</v>
      </c>
      <c r="F2613" s="8">
        <v>40927</v>
      </c>
      <c r="G2613" s="8">
        <v>40927</v>
      </c>
      <c r="Y2613" s="8"/>
    </row>
    <row r="2614" spans="1:25" x14ac:dyDescent="0.25">
      <c r="A2614" t="str">
        <f>"12-0039"</f>
        <v>12-0039</v>
      </c>
      <c r="D2614" s="8">
        <v>40927</v>
      </c>
      <c r="F2614" s="8">
        <v>40927</v>
      </c>
      <c r="G2614" s="8">
        <v>40927</v>
      </c>
      <c r="Y2614" s="8"/>
    </row>
    <row r="2615" spans="1:25" x14ac:dyDescent="0.25">
      <c r="A2615" t="str">
        <f>"12-0001B"</f>
        <v>12-0001B</v>
      </c>
      <c r="D2615" s="8">
        <v>40926</v>
      </c>
      <c r="F2615" s="8">
        <v>40926</v>
      </c>
      <c r="G2615" s="8">
        <v>40926</v>
      </c>
      <c r="Y2615" s="8"/>
    </row>
    <row r="2616" spans="1:25" x14ac:dyDescent="0.25">
      <c r="A2616" t="str">
        <f>"12-0035"</f>
        <v>12-0035</v>
      </c>
      <c r="D2616" s="8">
        <v>40926</v>
      </c>
      <c r="F2616" s="8">
        <v>40926</v>
      </c>
      <c r="G2616" s="8">
        <v>40926</v>
      </c>
      <c r="Y2616" s="8"/>
    </row>
    <row r="2617" spans="1:25" x14ac:dyDescent="0.25">
      <c r="A2617" t="str">
        <f>"12-0036"</f>
        <v>12-0036</v>
      </c>
      <c r="D2617" s="8">
        <v>40926</v>
      </c>
      <c r="F2617" s="8">
        <v>40926</v>
      </c>
      <c r="G2617" s="8">
        <v>40926</v>
      </c>
      <c r="Y2617" s="8"/>
    </row>
    <row r="2618" spans="1:25" x14ac:dyDescent="0.25">
      <c r="A2618" t="str">
        <f>"12-0030"</f>
        <v>12-0030</v>
      </c>
      <c r="D2618" s="8">
        <v>40925</v>
      </c>
      <c r="F2618" s="8">
        <v>40925</v>
      </c>
      <c r="G2618" s="8">
        <v>40925</v>
      </c>
      <c r="Y2618" s="8"/>
    </row>
    <row r="2619" spans="1:25" x14ac:dyDescent="0.25">
      <c r="A2619" t="str">
        <f>"12-0031"</f>
        <v>12-0031</v>
      </c>
      <c r="D2619" s="8">
        <v>40925</v>
      </c>
      <c r="F2619" s="8">
        <v>40932</v>
      </c>
      <c r="G2619" s="8">
        <v>40925</v>
      </c>
      <c r="Y2619" s="8"/>
    </row>
    <row r="2620" spans="1:25" x14ac:dyDescent="0.25">
      <c r="A2620" t="str">
        <f>"12-0032"</f>
        <v>12-0032</v>
      </c>
      <c r="D2620" s="8">
        <v>40925</v>
      </c>
      <c r="F2620" s="8">
        <v>40925</v>
      </c>
      <c r="G2620" s="8">
        <v>40925</v>
      </c>
      <c r="Y2620" s="8"/>
    </row>
    <row r="2621" spans="1:25" x14ac:dyDescent="0.25">
      <c r="A2621" t="str">
        <f>"12-0033"</f>
        <v>12-0033</v>
      </c>
      <c r="D2621" s="8">
        <v>40925</v>
      </c>
      <c r="F2621" s="8">
        <v>40931</v>
      </c>
      <c r="G2621" s="8">
        <v>40925</v>
      </c>
      <c r="Y2621" s="8"/>
    </row>
    <row r="2622" spans="1:25" x14ac:dyDescent="0.25">
      <c r="A2622" t="str">
        <f>"12-0034"</f>
        <v>12-0034</v>
      </c>
      <c r="D2622" s="8">
        <v>40925</v>
      </c>
      <c r="F2622" s="8">
        <v>40925</v>
      </c>
      <c r="G2622" s="8">
        <v>40925</v>
      </c>
      <c r="Y2622" s="8"/>
    </row>
    <row r="2623" spans="1:25" x14ac:dyDescent="0.25">
      <c r="A2623" t="str">
        <f>"12-0003B"</f>
        <v>12-0003B</v>
      </c>
      <c r="D2623" s="8">
        <v>40924</v>
      </c>
      <c r="F2623" s="8">
        <v>40924</v>
      </c>
      <c r="G2623" s="8">
        <v>40924</v>
      </c>
      <c r="Y2623" s="8"/>
    </row>
    <row r="2624" spans="1:25" x14ac:dyDescent="0.25">
      <c r="A2624" t="str">
        <f>"12-0025"</f>
        <v>12-0025</v>
      </c>
      <c r="D2624" s="8">
        <v>40924</v>
      </c>
      <c r="F2624" s="8">
        <v>40924</v>
      </c>
      <c r="G2624" s="8">
        <v>40924</v>
      </c>
      <c r="Y2624" s="8"/>
    </row>
    <row r="2625" spans="1:25" x14ac:dyDescent="0.25">
      <c r="A2625" t="str">
        <f>"12-0026"</f>
        <v>12-0026</v>
      </c>
      <c r="D2625" s="8">
        <v>40924</v>
      </c>
      <c r="F2625" s="8">
        <v>40924</v>
      </c>
      <c r="G2625" s="8">
        <v>40924</v>
      </c>
      <c r="Y2625" s="8"/>
    </row>
    <row r="2626" spans="1:25" x14ac:dyDescent="0.25">
      <c r="A2626" t="str">
        <f>"12-0027"</f>
        <v>12-0027</v>
      </c>
      <c r="D2626" s="8">
        <v>40924</v>
      </c>
      <c r="F2626" s="8">
        <v>40924</v>
      </c>
      <c r="G2626" s="8">
        <v>40924</v>
      </c>
      <c r="Y2626" s="8"/>
    </row>
    <row r="2627" spans="1:25" x14ac:dyDescent="0.25">
      <c r="A2627" t="str">
        <f>"12-0028"</f>
        <v>12-0028</v>
      </c>
      <c r="D2627" s="8">
        <v>40924</v>
      </c>
      <c r="F2627" s="8">
        <v>40924</v>
      </c>
      <c r="G2627" s="8">
        <v>40924</v>
      </c>
      <c r="Y2627" s="8"/>
    </row>
    <row r="2628" spans="1:25" x14ac:dyDescent="0.25">
      <c r="A2628" t="str">
        <f>"12-0029"</f>
        <v>12-0029</v>
      </c>
      <c r="D2628" s="8">
        <v>40924</v>
      </c>
      <c r="F2628" s="8">
        <v>40924</v>
      </c>
      <c r="G2628" s="8">
        <v>40924</v>
      </c>
      <c r="Y2628" s="8"/>
    </row>
    <row r="2629" spans="1:25" x14ac:dyDescent="0.25">
      <c r="A2629" t="str">
        <f>"12-0021"</f>
        <v>12-0021</v>
      </c>
      <c r="D2629" s="8">
        <v>40921</v>
      </c>
      <c r="F2629" s="8">
        <v>40921</v>
      </c>
      <c r="G2629" s="8">
        <v>40921</v>
      </c>
      <c r="Y2629" s="8"/>
    </row>
    <row r="2630" spans="1:25" x14ac:dyDescent="0.25">
      <c r="A2630" t="str">
        <f>"12-0022"</f>
        <v>12-0022</v>
      </c>
      <c r="D2630" s="8">
        <v>40921</v>
      </c>
      <c r="F2630" s="8">
        <v>40928</v>
      </c>
      <c r="G2630" s="8">
        <v>40921</v>
      </c>
      <c r="Y2630" s="8"/>
    </row>
    <row r="2631" spans="1:25" x14ac:dyDescent="0.25">
      <c r="A2631" t="str">
        <f>"12-0023"</f>
        <v>12-0023</v>
      </c>
      <c r="D2631" s="8">
        <v>40921</v>
      </c>
      <c r="F2631" s="8">
        <v>40934</v>
      </c>
      <c r="G2631" s="8">
        <v>40921</v>
      </c>
      <c r="Y2631" s="8"/>
    </row>
    <row r="2632" spans="1:25" x14ac:dyDescent="0.25">
      <c r="A2632" t="str">
        <f>"12-0024"</f>
        <v>12-0024</v>
      </c>
      <c r="D2632" s="8">
        <v>40921</v>
      </c>
      <c r="F2632" s="8">
        <v>40921</v>
      </c>
      <c r="G2632" s="8">
        <v>40921</v>
      </c>
      <c r="Y2632" s="8"/>
    </row>
    <row r="2633" spans="1:25" x14ac:dyDescent="0.25">
      <c r="A2633" t="str">
        <f>"12-0020"</f>
        <v>12-0020</v>
      </c>
      <c r="D2633" s="8">
        <v>40920</v>
      </c>
      <c r="F2633" s="8">
        <v>40921</v>
      </c>
      <c r="G2633" s="8">
        <v>40924</v>
      </c>
      <c r="Y2633" s="8"/>
    </row>
    <row r="2634" spans="1:25" x14ac:dyDescent="0.25">
      <c r="A2634" t="str">
        <f>"12-0009"</f>
        <v>12-0009</v>
      </c>
      <c r="D2634" s="8">
        <v>40918</v>
      </c>
      <c r="F2634" s="8">
        <v>40918</v>
      </c>
      <c r="G2634" s="8">
        <v>40918</v>
      </c>
      <c r="Y2634" s="8"/>
    </row>
    <row r="2635" spans="1:25" x14ac:dyDescent="0.25">
      <c r="A2635" t="str">
        <f>"12-0010"</f>
        <v>12-0010</v>
      </c>
      <c r="D2635" s="8">
        <v>40918</v>
      </c>
      <c r="F2635" s="8">
        <v>40920</v>
      </c>
      <c r="G2635" s="8">
        <v>40919</v>
      </c>
      <c r="Y2635" s="8"/>
    </row>
    <row r="2636" spans="1:25" x14ac:dyDescent="0.25">
      <c r="A2636" t="str">
        <f>"12-0011"</f>
        <v>12-0011</v>
      </c>
      <c r="D2636" s="8">
        <v>40918</v>
      </c>
      <c r="F2636" s="8">
        <v>40940</v>
      </c>
      <c r="G2636" s="8">
        <v>40932</v>
      </c>
      <c r="Y2636" s="8"/>
    </row>
    <row r="2637" spans="1:25" x14ac:dyDescent="0.25">
      <c r="A2637" t="str">
        <f>"12-0012"</f>
        <v>12-0012</v>
      </c>
      <c r="D2637" s="8">
        <v>40918</v>
      </c>
      <c r="F2637" s="8">
        <v>40918</v>
      </c>
      <c r="G2637" s="8">
        <v>40933</v>
      </c>
      <c r="Y2637" s="8"/>
    </row>
    <row r="2638" spans="1:25" x14ac:dyDescent="0.25">
      <c r="A2638" t="str">
        <f>"12-0013"</f>
        <v>12-0013</v>
      </c>
      <c r="D2638" s="8">
        <v>40918</v>
      </c>
      <c r="F2638" s="8">
        <v>41666</v>
      </c>
      <c r="G2638" s="8">
        <v>40932</v>
      </c>
      <c r="Y2638" s="8"/>
    </row>
    <row r="2639" spans="1:25" x14ac:dyDescent="0.25">
      <c r="A2639" t="str">
        <f>"12-0014"</f>
        <v>12-0014</v>
      </c>
      <c r="D2639" s="8">
        <v>40918</v>
      </c>
      <c r="F2639" s="8">
        <v>40918</v>
      </c>
      <c r="G2639" s="8">
        <v>40918</v>
      </c>
      <c r="Y2639" s="8"/>
    </row>
    <row r="2640" spans="1:25" x14ac:dyDescent="0.25">
      <c r="A2640" t="str">
        <f>"12-0015"</f>
        <v>12-0015</v>
      </c>
      <c r="D2640" s="8">
        <v>40918</v>
      </c>
      <c r="F2640" s="8">
        <v>40920</v>
      </c>
      <c r="G2640" s="8">
        <v>40932</v>
      </c>
      <c r="Y2640" s="8"/>
    </row>
    <row r="2641" spans="1:25" x14ac:dyDescent="0.25">
      <c r="A2641" t="str">
        <f>"12-0016"</f>
        <v>12-0016</v>
      </c>
      <c r="D2641" s="8">
        <v>40918</v>
      </c>
      <c r="G2641" s="8">
        <v>40925</v>
      </c>
      <c r="Y2641" s="8"/>
    </row>
    <row r="2642" spans="1:25" x14ac:dyDescent="0.25">
      <c r="A2642" t="str">
        <f>"12-0017"</f>
        <v>12-0017</v>
      </c>
      <c r="D2642" s="8">
        <v>40918</v>
      </c>
      <c r="F2642" s="8">
        <v>40918</v>
      </c>
      <c r="G2642" s="8">
        <v>40918</v>
      </c>
      <c r="Y2642" s="8"/>
    </row>
    <row r="2643" spans="1:25" x14ac:dyDescent="0.25">
      <c r="A2643" t="str">
        <f>"12-0018"</f>
        <v>12-0018</v>
      </c>
      <c r="D2643" s="8">
        <v>40918</v>
      </c>
      <c r="F2643" s="8">
        <v>40918</v>
      </c>
      <c r="G2643" s="8">
        <v>40918</v>
      </c>
      <c r="Y2643" s="8"/>
    </row>
    <row r="2644" spans="1:25" x14ac:dyDescent="0.25">
      <c r="A2644" t="str">
        <f>"12-0019"</f>
        <v>12-0019</v>
      </c>
      <c r="D2644" s="8">
        <v>40918</v>
      </c>
      <c r="F2644" s="8">
        <v>40948</v>
      </c>
      <c r="G2644" s="8">
        <v>40918</v>
      </c>
      <c r="Y2644" s="8"/>
    </row>
    <row r="2645" spans="1:25" x14ac:dyDescent="0.25">
      <c r="A2645" t="str">
        <f>"12-0007"</f>
        <v>12-0007</v>
      </c>
      <c r="D2645" s="8">
        <v>40917</v>
      </c>
      <c r="F2645" s="8">
        <v>40917</v>
      </c>
      <c r="G2645" s="8">
        <v>40917</v>
      </c>
      <c r="Y2645" s="8"/>
    </row>
    <row r="2646" spans="1:25" x14ac:dyDescent="0.25">
      <c r="A2646" t="str">
        <f>"12-0008"</f>
        <v>12-0008</v>
      </c>
      <c r="D2646" s="8">
        <v>40917</v>
      </c>
      <c r="F2646" s="8">
        <v>40917</v>
      </c>
      <c r="G2646" s="8">
        <v>40917</v>
      </c>
      <c r="Y2646" s="8"/>
    </row>
    <row r="2647" spans="1:25" x14ac:dyDescent="0.25">
      <c r="A2647" t="str">
        <f>"12-0005"</f>
        <v>12-0005</v>
      </c>
      <c r="D2647" s="8">
        <v>40913</v>
      </c>
      <c r="F2647" s="8">
        <v>40924</v>
      </c>
      <c r="G2647" s="8">
        <v>40913</v>
      </c>
      <c r="Y2647" s="8"/>
    </row>
    <row r="2648" spans="1:25" x14ac:dyDescent="0.25">
      <c r="A2648" t="str">
        <f>"12-0006"</f>
        <v>12-0006</v>
      </c>
      <c r="D2648" s="8">
        <v>40913</v>
      </c>
      <c r="F2648" s="8">
        <v>40913</v>
      </c>
      <c r="G2648" s="8">
        <v>40913</v>
      </c>
      <c r="Y2648" s="8"/>
    </row>
    <row r="2649" spans="1:25" x14ac:dyDescent="0.25">
      <c r="A2649" t="str">
        <f>"12-0002"</f>
        <v>12-0002</v>
      </c>
      <c r="D2649" s="8">
        <v>40912</v>
      </c>
      <c r="F2649" s="8">
        <v>40912</v>
      </c>
      <c r="G2649" s="8">
        <v>40912</v>
      </c>
      <c r="Y2649" s="8"/>
    </row>
    <row r="2650" spans="1:25" x14ac:dyDescent="0.25">
      <c r="A2650" t="str">
        <f>"12-0003"</f>
        <v>12-0003</v>
      </c>
      <c r="D2650" s="8">
        <v>40912</v>
      </c>
      <c r="F2650" s="8">
        <v>40912</v>
      </c>
      <c r="G2650" s="8">
        <v>40912</v>
      </c>
      <c r="Y2650" s="8"/>
    </row>
    <row r="2651" spans="1:25" x14ac:dyDescent="0.25">
      <c r="A2651" t="str">
        <f>"12-0004"</f>
        <v>12-0004</v>
      </c>
      <c r="D2651" s="8">
        <v>40912</v>
      </c>
      <c r="F2651" s="8">
        <v>40912</v>
      </c>
      <c r="G2651" s="8">
        <v>40912</v>
      </c>
      <c r="Y2651" s="8"/>
    </row>
    <row r="2652" spans="1:25" x14ac:dyDescent="0.25">
      <c r="A2652" t="str">
        <f>"12-0001"</f>
        <v>12-0001</v>
      </c>
      <c r="D2652" s="8">
        <v>40911</v>
      </c>
      <c r="F2652" s="8">
        <v>40912</v>
      </c>
      <c r="G2652" s="8">
        <v>40911</v>
      </c>
      <c r="Y2652" s="8"/>
    </row>
    <row r="2653" spans="1:25" x14ac:dyDescent="0.25">
      <c r="A2653" t="str">
        <f>"11-0151B"</f>
        <v>11-0151B</v>
      </c>
      <c r="D2653" s="8">
        <v>40907</v>
      </c>
      <c r="G2653" s="8">
        <v>40907</v>
      </c>
    </row>
    <row r="2654" spans="1:25" x14ac:dyDescent="0.25">
      <c r="A2654" t="str">
        <f>"11-0804"</f>
        <v>11-0804</v>
      </c>
      <c r="D2654" s="8">
        <v>40907</v>
      </c>
      <c r="F2654" s="8">
        <v>40907</v>
      </c>
      <c r="G2654" s="8">
        <v>40911</v>
      </c>
      <c r="Y2654" s="8"/>
    </row>
    <row r="2655" spans="1:25" x14ac:dyDescent="0.25">
      <c r="A2655" t="str">
        <f>"11-0802"</f>
        <v>11-0802</v>
      </c>
      <c r="D2655" s="8">
        <v>40905</v>
      </c>
      <c r="F2655" s="8">
        <v>40912</v>
      </c>
      <c r="G2655" s="8">
        <v>40912</v>
      </c>
      <c r="Y2655" s="8"/>
    </row>
    <row r="2656" spans="1:25" x14ac:dyDescent="0.25">
      <c r="A2656" t="str">
        <f>"11-0803"</f>
        <v>11-0803</v>
      </c>
      <c r="D2656" s="8">
        <v>40905</v>
      </c>
      <c r="F2656" s="8">
        <v>41271</v>
      </c>
      <c r="G2656" s="8">
        <v>40905</v>
      </c>
      <c r="Y2656" s="8"/>
    </row>
    <row r="2657" spans="1:25" x14ac:dyDescent="0.25">
      <c r="A2657" t="str">
        <f>"11-0800"</f>
        <v>11-0800</v>
      </c>
      <c r="D2657" s="8">
        <v>40904</v>
      </c>
      <c r="F2657" s="8">
        <v>40904</v>
      </c>
      <c r="G2657" s="8">
        <v>40904</v>
      </c>
      <c r="Y2657" s="8"/>
    </row>
    <row r="2658" spans="1:25" x14ac:dyDescent="0.25">
      <c r="A2658" t="str">
        <f>"11-0801"</f>
        <v>11-0801</v>
      </c>
      <c r="D2658" s="8">
        <v>40904</v>
      </c>
      <c r="F2658" s="8">
        <v>40948</v>
      </c>
      <c r="G2658" s="8">
        <v>40907</v>
      </c>
      <c r="Y2658" s="8"/>
    </row>
    <row r="2659" spans="1:25" x14ac:dyDescent="0.25">
      <c r="A2659" t="str">
        <f>"11-0799"</f>
        <v>11-0799</v>
      </c>
      <c r="D2659" s="8">
        <v>40903</v>
      </c>
      <c r="F2659" s="8">
        <v>40903</v>
      </c>
      <c r="G2659" s="8">
        <v>40903</v>
      </c>
      <c r="Y2659" s="8"/>
    </row>
    <row r="2660" spans="1:25" x14ac:dyDescent="0.25">
      <c r="A2660" t="str">
        <f>"11-0794"</f>
        <v>11-0794</v>
      </c>
      <c r="D2660" s="8">
        <v>40900</v>
      </c>
      <c r="F2660" s="8">
        <v>40900</v>
      </c>
      <c r="G2660" s="8">
        <v>40900</v>
      </c>
      <c r="Y2660" s="8"/>
    </row>
    <row r="2661" spans="1:25" x14ac:dyDescent="0.25">
      <c r="A2661" t="str">
        <f>"11-0795"</f>
        <v>11-0795</v>
      </c>
      <c r="D2661" s="8">
        <v>40900</v>
      </c>
      <c r="F2661" s="8">
        <v>40905</v>
      </c>
      <c r="G2661" s="8">
        <v>40900</v>
      </c>
      <c r="Y2661" s="8"/>
    </row>
    <row r="2662" spans="1:25" x14ac:dyDescent="0.25">
      <c r="A2662" t="str">
        <f>"11-0796"</f>
        <v>11-0796</v>
      </c>
      <c r="D2662" s="8">
        <v>40900</v>
      </c>
      <c r="F2662" s="8">
        <v>40900</v>
      </c>
      <c r="G2662" s="8">
        <v>40900</v>
      </c>
      <c r="Y2662" s="8"/>
    </row>
    <row r="2663" spans="1:25" x14ac:dyDescent="0.25">
      <c r="A2663" t="str">
        <f>"11-0797"</f>
        <v>11-0797</v>
      </c>
      <c r="D2663" s="8">
        <v>40900</v>
      </c>
      <c r="F2663" s="8">
        <v>40903</v>
      </c>
      <c r="G2663" s="8">
        <v>40903</v>
      </c>
      <c r="Y2663" s="8"/>
    </row>
    <row r="2664" spans="1:25" x14ac:dyDescent="0.25">
      <c r="A2664" t="str">
        <f>"11-0335C"</f>
        <v>11-0335C</v>
      </c>
      <c r="D2664" s="8">
        <v>40899</v>
      </c>
      <c r="F2664" s="8">
        <v>40899</v>
      </c>
      <c r="G2664" s="8">
        <v>40899</v>
      </c>
      <c r="Y2664" s="8"/>
    </row>
    <row r="2665" spans="1:25" x14ac:dyDescent="0.25">
      <c r="A2665" t="str">
        <f>"11-0335D"</f>
        <v>11-0335D</v>
      </c>
      <c r="D2665" s="8">
        <v>40899</v>
      </c>
      <c r="F2665" s="8">
        <v>40899</v>
      </c>
      <c r="G2665" s="8">
        <v>40899</v>
      </c>
      <c r="Y2665" s="8"/>
    </row>
    <row r="2666" spans="1:25" x14ac:dyDescent="0.25">
      <c r="A2666" t="str">
        <f>"11-0793"</f>
        <v>11-0793</v>
      </c>
      <c r="D2666" s="8">
        <v>40899</v>
      </c>
      <c r="F2666" s="8">
        <v>40899</v>
      </c>
      <c r="G2666" s="8">
        <v>40899</v>
      </c>
      <c r="Y2666" s="8"/>
    </row>
    <row r="2667" spans="1:25" x14ac:dyDescent="0.25">
      <c r="A2667" t="str">
        <f>"11-0670D"</f>
        <v>11-0670D</v>
      </c>
      <c r="D2667" s="8">
        <v>40898</v>
      </c>
      <c r="F2667" s="8">
        <v>40898</v>
      </c>
      <c r="G2667" s="8">
        <v>40898</v>
      </c>
      <c r="Y2667" s="8"/>
    </row>
    <row r="2668" spans="1:25" x14ac:dyDescent="0.25">
      <c r="A2668" t="str">
        <f>"11-0789"</f>
        <v>11-0789</v>
      </c>
      <c r="D2668" s="8">
        <v>40898</v>
      </c>
      <c r="F2668" s="8">
        <v>40900</v>
      </c>
      <c r="G2668" s="8">
        <v>40900</v>
      </c>
      <c r="Y2668" s="8"/>
    </row>
    <row r="2669" spans="1:25" x14ac:dyDescent="0.25">
      <c r="A2669" t="str">
        <f>"11-0790"</f>
        <v>11-0790</v>
      </c>
      <c r="D2669" s="8">
        <v>40898</v>
      </c>
      <c r="F2669" s="8">
        <v>40898</v>
      </c>
      <c r="G2669" s="8">
        <v>40898</v>
      </c>
      <c r="Y2669" s="8"/>
    </row>
    <row r="2670" spans="1:25" x14ac:dyDescent="0.25">
      <c r="A2670" t="str">
        <f>"11-0791"</f>
        <v>11-0791</v>
      </c>
      <c r="D2670" s="8">
        <v>40898</v>
      </c>
      <c r="F2670" s="8">
        <v>40900</v>
      </c>
      <c r="G2670" s="8">
        <v>40898</v>
      </c>
      <c r="Y2670" s="8"/>
    </row>
    <row r="2671" spans="1:25" x14ac:dyDescent="0.25">
      <c r="A2671" t="str">
        <f>"11-0792"</f>
        <v>11-0792</v>
      </c>
      <c r="D2671" s="8">
        <v>40898</v>
      </c>
      <c r="F2671" s="8">
        <v>40903</v>
      </c>
      <c r="G2671" s="8">
        <v>40911</v>
      </c>
      <c r="Y2671" s="8"/>
    </row>
    <row r="2672" spans="1:25" x14ac:dyDescent="0.25">
      <c r="A2672" t="str">
        <f>"11-0787"</f>
        <v>11-0787</v>
      </c>
      <c r="D2672" s="8">
        <v>40897</v>
      </c>
      <c r="F2672" s="8">
        <v>40897</v>
      </c>
      <c r="G2672" s="8">
        <v>40897</v>
      </c>
      <c r="Y2672" s="8"/>
    </row>
    <row r="2673" spans="1:25" x14ac:dyDescent="0.25">
      <c r="A2673" t="str">
        <f>"11-0788"</f>
        <v>11-0788</v>
      </c>
      <c r="D2673" s="8">
        <v>40897</v>
      </c>
      <c r="F2673" s="8">
        <v>40898</v>
      </c>
      <c r="G2673" s="8">
        <v>40897</v>
      </c>
      <c r="Y2673" s="8"/>
    </row>
    <row r="2674" spans="1:25" x14ac:dyDescent="0.25">
      <c r="A2674" t="str">
        <f>"11-0785"</f>
        <v>11-0785</v>
      </c>
      <c r="D2674" s="8">
        <v>40896</v>
      </c>
      <c r="F2674" s="8">
        <v>40896</v>
      </c>
      <c r="G2674" s="8">
        <v>40896</v>
      </c>
      <c r="Y2674" s="8"/>
    </row>
    <row r="2675" spans="1:25" x14ac:dyDescent="0.25">
      <c r="A2675" t="str">
        <f>"11-0786"</f>
        <v>11-0786</v>
      </c>
      <c r="D2675" s="8">
        <v>40896</v>
      </c>
      <c r="F2675" s="8">
        <v>40898</v>
      </c>
      <c r="G2675" s="8">
        <v>40896</v>
      </c>
      <c r="Y2675" s="8"/>
    </row>
    <row r="2676" spans="1:25" x14ac:dyDescent="0.25">
      <c r="A2676" t="str">
        <f>"11-0779"</f>
        <v>11-0779</v>
      </c>
      <c r="D2676" s="8">
        <v>40893</v>
      </c>
      <c r="F2676" s="8">
        <v>40893</v>
      </c>
      <c r="G2676" s="8">
        <v>40893</v>
      </c>
      <c r="Y2676" s="8"/>
    </row>
    <row r="2677" spans="1:25" x14ac:dyDescent="0.25">
      <c r="A2677" t="str">
        <f>"11-0780"</f>
        <v>11-0780</v>
      </c>
      <c r="D2677" s="8">
        <v>40893</v>
      </c>
      <c r="F2677" s="8">
        <v>40893</v>
      </c>
      <c r="G2677" s="8">
        <v>41259</v>
      </c>
      <c r="Y2677" s="8"/>
    </row>
    <row r="2678" spans="1:25" x14ac:dyDescent="0.25">
      <c r="A2678" t="str">
        <f>"11-0782"</f>
        <v>11-0782</v>
      </c>
      <c r="D2678" s="8">
        <v>40893</v>
      </c>
      <c r="F2678" s="8">
        <v>40893</v>
      </c>
      <c r="G2678" s="8">
        <v>40893</v>
      </c>
      <c r="Y2678" s="8"/>
    </row>
    <row r="2679" spans="1:25" x14ac:dyDescent="0.25">
      <c r="A2679" t="str">
        <f>"11-0783"</f>
        <v>11-0783</v>
      </c>
      <c r="D2679" s="8">
        <v>40893</v>
      </c>
      <c r="F2679" s="8">
        <v>40893</v>
      </c>
      <c r="G2679" s="8">
        <v>40893</v>
      </c>
      <c r="Y2679" s="8"/>
    </row>
    <row r="2680" spans="1:25" x14ac:dyDescent="0.25">
      <c r="A2680" t="str">
        <f>"11-0670C"</f>
        <v>11-0670C</v>
      </c>
      <c r="D2680" s="8">
        <v>40892</v>
      </c>
      <c r="F2680" s="8">
        <v>40892</v>
      </c>
      <c r="G2680" s="8">
        <v>40892</v>
      </c>
      <c r="Y2680" s="8"/>
    </row>
    <row r="2681" spans="1:25" x14ac:dyDescent="0.25">
      <c r="A2681" t="str">
        <f>"11-0778"</f>
        <v>11-0778</v>
      </c>
      <c r="D2681" s="8">
        <v>40892</v>
      </c>
      <c r="F2681" s="8">
        <v>40892</v>
      </c>
      <c r="G2681" s="8">
        <v>40892</v>
      </c>
      <c r="Y2681" s="8"/>
    </row>
    <row r="2682" spans="1:25" x14ac:dyDescent="0.25">
      <c r="A2682" t="str">
        <f>"11-0770"</f>
        <v>11-0770</v>
      </c>
      <c r="D2682" s="8">
        <v>40891</v>
      </c>
      <c r="F2682" s="8">
        <v>40892</v>
      </c>
      <c r="G2682" s="8">
        <v>40891</v>
      </c>
      <c r="Y2682" s="8"/>
    </row>
    <row r="2683" spans="1:25" x14ac:dyDescent="0.25">
      <c r="A2683" t="str">
        <f>"11-0771"</f>
        <v>11-0771</v>
      </c>
      <c r="D2683" s="8">
        <v>40891</v>
      </c>
      <c r="F2683" s="8">
        <v>40891</v>
      </c>
      <c r="G2683" s="8">
        <v>40891</v>
      </c>
      <c r="Y2683" s="8"/>
    </row>
    <row r="2684" spans="1:25" x14ac:dyDescent="0.25">
      <c r="A2684" t="str">
        <f>"11-0772"</f>
        <v>11-0772</v>
      </c>
      <c r="D2684" s="8">
        <v>40891</v>
      </c>
      <c r="F2684" s="8">
        <v>40896</v>
      </c>
      <c r="G2684" s="8">
        <v>40891</v>
      </c>
      <c r="Y2684" s="8"/>
    </row>
    <row r="2685" spans="1:25" x14ac:dyDescent="0.25">
      <c r="A2685" t="str">
        <f>"11-0773"</f>
        <v>11-0773</v>
      </c>
      <c r="D2685" s="8">
        <v>40891</v>
      </c>
      <c r="F2685" s="8">
        <v>40891</v>
      </c>
      <c r="G2685" s="8">
        <v>40891</v>
      </c>
      <c r="Y2685" s="8"/>
    </row>
    <row r="2686" spans="1:25" x14ac:dyDescent="0.25">
      <c r="A2686" t="str">
        <f>"11-0774"</f>
        <v>11-0774</v>
      </c>
      <c r="D2686" s="8">
        <v>40891</v>
      </c>
      <c r="F2686" s="8">
        <v>40891</v>
      </c>
      <c r="G2686" s="8">
        <v>40891</v>
      </c>
      <c r="Y2686" s="8"/>
    </row>
    <row r="2687" spans="1:25" x14ac:dyDescent="0.25">
      <c r="A2687" t="str">
        <f>"11-0775"</f>
        <v>11-0775</v>
      </c>
      <c r="D2687" s="8">
        <v>40891</v>
      </c>
      <c r="F2687" s="8">
        <v>40891</v>
      </c>
      <c r="G2687" s="8">
        <v>40891</v>
      </c>
      <c r="Y2687" s="8"/>
    </row>
    <row r="2688" spans="1:25" x14ac:dyDescent="0.25">
      <c r="A2688" t="str">
        <f>"11-0776"</f>
        <v>11-0776</v>
      </c>
      <c r="D2688" s="8">
        <v>40891</v>
      </c>
      <c r="F2688" s="8">
        <v>40903</v>
      </c>
      <c r="G2688" s="8">
        <v>37245</v>
      </c>
      <c r="Y2688" s="8"/>
    </row>
    <row r="2689" spans="1:25" x14ac:dyDescent="0.25">
      <c r="A2689" t="str">
        <f>"11-0777"</f>
        <v>11-0777</v>
      </c>
      <c r="D2689" s="8">
        <v>40891</v>
      </c>
      <c r="F2689" s="8">
        <v>40893</v>
      </c>
      <c r="G2689" s="8">
        <v>40893</v>
      </c>
      <c r="Y2689" s="8"/>
    </row>
    <row r="2690" spans="1:25" x14ac:dyDescent="0.25">
      <c r="A2690" t="str">
        <f>"11-0767"</f>
        <v>11-0767</v>
      </c>
      <c r="D2690" s="8">
        <v>40890</v>
      </c>
      <c r="F2690" s="8">
        <v>40890</v>
      </c>
      <c r="G2690" s="8">
        <v>40892</v>
      </c>
      <c r="Y2690" s="8"/>
    </row>
    <row r="2691" spans="1:25" x14ac:dyDescent="0.25">
      <c r="A2691" t="str">
        <f>"11-0768"</f>
        <v>11-0768</v>
      </c>
      <c r="D2691" s="8">
        <v>40890</v>
      </c>
      <c r="F2691" s="8">
        <v>40891</v>
      </c>
      <c r="G2691" s="8">
        <v>40890</v>
      </c>
      <c r="Y2691" s="8"/>
    </row>
    <row r="2692" spans="1:25" x14ac:dyDescent="0.25">
      <c r="A2692" t="str">
        <f>"11-0769"</f>
        <v>11-0769</v>
      </c>
      <c r="D2692" s="8">
        <v>40890</v>
      </c>
      <c r="F2692" s="8">
        <v>40890</v>
      </c>
      <c r="G2692" s="8">
        <v>40890</v>
      </c>
      <c r="Y2692" s="8"/>
    </row>
    <row r="2693" spans="1:25" x14ac:dyDescent="0.25">
      <c r="A2693" t="str">
        <f>"11-0761"</f>
        <v>11-0761</v>
      </c>
      <c r="D2693" s="8">
        <v>40889</v>
      </c>
      <c r="F2693" s="8">
        <v>40890</v>
      </c>
      <c r="G2693" s="8">
        <v>40889</v>
      </c>
      <c r="Y2693" s="8"/>
    </row>
    <row r="2694" spans="1:25" x14ac:dyDescent="0.25">
      <c r="A2694" t="str">
        <f>"11-0766"</f>
        <v>11-0766</v>
      </c>
      <c r="D2694" s="8">
        <v>40889</v>
      </c>
      <c r="F2694" s="8">
        <v>40889</v>
      </c>
      <c r="G2694" s="8">
        <v>40889</v>
      </c>
      <c r="Y2694" s="8"/>
    </row>
    <row r="2695" spans="1:25" x14ac:dyDescent="0.25">
      <c r="A2695" t="str">
        <f>"11-0753B"</f>
        <v>11-0753B</v>
      </c>
      <c r="D2695" s="8">
        <v>40886</v>
      </c>
      <c r="F2695" s="8">
        <v>40886</v>
      </c>
      <c r="G2695" s="8">
        <v>40886</v>
      </c>
      <c r="Y2695" s="8"/>
    </row>
    <row r="2696" spans="1:25" x14ac:dyDescent="0.25">
      <c r="A2696" t="str">
        <f>"11-0765"</f>
        <v>11-0765</v>
      </c>
      <c r="D2696" s="8">
        <v>40886</v>
      </c>
      <c r="F2696" s="8">
        <v>40886</v>
      </c>
      <c r="G2696" s="8">
        <v>40886</v>
      </c>
      <c r="Y2696" s="8"/>
    </row>
    <row r="2697" spans="1:25" x14ac:dyDescent="0.25">
      <c r="A2697" t="str">
        <f>"11-0762"</f>
        <v>11-0762</v>
      </c>
      <c r="D2697" s="8">
        <v>40885</v>
      </c>
      <c r="F2697" s="8">
        <v>40885</v>
      </c>
      <c r="G2697" s="8">
        <v>40892</v>
      </c>
      <c r="Y2697" s="8"/>
    </row>
    <row r="2698" spans="1:25" x14ac:dyDescent="0.25">
      <c r="A2698" t="str">
        <f>"11-0763"</f>
        <v>11-0763</v>
      </c>
      <c r="D2698" s="8">
        <v>40885</v>
      </c>
      <c r="F2698" s="8">
        <v>40939</v>
      </c>
      <c r="G2698" s="8">
        <v>40885</v>
      </c>
      <c r="Y2698" s="8"/>
    </row>
    <row r="2699" spans="1:25" x14ac:dyDescent="0.25">
      <c r="A2699" t="str">
        <f>"11-0673B"</f>
        <v>11-0673B</v>
      </c>
      <c r="D2699" s="8">
        <v>40884</v>
      </c>
      <c r="F2699" s="8">
        <v>40884</v>
      </c>
      <c r="G2699" s="8">
        <v>40884</v>
      </c>
      <c r="Y2699" s="8"/>
    </row>
    <row r="2700" spans="1:25" x14ac:dyDescent="0.25">
      <c r="A2700" t="str">
        <f>"11-0758"</f>
        <v>11-0758</v>
      </c>
      <c r="D2700" s="8">
        <v>40884</v>
      </c>
      <c r="F2700" s="8">
        <v>40884</v>
      </c>
      <c r="G2700" s="8">
        <v>40882</v>
      </c>
      <c r="Y2700" s="8"/>
    </row>
    <row r="2701" spans="1:25" x14ac:dyDescent="0.25">
      <c r="A2701" t="str">
        <f>"11-0759"</f>
        <v>11-0759</v>
      </c>
      <c r="D2701" s="8">
        <v>40884</v>
      </c>
      <c r="F2701" s="8">
        <v>40884</v>
      </c>
      <c r="G2701" s="8">
        <v>40884</v>
      </c>
      <c r="Y2701" s="8"/>
    </row>
    <row r="2702" spans="1:25" x14ac:dyDescent="0.25">
      <c r="A2702" t="str">
        <f>"11-0760"</f>
        <v>11-0760</v>
      </c>
      <c r="D2702" s="8">
        <v>40884</v>
      </c>
      <c r="F2702" s="8">
        <v>40884</v>
      </c>
      <c r="G2702" s="8">
        <v>40884</v>
      </c>
      <c r="Y2702" s="8"/>
    </row>
    <row r="2703" spans="1:25" x14ac:dyDescent="0.25">
      <c r="A2703" t="str">
        <f>"11-0664B"</f>
        <v>11-0664B</v>
      </c>
      <c r="D2703" s="8">
        <v>40883</v>
      </c>
      <c r="F2703" s="8">
        <v>40883</v>
      </c>
      <c r="G2703" s="8">
        <v>40883</v>
      </c>
      <c r="Y2703" s="8"/>
    </row>
    <row r="2704" spans="1:25" x14ac:dyDescent="0.25">
      <c r="A2704" t="str">
        <f>"11-0754"</f>
        <v>11-0754</v>
      </c>
      <c r="D2704" s="8">
        <v>40883</v>
      </c>
      <c r="F2704" s="8">
        <v>40883</v>
      </c>
      <c r="G2704" s="8">
        <v>40883</v>
      </c>
      <c r="Y2704" s="8"/>
    </row>
    <row r="2705" spans="1:25" x14ac:dyDescent="0.25">
      <c r="A2705" t="str">
        <f>"11-0755"</f>
        <v>11-0755</v>
      </c>
      <c r="D2705" s="8">
        <v>40883</v>
      </c>
      <c r="F2705" s="8">
        <v>40885</v>
      </c>
      <c r="G2705" s="8">
        <v>40883</v>
      </c>
      <c r="Y2705" s="8"/>
    </row>
    <row r="2706" spans="1:25" x14ac:dyDescent="0.25">
      <c r="A2706" t="str">
        <f>"11-0756"</f>
        <v>11-0756</v>
      </c>
      <c r="D2706" s="8">
        <v>40883</v>
      </c>
      <c r="F2706" s="8">
        <v>40884</v>
      </c>
      <c r="G2706" s="8">
        <v>40890</v>
      </c>
      <c r="Y2706" s="8"/>
    </row>
    <row r="2707" spans="1:25" x14ac:dyDescent="0.25">
      <c r="A2707" t="str">
        <f>"11-0757"</f>
        <v>11-0757</v>
      </c>
      <c r="D2707" s="8">
        <v>40883</v>
      </c>
      <c r="F2707" s="8">
        <v>40883</v>
      </c>
      <c r="G2707" s="8">
        <v>40883</v>
      </c>
      <c r="Y2707" s="8"/>
    </row>
    <row r="2708" spans="1:25" x14ac:dyDescent="0.25">
      <c r="A2708" t="str">
        <f>"11-0753"</f>
        <v>11-0753</v>
      </c>
      <c r="D2708" s="8">
        <v>40882</v>
      </c>
      <c r="F2708" s="8">
        <v>40882</v>
      </c>
      <c r="G2708" s="8">
        <v>40882</v>
      </c>
      <c r="Y2708" s="8"/>
    </row>
    <row r="2709" spans="1:25" x14ac:dyDescent="0.25">
      <c r="A2709" t="str">
        <f>"11-0542C"</f>
        <v>11-0542C</v>
      </c>
      <c r="D2709" s="8">
        <v>40879</v>
      </c>
      <c r="F2709" s="8">
        <v>40879</v>
      </c>
      <c r="G2709" s="8">
        <v>40879</v>
      </c>
      <c r="Y2709" s="8"/>
    </row>
    <row r="2710" spans="1:25" x14ac:dyDescent="0.25">
      <c r="A2710" t="str">
        <f>"11-0751"</f>
        <v>11-0751</v>
      </c>
      <c r="D2710" s="8">
        <v>40879</v>
      </c>
      <c r="F2710" s="8">
        <v>40886</v>
      </c>
      <c r="G2710" s="8">
        <v>40879</v>
      </c>
      <c r="Y2710" s="8"/>
    </row>
    <row r="2711" spans="1:25" x14ac:dyDescent="0.25">
      <c r="A2711" t="str">
        <f>"11-0752"</f>
        <v>11-0752</v>
      </c>
      <c r="D2711" s="8">
        <v>40879</v>
      </c>
      <c r="F2711" s="8">
        <v>40879</v>
      </c>
      <c r="G2711" s="8">
        <v>40879</v>
      </c>
      <c r="Y2711" s="8"/>
    </row>
    <row r="2712" spans="1:25" x14ac:dyDescent="0.25">
      <c r="A2712" t="str">
        <f>"11-0726B"</f>
        <v>11-0726B</v>
      </c>
      <c r="D2712" s="8">
        <v>40878</v>
      </c>
      <c r="F2712" s="8">
        <v>40878</v>
      </c>
      <c r="G2712" s="8">
        <v>40878</v>
      </c>
      <c r="Y2712" s="8"/>
    </row>
    <row r="2713" spans="1:25" x14ac:dyDescent="0.25">
      <c r="A2713" t="str">
        <f>"11-0749"</f>
        <v>11-0749</v>
      </c>
      <c r="D2713" s="8">
        <v>40878</v>
      </c>
      <c r="F2713" s="8">
        <v>40878</v>
      </c>
      <c r="G2713" s="8">
        <v>40878</v>
      </c>
      <c r="Y2713" s="8"/>
    </row>
    <row r="2714" spans="1:25" x14ac:dyDescent="0.25">
      <c r="A2714" t="str">
        <f>"11-0750"</f>
        <v>11-0750</v>
      </c>
      <c r="D2714" s="8">
        <v>40878</v>
      </c>
      <c r="F2714" s="8">
        <v>40878</v>
      </c>
      <c r="G2714" s="8">
        <v>40878</v>
      </c>
      <c r="Y2714" s="8"/>
    </row>
    <row r="2715" spans="1:25" x14ac:dyDescent="0.25">
      <c r="A2715" t="str">
        <f>"11-0746"</f>
        <v>11-0746</v>
      </c>
      <c r="D2715" s="8">
        <v>40877</v>
      </c>
      <c r="F2715" s="8">
        <v>40877</v>
      </c>
      <c r="G2715" s="8">
        <v>40865</v>
      </c>
      <c r="Y2715" s="8"/>
    </row>
    <row r="2716" spans="1:25" x14ac:dyDescent="0.25">
      <c r="A2716" t="str">
        <f>"11-0747"</f>
        <v>11-0747</v>
      </c>
      <c r="D2716" s="8">
        <v>40877</v>
      </c>
      <c r="F2716" s="8">
        <v>40877</v>
      </c>
      <c r="G2716" s="8">
        <v>40877</v>
      </c>
      <c r="Y2716" s="8"/>
    </row>
    <row r="2717" spans="1:25" x14ac:dyDescent="0.25">
      <c r="A2717" t="str">
        <f>"11-0748"</f>
        <v>11-0748</v>
      </c>
      <c r="D2717" s="8">
        <v>40877</v>
      </c>
      <c r="F2717" s="8">
        <v>40898</v>
      </c>
      <c r="G2717" s="8">
        <v>40876</v>
      </c>
      <c r="Y2717" s="8"/>
    </row>
    <row r="2718" spans="1:25" x14ac:dyDescent="0.25">
      <c r="A2718" t="str">
        <f>"11-0723B"</f>
        <v>11-0723B</v>
      </c>
      <c r="D2718" s="8">
        <v>40876</v>
      </c>
      <c r="F2718" s="8">
        <v>41043</v>
      </c>
      <c r="G2718" s="8">
        <v>40876</v>
      </c>
      <c r="Y2718" s="8"/>
    </row>
    <row r="2719" spans="1:25" x14ac:dyDescent="0.25">
      <c r="A2719" t="str">
        <f>"11-0741"</f>
        <v>11-0741</v>
      </c>
      <c r="D2719" s="8">
        <v>40876</v>
      </c>
      <c r="F2719" s="8">
        <v>40876</v>
      </c>
      <c r="G2719" s="8">
        <v>40876</v>
      </c>
      <c r="Y2719" s="8"/>
    </row>
    <row r="2720" spans="1:25" x14ac:dyDescent="0.25">
      <c r="A2720" t="str">
        <f>"11-0742"</f>
        <v>11-0742</v>
      </c>
      <c r="D2720" s="8">
        <v>40876</v>
      </c>
      <c r="F2720" s="8">
        <v>40876</v>
      </c>
      <c r="G2720" s="8">
        <v>40877</v>
      </c>
      <c r="Y2720" s="8"/>
    </row>
    <row r="2721" spans="1:25" x14ac:dyDescent="0.25">
      <c r="A2721" t="str">
        <f>"11-0743"</f>
        <v>11-0743</v>
      </c>
      <c r="D2721" s="8">
        <v>40876</v>
      </c>
      <c r="F2721" s="8">
        <v>40876</v>
      </c>
      <c r="G2721" s="8">
        <v>40876</v>
      </c>
      <c r="Y2721" s="8"/>
    </row>
    <row r="2722" spans="1:25" x14ac:dyDescent="0.25">
      <c r="A2722" t="str">
        <f>"11-0744"</f>
        <v>11-0744</v>
      </c>
      <c r="D2722" s="8">
        <v>40876</v>
      </c>
      <c r="F2722" s="8">
        <v>40877</v>
      </c>
      <c r="G2722" s="8">
        <v>40877</v>
      </c>
      <c r="Y2722" s="8"/>
    </row>
    <row r="2723" spans="1:25" x14ac:dyDescent="0.25">
      <c r="A2723" t="str">
        <f>"11-0745"</f>
        <v>11-0745</v>
      </c>
      <c r="D2723" s="8">
        <v>40876</v>
      </c>
      <c r="F2723" s="8">
        <v>40877</v>
      </c>
      <c r="G2723" s="8">
        <v>40877</v>
      </c>
      <c r="Y2723" s="8"/>
    </row>
    <row r="2724" spans="1:25" x14ac:dyDescent="0.25">
      <c r="A2724" t="str">
        <f>"11-0729"</f>
        <v>11-0729</v>
      </c>
      <c r="D2724" s="8">
        <v>40875</v>
      </c>
      <c r="F2724" s="8">
        <v>40875</v>
      </c>
      <c r="G2724" s="8">
        <v>40875</v>
      </c>
      <c r="Y2724" s="8"/>
    </row>
    <row r="2725" spans="1:25" x14ac:dyDescent="0.25">
      <c r="A2725" t="str">
        <f>"11-0730"</f>
        <v>11-0730</v>
      </c>
      <c r="D2725" s="8">
        <v>40875</v>
      </c>
      <c r="F2725" s="8">
        <v>40885</v>
      </c>
      <c r="G2725" s="8">
        <v>40875</v>
      </c>
      <c r="Y2725" s="8"/>
    </row>
    <row r="2726" spans="1:25" x14ac:dyDescent="0.25">
      <c r="A2726" t="str">
        <f>"11-0731"</f>
        <v>11-0731</v>
      </c>
      <c r="D2726" s="8">
        <v>40875</v>
      </c>
      <c r="F2726" s="8">
        <v>40877</v>
      </c>
      <c r="G2726" s="8">
        <v>40875</v>
      </c>
      <c r="Y2726" s="8"/>
    </row>
    <row r="2727" spans="1:25" x14ac:dyDescent="0.25">
      <c r="A2727" t="str">
        <f>"11-0732"</f>
        <v>11-0732</v>
      </c>
      <c r="D2727" s="8">
        <v>40875</v>
      </c>
      <c r="G2727" s="8">
        <v>40875</v>
      </c>
      <c r="Y2727" s="8"/>
    </row>
    <row r="2728" spans="1:25" x14ac:dyDescent="0.25">
      <c r="A2728" t="str">
        <f>"11-0733"</f>
        <v>11-0733</v>
      </c>
      <c r="D2728" s="8">
        <v>40875</v>
      </c>
      <c r="F2728" s="8">
        <v>40880</v>
      </c>
      <c r="G2728" s="8">
        <v>40875</v>
      </c>
      <c r="Y2728" s="8"/>
    </row>
    <row r="2729" spans="1:25" x14ac:dyDescent="0.25">
      <c r="A2729" t="str">
        <f>"11-0734"</f>
        <v>11-0734</v>
      </c>
      <c r="D2729" s="8">
        <v>40875</v>
      </c>
      <c r="F2729" s="8">
        <v>40879</v>
      </c>
      <c r="G2729" s="8">
        <v>40875</v>
      </c>
      <c r="Y2729" s="8"/>
    </row>
    <row r="2730" spans="1:25" x14ac:dyDescent="0.25">
      <c r="A2730" t="str">
        <f>"11-0735"</f>
        <v>11-0735</v>
      </c>
      <c r="D2730" s="8">
        <v>40875</v>
      </c>
      <c r="F2730" s="8">
        <v>40875</v>
      </c>
      <c r="G2730" s="8">
        <v>40875</v>
      </c>
      <c r="Y2730" s="8"/>
    </row>
    <row r="2731" spans="1:25" x14ac:dyDescent="0.25">
      <c r="A2731" t="str">
        <f>"11-0736"</f>
        <v>11-0736</v>
      </c>
      <c r="D2731" s="8">
        <v>40875</v>
      </c>
      <c r="F2731" s="8">
        <v>40875</v>
      </c>
      <c r="G2731" s="8">
        <v>40875</v>
      </c>
      <c r="Y2731" s="8"/>
    </row>
    <row r="2732" spans="1:25" x14ac:dyDescent="0.25">
      <c r="A2732" t="str">
        <f>"11-0737"</f>
        <v>11-0737</v>
      </c>
      <c r="D2732" s="8">
        <v>40875</v>
      </c>
      <c r="F2732" s="8">
        <v>40875</v>
      </c>
      <c r="G2732" s="8">
        <v>40863</v>
      </c>
      <c r="Y2732" s="8"/>
    </row>
    <row r="2733" spans="1:25" x14ac:dyDescent="0.25">
      <c r="A2733" t="str">
        <f>"11-0738"</f>
        <v>11-0738</v>
      </c>
      <c r="D2733" s="8">
        <v>40875</v>
      </c>
      <c r="F2733" s="8">
        <v>40875</v>
      </c>
      <c r="G2733" s="8">
        <v>40875</v>
      </c>
      <c r="Y2733" s="8"/>
    </row>
    <row r="2734" spans="1:25" x14ac:dyDescent="0.25">
      <c r="A2734" t="str">
        <f>"11-0739"</f>
        <v>11-0739</v>
      </c>
      <c r="D2734" s="8">
        <v>40875</v>
      </c>
      <c r="F2734" s="8">
        <v>40875</v>
      </c>
      <c r="G2734" s="8">
        <v>40875</v>
      </c>
      <c r="Y2734" s="8"/>
    </row>
    <row r="2735" spans="1:25" x14ac:dyDescent="0.25">
      <c r="A2735" t="str">
        <f>"11-0740"</f>
        <v>11-0740</v>
      </c>
      <c r="D2735" s="8">
        <v>40875</v>
      </c>
      <c r="F2735" s="8">
        <v>40875</v>
      </c>
      <c r="G2735" s="8">
        <v>40875</v>
      </c>
      <c r="Y2735" s="8"/>
    </row>
    <row r="2736" spans="1:25" x14ac:dyDescent="0.25">
      <c r="A2736" t="str">
        <f>"11-0371C"</f>
        <v>11-0371C</v>
      </c>
      <c r="D2736" s="8">
        <v>40872</v>
      </c>
      <c r="F2736" s="8">
        <v>40883</v>
      </c>
      <c r="G2736" s="8">
        <v>40883</v>
      </c>
      <c r="Y2736" s="8"/>
    </row>
    <row r="2737" spans="1:25" x14ac:dyDescent="0.25">
      <c r="A2737" t="str">
        <f>"11-0670B"</f>
        <v>11-0670B</v>
      </c>
      <c r="D2737" s="8">
        <v>40872</v>
      </c>
      <c r="F2737" s="8">
        <v>40875</v>
      </c>
      <c r="G2737" s="8">
        <v>40872</v>
      </c>
      <c r="Y2737" s="8"/>
    </row>
    <row r="2738" spans="1:25" x14ac:dyDescent="0.25">
      <c r="A2738" t="str">
        <f>"11-0682B"</f>
        <v>11-0682B</v>
      </c>
      <c r="D2738" s="8">
        <v>40872</v>
      </c>
      <c r="F2738" s="8">
        <v>40872</v>
      </c>
      <c r="G2738" s="8">
        <v>40872</v>
      </c>
      <c r="Y2738" s="8"/>
    </row>
    <row r="2739" spans="1:25" x14ac:dyDescent="0.25">
      <c r="A2739" t="str">
        <f>"11-0726"</f>
        <v>11-0726</v>
      </c>
      <c r="D2739" s="8">
        <v>40872</v>
      </c>
      <c r="F2739" s="8">
        <v>40872</v>
      </c>
      <c r="G2739" s="8">
        <v>40872</v>
      </c>
      <c r="Y2739" s="8"/>
    </row>
    <row r="2740" spans="1:25" x14ac:dyDescent="0.25">
      <c r="A2740" t="str">
        <f>"11-0727"</f>
        <v>11-0727</v>
      </c>
      <c r="D2740" s="8">
        <v>40872</v>
      </c>
      <c r="F2740" s="8">
        <v>40872</v>
      </c>
      <c r="G2740" s="8">
        <v>40872</v>
      </c>
      <c r="Y2740" s="8"/>
    </row>
    <row r="2741" spans="1:25" x14ac:dyDescent="0.25">
      <c r="A2741" t="str">
        <f>"11-0728"</f>
        <v>11-0728</v>
      </c>
      <c r="D2741" s="8">
        <v>40872</v>
      </c>
      <c r="F2741" s="8">
        <v>40872</v>
      </c>
      <c r="G2741" s="8">
        <v>40872</v>
      </c>
      <c r="Y2741" s="8"/>
    </row>
    <row r="2742" spans="1:25" x14ac:dyDescent="0.25">
      <c r="A2742" t="str">
        <f>"11-0550B"</f>
        <v>11-0550B</v>
      </c>
      <c r="D2742" s="8">
        <v>40871</v>
      </c>
      <c r="F2742" s="8">
        <v>40871</v>
      </c>
      <c r="G2742" s="8">
        <v>40871</v>
      </c>
      <c r="Y2742" s="8"/>
    </row>
    <row r="2743" spans="1:25" x14ac:dyDescent="0.25">
      <c r="A2743" t="str">
        <f>"11-0723"</f>
        <v>11-0723</v>
      </c>
      <c r="D2743" s="8">
        <v>40871</v>
      </c>
      <c r="F2743" s="8">
        <v>40871</v>
      </c>
      <c r="G2743" s="8">
        <v>40871</v>
      </c>
      <c r="Y2743" s="8"/>
    </row>
    <row r="2744" spans="1:25" x14ac:dyDescent="0.25">
      <c r="A2744" t="str">
        <f>"11-0724"</f>
        <v>11-0724</v>
      </c>
      <c r="D2744" s="8">
        <v>40871</v>
      </c>
      <c r="F2744" s="8">
        <v>40871</v>
      </c>
      <c r="G2744" s="8">
        <v>40871</v>
      </c>
      <c r="Y2744" s="8"/>
    </row>
    <row r="2745" spans="1:25" x14ac:dyDescent="0.25">
      <c r="A2745" t="str">
        <f>"11-0725"</f>
        <v>11-0725</v>
      </c>
      <c r="D2745" s="8">
        <v>40871</v>
      </c>
      <c r="F2745" s="8">
        <v>40871</v>
      </c>
      <c r="G2745" s="8">
        <v>40871</v>
      </c>
      <c r="Y2745" s="8"/>
    </row>
    <row r="2746" spans="1:25" x14ac:dyDescent="0.25">
      <c r="A2746" t="str">
        <f>"11-0721"</f>
        <v>11-0721</v>
      </c>
      <c r="D2746" s="8">
        <v>40870</v>
      </c>
      <c r="F2746" s="8">
        <v>40870</v>
      </c>
      <c r="G2746" s="8">
        <v>40828</v>
      </c>
      <c r="Y2746" s="8"/>
    </row>
    <row r="2747" spans="1:25" x14ac:dyDescent="0.25">
      <c r="A2747" t="str">
        <f>"11-0722"</f>
        <v>11-0722</v>
      </c>
      <c r="D2747" s="8">
        <v>40870</v>
      </c>
      <c r="F2747" s="8">
        <v>40870</v>
      </c>
      <c r="G2747" s="8">
        <v>40870</v>
      </c>
      <c r="Y2747" s="8"/>
    </row>
    <row r="2748" spans="1:25" x14ac:dyDescent="0.25">
      <c r="A2748" t="str">
        <f>"11-0694B"</f>
        <v>11-0694B</v>
      </c>
      <c r="D2748" s="8">
        <v>40869</v>
      </c>
      <c r="F2748" s="8">
        <v>40871</v>
      </c>
      <c r="G2748" s="8">
        <v>40869</v>
      </c>
      <c r="Y2748" s="8"/>
    </row>
    <row r="2749" spans="1:25" x14ac:dyDescent="0.25">
      <c r="A2749" t="str">
        <f>"11-0717"</f>
        <v>11-0717</v>
      </c>
      <c r="D2749" s="8">
        <v>40869</v>
      </c>
      <c r="F2749" s="8">
        <v>40869</v>
      </c>
      <c r="G2749" s="8">
        <v>40869</v>
      </c>
      <c r="Y2749" s="8"/>
    </row>
    <row r="2750" spans="1:25" x14ac:dyDescent="0.25">
      <c r="A2750" t="str">
        <f>"11-0718"</f>
        <v>11-0718</v>
      </c>
      <c r="D2750" s="8">
        <v>40869</v>
      </c>
      <c r="F2750" s="8">
        <v>40869</v>
      </c>
      <c r="G2750" s="8">
        <v>40869</v>
      </c>
      <c r="Y2750" s="8"/>
    </row>
    <row r="2751" spans="1:25" x14ac:dyDescent="0.25">
      <c r="A2751" t="str">
        <f>"11-0719"</f>
        <v>11-0719</v>
      </c>
      <c r="D2751" s="8">
        <v>40869</v>
      </c>
      <c r="F2751" s="8">
        <v>40870</v>
      </c>
      <c r="G2751" s="8">
        <v>40868</v>
      </c>
      <c r="Y2751" s="8"/>
    </row>
    <row r="2752" spans="1:25" x14ac:dyDescent="0.25">
      <c r="A2752" t="str">
        <f>"11-0720"</f>
        <v>11-0720</v>
      </c>
      <c r="D2752" s="8">
        <v>40869</v>
      </c>
      <c r="F2752" s="8">
        <v>40869</v>
      </c>
      <c r="G2752" s="8">
        <v>40869</v>
      </c>
      <c r="Y2752" s="8"/>
    </row>
    <row r="2753" spans="1:25" x14ac:dyDescent="0.25">
      <c r="A2753" t="str">
        <f>"11-0713"</f>
        <v>11-0713</v>
      </c>
      <c r="D2753" s="8">
        <v>40868</v>
      </c>
      <c r="F2753" s="8">
        <v>40868</v>
      </c>
      <c r="G2753" s="8">
        <v>40868</v>
      </c>
      <c r="Y2753" s="8"/>
    </row>
    <row r="2754" spans="1:25" x14ac:dyDescent="0.25">
      <c r="A2754" t="str">
        <f>"11-0714"</f>
        <v>11-0714</v>
      </c>
      <c r="D2754" s="8">
        <v>40868</v>
      </c>
      <c r="F2754" s="8">
        <v>40981</v>
      </c>
      <c r="G2754" s="8">
        <v>40869</v>
      </c>
      <c r="Y2754" s="8"/>
    </row>
    <row r="2755" spans="1:25" x14ac:dyDescent="0.25">
      <c r="A2755" t="str">
        <f>"11-0715"</f>
        <v>11-0715</v>
      </c>
      <c r="D2755" s="8">
        <v>40868</v>
      </c>
      <c r="F2755" s="8">
        <v>40868</v>
      </c>
      <c r="G2755" s="8">
        <v>40868</v>
      </c>
      <c r="Y2755" s="8"/>
    </row>
    <row r="2756" spans="1:25" x14ac:dyDescent="0.25">
      <c r="A2756" t="str">
        <f>"11-0716"</f>
        <v>11-0716</v>
      </c>
      <c r="D2756" s="8">
        <v>40868</v>
      </c>
      <c r="F2756" s="8">
        <v>40868</v>
      </c>
      <c r="G2756" s="8">
        <v>40868</v>
      </c>
      <c r="Y2756" s="8"/>
    </row>
    <row r="2757" spans="1:25" x14ac:dyDescent="0.25">
      <c r="A2757" t="str">
        <f>"11-0578B"</f>
        <v>11-0578B</v>
      </c>
      <c r="D2757" s="8">
        <v>40865</v>
      </c>
      <c r="F2757" s="8">
        <v>40913</v>
      </c>
      <c r="G2757" s="8">
        <v>40865</v>
      </c>
      <c r="Y2757" s="8"/>
    </row>
    <row r="2758" spans="1:25" x14ac:dyDescent="0.25">
      <c r="A2758" t="str">
        <f>"11-0712"</f>
        <v>11-0712</v>
      </c>
      <c r="D2758" s="8">
        <v>40865</v>
      </c>
      <c r="F2758" s="8">
        <v>40865</v>
      </c>
      <c r="G2758" s="8">
        <v>40865</v>
      </c>
      <c r="Y2758" s="8"/>
    </row>
    <row r="2759" spans="1:25" x14ac:dyDescent="0.25">
      <c r="A2759" t="str">
        <f>"11-0706"</f>
        <v>11-0706</v>
      </c>
      <c r="D2759" s="8">
        <v>40864</v>
      </c>
      <c r="F2759" s="8">
        <v>40864</v>
      </c>
      <c r="G2759" s="8">
        <v>40864</v>
      </c>
      <c r="Y2759" s="8"/>
    </row>
    <row r="2760" spans="1:25" x14ac:dyDescent="0.25">
      <c r="A2760" t="str">
        <f>"11-0708"</f>
        <v>11-0708</v>
      </c>
      <c r="D2760" s="8">
        <v>40864</v>
      </c>
      <c r="F2760" s="8">
        <v>40864</v>
      </c>
      <c r="G2760" s="8">
        <v>40864</v>
      </c>
      <c r="Y2760" s="8"/>
    </row>
    <row r="2761" spans="1:25" x14ac:dyDescent="0.25">
      <c r="A2761" t="str">
        <f>"11-0709"</f>
        <v>11-0709</v>
      </c>
      <c r="D2761" s="8">
        <v>40864</v>
      </c>
      <c r="F2761" s="8">
        <v>40911</v>
      </c>
      <c r="G2761" s="8">
        <v>40862</v>
      </c>
      <c r="Y2761" s="8"/>
    </row>
    <row r="2762" spans="1:25" x14ac:dyDescent="0.25">
      <c r="A2762" t="str">
        <f>"11-0710"</f>
        <v>11-0710</v>
      </c>
      <c r="D2762" s="8">
        <v>40864</v>
      </c>
      <c r="F2762" s="8">
        <v>40864</v>
      </c>
      <c r="G2762" s="8">
        <v>40864</v>
      </c>
      <c r="Y2762" s="8"/>
    </row>
    <row r="2763" spans="1:25" x14ac:dyDescent="0.25">
      <c r="A2763" t="str">
        <f>"11-0711"</f>
        <v>11-0711</v>
      </c>
      <c r="D2763" s="8">
        <v>40864</v>
      </c>
      <c r="F2763" s="8">
        <v>40864</v>
      </c>
      <c r="G2763" s="8">
        <v>40865</v>
      </c>
      <c r="Y2763" s="8"/>
    </row>
    <row r="2764" spans="1:25" x14ac:dyDescent="0.25">
      <c r="A2764" t="str">
        <f>"11-0691B"</f>
        <v>11-0691B</v>
      </c>
      <c r="D2764" s="8">
        <v>40863</v>
      </c>
      <c r="F2764" s="8">
        <v>40863</v>
      </c>
      <c r="G2764" s="8">
        <v>40863</v>
      </c>
      <c r="Y2764" s="8"/>
    </row>
    <row r="2765" spans="1:25" x14ac:dyDescent="0.25">
      <c r="A2765" t="str">
        <f>"11-0702B"</f>
        <v>11-0702B</v>
      </c>
      <c r="D2765" s="8">
        <v>40863</v>
      </c>
      <c r="F2765" s="8">
        <v>40863</v>
      </c>
      <c r="G2765" s="8">
        <v>40863</v>
      </c>
      <c r="Y2765" s="8"/>
    </row>
    <row r="2766" spans="1:25" x14ac:dyDescent="0.25">
      <c r="A2766" t="str">
        <f>"11-0704"</f>
        <v>11-0704</v>
      </c>
      <c r="D2766" s="8">
        <v>40863</v>
      </c>
      <c r="F2766" s="8">
        <v>40863</v>
      </c>
      <c r="G2766" s="8">
        <v>40863</v>
      </c>
      <c r="Y2766" s="8"/>
    </row>
    <row r="2767" spans="1:25" x14ac:dyDescent="0.25">
      <c r="A2767" t="str">
        <f>"11-0705"</f>
        <v>11-0705</v>
      </c>
      <c r="D2767" s="8">
        <v>40863</v>
      </c>
      <c r="F2767" s="8">
        <v>40863</v>
      </c>
      <c r="G2767" s="8">
        <v>40863</v>
      </c>
      <c r="Y2767" s="8"/>
    </row>
    <row r="2768" spans="1:25" x14ac:dyDescent="0.25">
      <c r="A2768" t="str">
        <f>"11-0695"</f>
        <v>11-0695</v>
      </c>
      <c r="D2768" s="8">
        <v>40862</v>
      </c>
      <c r="F2768" s="8">
        <v>40862</v>
      </c>
      <c r="G2768" s="8">
        <v>40862</v>
      </c>
      <c r="Y2768" s="8"/>
    </row>
    <row r="2769" spans="1:25" x14ac:dyDescent="0.25">
      <c r="A2769" t="str">
        <f>"11-0696"</f>
        <v>11-0696</v>
      </c>
      <c r="D2769" s="8">
        <v>40862</v>
      </c>
      <c r="F2769" s="8">
        <v>40869</v>
      </c>
      <c r="G2769" s="8">
        <v>40858</v>
      </c>
      <c r="Y2769" s="8"/>
    </row>
    <row r="2770" spans="1:25" x14ac:dyDescent="0.25">
      <c r="A2770" t="str">
        <f>"11-0697"</f>
        <v>11-0697</v>
      </c>
      <c r="D2770" s="8">
        <v>40862</v>
      </c>
      <c r="G2770" s="8">
        <v>40861</v>
      </c>
    </row>
    <row r="2771" spans="1:25" x14ac:dyDescent="0.25">
      <c r="A2771" t="str">
        <f>"11-0698"</f>
        <v>11-0698</v>
      </c>
      <c r="D2771" s="8">
        <v>40862</v>
      </c>
      <c r="F2771" s="8">
        <v>40891</v>
      </c>
      <c r="G2771" s="8">
        <v>40861</v>
      </c>
      <c r="Y2771" s="8"/>
    </row>
    <row r="2772" spans="1:25" x14ac:dyDescent="0.25">
      <c r="A2772" t="str">
        <f>"11-0699"</f>
        <v>11-0699</v>
      </c>
      <c r="D2772" s="8">
        <v>40862</v>
      </c>
      <c r="F2772" s="8">
        <v>40907</v>
      </c>
      <c r="G2772" s="8">
        <v>40861</v>
      </c>
      <c r="Y2772" s="8"/>
    </row>
    <row r="2773" spans="1:25" x14ac:dyDescent="0.25">
      <c r="A2773" t="str">
        <f>"11-0700"</f>
        <v>11-0700</v>
      </c>
      <c r="D2773" s="8">
        <v>40862</v>
      </c>
      <c r="F2773" s="8">
        <v>40862</v>
      </c>
      <c r="G2773" s="8">
        <v>40864</v>
      </c>
      <c r="Y2773" s="8"/>
    </row>
    <row r="2774" spans="1:25" x14ac:dyDescent="0.25">
      <c r="A2774" t="str">
        <f>"11-0701"</f>
        <v>11-0701</v>
      </c>
      <c r="D2774" s="8">
        <v>40862</v>
      </c>
      <c r="F2774" s="8">
        <v>40862</v>
      </c>
      <c r="G2774" s="8">
        <v>40864</v>
      </c>
      <c r="Y2774" s="8"/>
    </row>
    <row r="2775" spans="1:25" x14ac:dyDescent="0.25">
      <c r="A2775" t="str">
        <f>"11-0702"</f>
        <v>11-0702</v>
      </c>
      <c r="D2775" s="8">
        <v>40862</v>
      </c>
      <c r="F2775" s="8">
        <v>40862</v>
      </c>
      <c r="G2775" s="8">
        <v>40863</v>
      </c>
      <c r="Y2775" s="8"/>
    </row>
    <row r="2776" spans="1:25" x14ac:dyDescent="0.25">
      <c r="A2776" t="str">
        <f>"11-0703"</f>
        <v>11-0703</v>
      </c>
      <c r="D2776" s="8">
        <v>40862</v>
      </c>
      <c r="F2776" s="8">
        <v>40862</v>
      </c>
      <c r="G2776" s="8">
        <v>40862</v>
      </c>
      <c r="Y2776" s="8"/>
    </row>
    <row r="2777" spans="1:25" x14ac:dyDescent="0.25">
      <c r="A2777" t="str">
        <f>"11-0693"</f>
        <v>11-0693</v>
      </c>
      <c r="D2777" s="8">
        <v>40861</v>
      </c>
      <c r="F2777" s="8">
        <v>40861</v>
      </c>
      <c r="G2777" s="8">
        <v>40861</v>
      </c>
      <c r="Y2777" s="8"/>
    </row>
    <row r="2778" spans="1:25" x14ac:dyDescent="0.25">
      <c r="A2778" t="str">
        <f>"11-0694"</f>
        <v>11-0694</v>
      </c>
      <c r="D2778" s="8">
        <v>40861</v>
      </c>
      <c r="F2778" s="8">
        <v>40863</v>
      </c>
      <c r="G2778" s="8">
        <v>40858</v>
      </c>
      <c r="Y2778" s="8"/>
    </row>
    <row r="2779" spans="1:25" x14ac:dyDescent="0.25">
      <c r="A2779" t="str">
        <f>"11-0687"</f>
        <v>11-0687</v>
      </c>
      <c r="D2779" s="8">
        <v>40857</v>
      </c>
      <c r="F2779" s="8">
        <v>40857</v>
      </c>
      <c r="G2779" s="8">
        <v>40857</v>
      </c>
      <c r="Y2779" s="8"/>
    </row>
    <row r="2780" spans="1:25" x14ac:dyDescent="0.25">
      <c r="A2780" t="str">
        <f>"11-0688"</f>
        <v>11-0688</v>
      </c>
      <c r="D2780" s="8">
        <v>40857</v>
      </c>
      <c r="F2780" s="8">
        <v>40857</v>
      </c>
      <c r="G2780" s="8">
        <v>40857</v>
      </c>
      <c r="Y2780" s="8"/>
    </row>
    <row r="2781" spans="1:25" x14ac:dyDescent="0.25">
      <c r="A2781" t="str">
        <f>"11-0689"</f>
        <v>11-0689</v>
      </c>
      <c r="D2781" s="8">
        <v>40857</v>
      </c>
      <c r="F2781" s="8">
        <v>40862</v>
      </c>
      <c r="G2781" s="8">
        <v>40861</v>
      </c>
      <c r="Y2781" s="8"/>
    </row>
    <row r="2782" spans="1:25" x14ac:dyDescent="0.25">
      <c r="A2782" t="str">
        <f>"11-0690"</f>
        <v>11-0690</v>
      </c>
      <c r="D2782" s="8">
        <v>40857</v>
      </c>
      <c r="F2782" s="8">
        <v>40861</v>
      </c>
      <c r="G2782" s="8">
        <v>40862</v>
      </c>
      <c r="Y2782" s="8"/>
    </row>
    <row r="2783" spans="1:25" x14ac:dyDescent="0.25">
      <c r="A2783" t="str">
        <f>"11-0691"</f>
        <v>11-0691</v>
      </c>
      <c r="D2783" s="8">
        <v>40857</v>
      </c>
      <c r="F2783" s="8">
        <v>40857</v>
      </c>
      <c r="G2783" s="8">
        <v>40861</v>
      </c>
      <c r="Y2783" s="8"/>
    </row>
    <row r="2784" spans="1:25" x14ac:dyDescent="0.25">
      <c r="A2784" t="str">
        <f>"11-0692"</f>
        <v>11-0692</v>
      </c>
      <c r="D2784" s="8">
        <v>40857</v>
      </c>
      <c r="F2784" s="8">
        <v>40857</v>
      </c>
      <c r="G2784" s="8">
        <v>40857</v>
      </c>
      <c r="Y2784" s="8"/>
    </row>
    <row r="2785" spans="1:25" x14ac:dyDescent="0.25">
      <c r="A2785" t="str">
        <f>"11-0683"</f>
        <v>11-0683</v>
      </c>
      <c r="D2785" s="8">
        <v>40856</v>
      </c>
      <c r="F2785" s="8">
        <v>40856</v>
      </c>
      <c r="G2785" s="8">
        <v>40856</v>
      </c>
      <c r="Y2785" s="8"/>
    </row>
    <row r="2786" spans="1:25" x14ac:dyDescent="0.25">
      <c r="A2786" t="str">
        <f>"11-0685"</f>
        <v>11-0685</v>
      </c>
      <c r="D2786" s="8">
        <v>40856</v>
      </c>
      <c r="F2786" s="8">
        <v>40856</v>
      </c>
      <c r="G2786" s="8">
        <v>40856</v>
      </c>
      <c r="Y2786" s="8"/>
    </row>
    <row r="2787" spans="1:25" x14ac:dyDescent="0.25">
      <c r="A2787" t="str">
        <f>"11-0686"</f>
        <v>11-0686</v>
      </c>
      <c r="D2787" s="8">
        <v>40856</v>
      </c>
      <c r="F2787" s="8">
        <v>40856</v>
      </c>
      <c r="G2787" s="8">
        <v>40857</v>
      </c>
      <c r="Y2787" s="8"/>
    </row>
    <row r="2788" spans="1:25" x14ac:dyDescent="0.25">
      <c r="A2788" t="str">
        <f>"11-0676"</f>
        <v>11-0676</v>
      </c>
      <c r="D2788" s="8">
        <v>40855</v>
      </c>
      <c r="F2788" s="8">
        <v>40855</v>
      </c>
      <c r="G2788" s="8">
        <v>40855</v>
      </c>
      <c r="Y2788" s="8"/>
    </row>
    <row r="2789" spans="1:25" x14ac:dyDescent="0.25">
      <c r="A2789" t="str">
        <f>"11-0677"</f>
        <v>11-0677</v>
      </c>
      <c r="D2789" s="8">
        <v>40855</v>
      </c>
      <c r="F2789" s="8">
        <v>40855</v>
      </c>
      <c r="G2789" s="8">
        <v>40855</v>
      </c>
      <c r="Y2789" s="8"/>
    </row>
    <row r="2790" spans="1:25" x14ac:dyDescent="0.25">
      <c r="A2790" t="str">
        <f>"11-0678"</f>
        <v>11-0678</v>
      </c>
      <c r="D2790" s="8">
        <v>40855</v>
      </c>
      <c r="F2790" s="8">
        <v>40863</v>
      </c>
      <c r="G2790" s="8">
        <v>40857</v>
      </c>
      <c r="Y2790" s="8"/>
    </row>
    <row r="2791" spans="1:25" x14ac:dyDescent="0.25">
      <c r="A2791" t="str">
        <f>"11-0679"</f>
        <v>11-0679</v>
      </c>
      <c r="D2791" s="8">
        <v>40855</v>
      </c>
      <c r="F2791" s="8">
        <v>40855</v>
      </c>
      <c r="G2791" s="8">
        <v>40855</v>
      </c>
      <c r="Y2791" s="8"/>
    </row>
    <row r="2792" spans="1:25" x14ac:dyDescent="0.25">
      <c r="A2792" t="str">
        <f>"11-0680"</f>
        <v>11-0680</v>
      </c>
      <c r="D2792" s="8">
        <v>40855</v>
      </c>
      <c r="F2792" s="8">
        <v>40855</v>
      </c>
      <c r="G2792" s="8">
        <v>40855</v>
      </c>
      <c r="Y2792" s="8"/>
    </row>
    <row r="2793" spans="1:25" x14ac:dyDescent="0.25">
      <c r="A2793" t="str">
        <f>"11-0681"</f>
        <v>11-0681</v>
      </c>
      <c r="D2793" s="8">
        <v>40855</v>
      </c>
      <c r="F2793" s="8">
        <v>40855</v>
      </c>
      <c r="G2793" s="8">
        <v>40855</v>
      </c>
      <c r="Y2793" s="8"/>
    </row>
    <row r="2794" spans="1:25" x14ac:dyDescent="0.25">
      <c r="A2794" t="str">
        <f>"11-0682"</f>
        <v>11-0682</v>
      </c>
      <c r="D2794" s="8">
        <v>40855</v>
      </c>
      <c r="F2794" s="8">
        <v>40855</v>
      </c>
      <c r="G2794" s="8">
        <v>40857</v>
      </c>
      <c r="Y2794" s="8"/>
    </row>
    <row r="2795" spans="1:25" x14ac:dyDescent="0.25">
      <c r="A2795" t="str">
        <f>"11-0672B"</f>
        <v>11-0672B</v>
      </c>
      <c r="D2795" s="8">
        <v>40854</v>
      </c>
      <c r="F2795" s="8">
        <v>40882</v>
      </c>
      <c r="G2795" s="8">
        <v>40854</v>
      </c>
      <c r="Y2795" s="8"/>
    </row>
    <row r="2796" spans="1:25" x14ac:dyDescent="0.25">
      <c r="A2796" t="str">
        <f>"11-0673"</f>
        <v>11-0673</v>
      </c>
      <c r="D2796" s="8">
        <v>40854</v>
      </c>
      <c r="F2796" s="8">
        <v>40864</v>
      </c>
      <c r="G2796" s="8">
        <v>40862</v>
      </c>
      <c r="Y2796" s="8"/>
    </row>
    <row r="2797" spans="1:25" x14ac:dyDescent="0.25">
      <c r="A2797" t="str">
        <f>"11-0674"</f>
        <v>11-0674</v>
      </c>
      <c r="D2797" s="8">
        <v>40854</v>
      </c>
      <c r="F2797" s="8">
        <v>40854</v>
      </c>
      <c r="G2797" s="8">
        <v>41207</v>
      </c>
      <c r="Y2797" s="8"/>
    </row>
    <row r="2798" spans="1:25" x14ac:dyDescent="0.25">
      <c r="A2798" t="str">
        <f>"11-0675"</f>
        <v>11-0675</v>
      </c>
      <c r="D2798" s="8">
        <v>40854</v>
      </c>
      <c r="F2798" s="8">
        <v>40854</v>
      </c>
      <c r="G2798" s="8">
        <v>40854</v>
      </c>
      <c r="Y2798" s="8"/>
    </row>
    <row r="2799" spans="1:25" x14ac:dyDescent="0.25">
      <c r="A2799" t="str">
        <f>"11-0707"</f>
        <v>11-0707</v>
      </c>
      <c r="D2799" s="8">
        <v>40854</v>
      </c>
      <c r="F2799" s="8">
        <v>40871</v>
      </c>
      <c r="G2799" s="8">
        <v>40854</v>
      </c>
      <c r="Y2799" s="8"/>
    </row>
    <row r="2800" spans="1:25" x14ac:dyDescent="0.25">
      <c r="A2800" t="str">
        <f>"11-0671"</f>
        <v>11-0671</v>
      </c>
      <c r="D2800" s="8">
        <v>40851</v>
      </c>
      <c r="F2800" s="8">
        <v>40851</v>
      </c>
      <c r="G2800" s="8">
        <v>40851</v>
      </c>
      <c r="Y2800" s="8"/>
    </row>
    <row r="2801" spans="1:25" x14ac:dyDescent="0.25">
      <c r="A2801" t="str">
        <f>"11-0672"</f>
        <v>11-0672</v>
      </c>
      <c r="D2801" s="8">
        <v>40851</v>
      </c>
      <c r="F2801" s="8">
        <v>40851</v>
      </c>
      <c r="G2801" s="8">
        <v>40851</v>
      </c>
      <c r="Y2801" s="8"/>
    </row>
    <row r="2802" spans="1:25" x14ac:dyDescent="0.25">
      <c r="A2802" t="str">
        <f>"11-0646B"</f>
        <v>11-0646B</v>
      </c>
      <c r="D2802" s="8">
        <v>40850</v>
      </c>
      <c r="F2802" s="8">
        <v>40850</v>
      </c>
      <c r="G2802" s="8">
        <v>40850</v>
      </c>
      <c r="Y2802" s="8"/>
    </row>
    <row r="2803" spans="1:25" x14ac:dyDescent="0.25">
      <c r="A2803" t="str">
        <f>"11-0654B"</f>
        <v>11-0654B</v>
      </c>
      <c r="D2803" s="8">
        <v>40850</v>
      </c>
      <c r="F2803" s="8">
        <v>40850</v>
      </c>
      <c r="G2803" s="8">
        <v>40850</v>
      </c>
      <c r="Y2803" s="8"/>
    </row>
    <row r="2804" spans="1:25" x14ac:dyDescent="0.25">
      <c r="A2804" t="str">
        <f>"11-0664"</f>
        <v>11-0664</v>
      </c>
      <c r="D2804" s="8">
        <v>40850</v>
      </c>
      <c r="F2804" s="8">
        <v>40883</v>
      </c>
      <c r="G2804" s="8">
        <v>40856</v>
      </c>
      <c r="Y2804" s="8"/>
    </row>
    <row r="2805" spans="1:25" x14ac:dyDescent="0.25">
      <c r="A2805" t="str">
        <f>"11-0665"</f>
        <v>11-0665</v>
      </c>
      <c r="D2805" s="8">
        <v>40850</v>
      </c>
      <c r="F2805" s="8">
        <v>40854</v>
      </c>
      <c r="G2805" s="8">
        <v>40851</v>
      </c>
      <c r="Y2805" s="8"/>
    </row>
    <row r="2806" spans="1:25" x14ac:dyDescent="0.25">
      <c r="A2806" t="str">
        <f>"11-0666"</f>
        <v>11-0666</v>
      </c>
      <c r="D2806" s="8">
        <v>40850</v>
      </c>
      <c r="F2806" s="8">
        <v>40850</v>
      </c>
      <c r="G2806" s="8">
        <v>40850</v>
      </c>
      <c r="Y2806" s="8"/>
    </row>
    <row r="2807" spans="1:25" x14ac:dyDescent="0.25">
      <c r="A2807" t="str">
        <f>"11-0667"</f>
        <v>11-0667</v>
      </c>
      <c r="D2807" s="8">
        <v>40850</v>
      </c>
      <c r="F2807" s="8">
        <v>40850</v>
      </c>
      <c r="G2807" s="8">
        <v>40850</v>
      </c>
      <c r="Y2807" s="8"/>
    </row>
    <row r="2808" spans="1:25" x14ac:dyDescent="0.25">
      <c r="A2808" t="str">
        <f>"11-0668"</f>
        <v>11-0668</v>
      </c>
      <c r="D2808" s="8">
        <v>40850</v>
      </c>
      <c r="F2808" s="8">
        <v>40850</v>
      </c>
      <c r="G2808" s="8">
        <v>40850</v>
      </c>
      <c r="Y2808" s="8"/>
    </row>
    <row r="2809" spans="1:25" x14ac:dyDescent="0.25">
      <c r="A2809" t="str">
        <f>"11-0669"</f>
        <v>11-0669</v>
      </c>
      <c r="D2809" s="8">
        <v>40850</v>
      </c>
      <c r="F2809" s="8">
        <v>40850</v>
      </c>
      <c r="G2809" s="8">
        <v>40850</v>
      </c>
      <c r="Y2809" s="8"/>
    </row>
    <row r="2810" spans="1:25" x14ac:dyDescent="0.25">
      <c r="A2810" t="str">
        <f>"11-0670"</f>
        <v>11-0670</v>
      </c>
      <c r="D2810" s="8">
        <v>40850</v>
      </c>
      <c r="F2810" s="8">
        <v>40891</v>
      </c>
      <c r="G2810" s="8">
        <v>41213</v>
      </c>
      <c r="Y2810" s="8"/>
    </row>
    <row r="2811" spans="1:25" x14ac:dyDescent="0.25">
      <c r="A2811" t="str">
        <f>"11-0662"</f>
        <v>11-0662</v>
      </c>
      <c r="D2811" s="8">
        <v>40849</v>
      </c>
      <c r="F2811" s="8">
        <v>40850</v>
      </c>
      <c r="G2811" s="8">
        <v>40850</v>
      </c>
      <c r="Y2811" s="8"/>
    </row>
    <row r="2812" spans="1:25" x14ac:dyDescent="0.25">
      <c r="A2812" t="str">
        <f>"11-0663"</f>
        <v>11-0663</v>
      </c>
      <c r="D2812" s="8">
        <v>40849</v>
      </c>
      <c r="F2812" s="8">
        <v>40849</v>
      </c>
      <c r="G2812" s="8">
        <v>40849</v>
      </c>
      <c r="Y2812" s="8"/>
    </row>
    <row r="2813" spans="1:25" x14ac:dyDescent="0.25">
      <c r="A2813" t="str">
        <f>"11-0658"</f>
        <v>11-0658</v>
      </c>
      <c r="D2813" s="8">
        <v>40847</v>
      </c>
      <c r="F2813" s="8">
        <v>40847</v>
      </c>
      <c r="G2813" s="8">
        <v>40847</v>
      </c>
      <c r="Y2813" s="8"/>
    </row>
    <row r="2814" spans="1:25" x14ac:dyDescent="0.25">
      <c r="A2814" t="str">
        <f>"11-0659"</f>
        <v>11-0659</v>
      </c>
      <c r="D2814" s="8">
        <v>40847</v>
      </c>
      <c r="F2814" s="8">
        <v>40847</v>
      </c>
      <c r="G2814" s="8">
        <v>40847</v>
      </c>
      <c r="Y2814" s="8"/>
    </row>
    <row r="2815" spans="1:25" x14ac:dyDescent="0.25">
      <c r="A2815" t="str">
        <f>"11-0660"</f>
        <v>11-0660</v>
      </c>
      <c r="D2815" s="8">
        <v>40847</v>
      </c>
      <c r="F2815" s="8">
        <v>40847</v>
      </c>
      <c r="G2815" s="8">
        <v>40851</v>
      </c>
      <c r="Y2815" s="8"/>
    </row>
    <row r="2816" spans="1:25" x14ac:dyDescent="0.25">
      <c r="A2816" t="str">
        <f>"11-0661"</f>
        <v>11-0661</v>
      </c>
      <c r="D2816" s="8">
        <v>40847</v>
      </c>
      <c r="F2816" s="8">
        <v>40847</v>
      </c>
      <c r="G2816" s="8">
        <v>40847</v>
      </c>
      <c r="Y2816" s="8"/>
    </row>
    <row r="2817" spans="1:25" x14ac:dyDescent="0.25">
      <c r="A2817" t="str">
        <f>"11-0684"</f>
        <v>11-0684</v>
      </c>
      <c r="D2817" s="8">
        <v>40847</v>
      </c>
      <c r="F2817" s="8">
        <v>40925</v>
      </c>
      <c r="G2817" s="8">
        <v>40847</v>
      </c>
      <c r="Y2817" s="8"/>
    </row>
    <row r="2818" spans="1:25" x14ac:dyDescent="0.25">
      <c r="A2818" t="str">
        <f>"11-0654"</f>
        <v>11-0654</v>
      </c>
      <c r="D2818" s="8">
        <v>40844</v>
      </c>
      <c r="F2818" s="8">
        <v>40844</v>
      </c>
      <c r="G2818" s="8">
        <v>40871</v>
      </c>
      <c r="Y2818" s="8"/>
    </row>
    <row r="2819" spans="1:25" x14ac:dyDescent="0.25">
      <c r="A2819" t="str">
        <f>"11-0655"</f>
        <v>11-0655</v>
      </c>
      <c r="D2819" s="8">
        <v>40844</v>
      </c>
      <c r="F2819" s="8">
        <v>40844</v>
      </c>
      <c r="G2819" s="8">
        <v>40844</v>
      </c>
      <c r="Y2819" s="8"/>
    </row>
    <row r="2820" spans="1:25" x14ac:dyDescent="0.25">
      <c r="A2820" t="str">
        <f>"11-0656"</f>
        <v>11-0656</v>
      </c>
      <c r="D2820" s="8">
        <v>40844</v>
      </c>
      <c r="F2820" s="8">
        <v>40844</v>
      </c>
      <c r="G2820" s="8">
        <v>40844</v>
      </c>
      <c r="Y2820" s="8"/>
    </row>
    <row r="2821" spans="1:25" x14ac:dyDescent="0.25">
      <c r="A2821" t="str">
        <f>"11-0657"</f>
        <v>11-0657</v>
      </c>
      <c r="D2821" s="8">
        <v>40844</v>
      </c>
      <c r="F2821" s="8">
        <v>40844</v>
      </c>
      <c r="G2821" s="8">
        <v>40844</v>
      </c>
      <c r="Y2821" s="8"/>
    </row>
    <row r="2822" spans="1:25" x14ac:dyDescent="0.25">
      <c r="A2822" t="str">
        <f>"11-0651"</f>
        <v>11-0651</v>
      </c>
      <c r="D2822" s="8">
        <v>40843</v>
      </c>
      <c r="F2822" s="8">
        <v>40843</v>
      </c>
      <c r="G2822" s="8">
        <v>40843</v>
      </c>
      <c r="Y2822" s="8"/>
    </row>
    <row r="2823" spans="1:25" x14ac:dyDescent="0.25">
      <c r="A2823" t="str">
        <f>"11-0652"</f>
        <v>11-0652</v>
      </c>
      <c r="D2823" s="8">
        <v>40843</v>
      </c>
      <c r="F2823" s="8">
        <v>40843</v>
      </c>
      <c r="G2823" s="8">
        <v>40843</v>
      </c>
      <c r="Y2823" s="8"/>
    </row>
    <row r="2824" spans="1:25" x14ac:dyDescent="0.25">
      <c r="A2824" t="str">
        <f>"11-0653"</f>
        <v>11-0653</v>
      </c>
      <c r="D2824" s="8">
        <v>40843</v>
      </c>
      <c r="F2824" s="8">
        <v>41228</v>
      </c>
      <c r="G2824" s="8">
        <v>40843</v>
      </c>
      <c r="Y2824" s="8"/>
    </row>
    <row r="2825" spans="1:25" x14ac:dyDescent="0.25">
      <c r="A2825" t="str">
        <f>"11-0650"</f>
        <v>11-0650</v>
      </c>
      <c r="D2825" s="8">
        <v>40841</v>
      </c>
      <c r="F2825" s="8">
        <v>40841</v>
      </c>
      <c r="G2825" s="8">
        <v>40830</v>
      </c>
      <c r="Y2825" s="8"/>
    </row>
    <row r="2826" spans="1:25" x14ac:dyDescent="0.25">
      <c r="A2826" t="str">
        <f>"11-0648"</f>
        <v>11-0648</v>
      </c>
      <c r="D2826" s="8">
        <v>40840</v>
      </c>
      <c r="F2826" s="8">
        <v>40840</v>
      </c>
      <c r="G2826" s="8">
        <v>40840</v>
      </c>
      <c r="Y2826" s="8"/>
    </row>
    <row r="2827" spans="1:25" x14ac:dyDescent="0.25">
      <c r="A2827" t="str">
        <f>"11-0649"</f>
        <v>11-0649</v>
      </c>
      <c r="D2827" s="8">
        <v>40840</v>
      </c>
      <c r="F2827" s="8">
        <v>40847</v>
      </c>
      <c r="G2827" s="8">
        <v>40847</v>
      </c>
      <c r="Y2827" s="8"/>
    </row>
    <row r="2828" spans="1:25" x14ac:dyDescent="0.25">
      <c r="A2828" t="str">
        <f>"11-0647"</f>
        <v>11-0647</v>
      </c>
      <c r="D2828" s="8">
        <v>40837</v>
      </c>
      <c r="F2828" s="8">
        <v>40837</v>
      </c>
      <c r="G2828" s="8">
        <v>40837</v>
      </c>
      <c r="Y2828" s="8"/>
    </row>
    <row r="2829" spans="1:25" x14ac:dyDescent="0.25">
      <c r="A2829" t="str">
        <f>"11-0568B"</f>
        <v>11-0568B</v>
      </c>
      <c r="D2829" s="8">
        <v>40836</v>
      </c>
      <c r="F2829" s="8">
        <v>40836</v>
      </c>
      <c r="G2829" s="8">
        <v>40836</v>
      </c>
      <c r="Y2829" s="8"/>
    </row>
    <row r="2830" spans="1:25" x14ac:dyDescent="0.25">
      <c r="A2830" t="str">
        <f>"11-0598B"</f>
        <v>11-0598B</v>
      </c>
      <c r="D2830" s="8">
        <v>40836</v>
      </c>
      <c r="F2830" s="8">
        <v>40841</v>
      </c>
      <c r="G2830" s="8">
        <v>40836</v>
      </c>
      <c r="Y2830" s="8"/>
    </row>
    <row r="2831" spans="1:25" x14ac:dyDescent="0.25">
      <c r="A2831" t="str">
        <f>"11-0600"</f>
        <v>11-0600</v>
      </c>
      <c r="D2831" s="8">
        <v>40836</v>
      </c>
      <c r="F2831" s="8">
        <v>40959</v>
      </c>
      <c r="G2831" s="8">
        <v>40836</v>
      </c>
      <c r="Y2831" s="8"/>
    </row>
    <row r="2832" spans="1:25" x14ac:dyDescent="0.25">
      <c r="A2832" t="str">
        <f>"11-0640"</f>
        <v>11-0640</v>
      </c>
      <c r="D2832" s="8">
        <v>40836</v>
      </c>
      <c r="G2832" s="8">
        <v>40833</v>
      </c>
      <c r="Y2832" s="8"/>
    </row>
    <row r="2833" spans="1:25" x14ac:dyDescent="0.25">
      <c r="A2833" t="str">
        <f>"11-0641"</f>
        <v>11-0641</v>
      </c>
      <c r="D2833" s="8">
        <v>40836</v>
      </c>
      <c r="F2833" s="8">
        <v>40836</v>
      </c>
      <c r="G2833" s="8">
        <v>40836</v>
      </c>
      <c r="Y2833" s="8"/>
    </row>
    <row r="2834" spans="1:25" x14ac:dyDescent="0.25">
      <c r="A2834" t="str">
        <f>"11-0643"</f>
        <v>11-0643</v>
      </c>
      <c r="D2834" s="8">
        <v>40836</v>
      </c>
      <c r="F2834" s="8">
        <v>40836</v>
      </c>
      <c r="G2834" s="8">
        <v>40836</v>
      </c>
      <c r="Y2834" s="8"/>
    </row>
    <row r="2835" spans="1:25" x14ac:dyDescent="0.25">
      <c r="A2835" t="str">
        <f>"11-0644"</f>
        <v>11-0644</v>
      </c>
      <c r="D2835" s="8">
        <v>40836</v>
      </c>
      <c r="F2835" s="8">
        <v>40836</v>
      </c>
      <c r="G2835" s="8">
        <v>40837</v>
      </c>
      <c r="Y2835" s="8"/>
    </row>
    <row r="2836" spans="1:25" x14ac:dyDescent="0.25">
      <c r="A2836" t="str">
        <f>"11-0645"</f>
        <v>11-0645</v>
      </c>
      <c r="D2836" s="8">
        <v>40836</v>
      </c>
      <c r="F2836" s="8">
        <v>40847</v>
      </c>
      <c r="G2836" s="8">
        <v>40836</v>
      </c>
      <c r="Y2836" s="8"/>
    </row>
    <row r="2837" spans="1:25" x14ac:dyDescent="0.25">
      <c r="A2837" t="str">
        <f>"11-0646"</f>
        <v>11-0646</v>
      </c>
      <c r="D2837" s="8">
        <v>40836</v>
      </c>
      <c r="F2837" s="8">
        <v>40836</v>
      </c>
      <c r="G2837" s="8">
        <v>40836</v>
      </c>
      <c r="Y2837" s="8"/>
    </row>
    <row r="2838" spans="1:25" x14ac:dyDescent="0.25">
      <c r="A2838" t="str">
        <f>"11-0603B"</f>
        <v>11-0603B</v>
      </c>
      <c r="D2838" s="8">
        <v>40835</v>
      </c>
      <c r="F2838" s="8">
        <v>40835</v>
      </c>
      <c r="G2838" s="8">
        <v>40835</v>
      </c>
      <c r="Y2838" s="8"/>
    </row>
    <row r="2839" spans="1:25" x14ac:dyDescent="0.25">
      <c r="A2839" t="str">
        <f>"11-0603C"</f>
        <v>11-0603C</v>
      </c>
      <c r="D2839" s="8">
        <v>40835</v>
      </c>
      <c r="F2839" s="8">
        <v>40835</v>
      </c>
      <c r="G2839" s="8">
        <v>40835</v>
      </c>
      <c r="Y2839" s="8"/>
    </row>
    <row r="2840" spans="1:25" x14ac:dyDescent="0.25">
      <c r="A2840" t="str">
        <f>"11-0635"</f>
        <v>11-0635</v>
      </c>
      <c r="D2840" s="8">
        <v>40835</v>
      </c>
      <c r="F2840" s="8">
        <v>40835</v>
      </c>
      <c r="G2840" s="8">
        <v>40813</v>
      </c>
      <c r="Y2840" s="8"/>
    </row>
    <row r="2841" spans="1:25" x14ac:dyDescent="0.25">
      <c r="A2841" t="str">
        <f>"11-0636"</f>
        <v>11-0636</v>
      </c>
      <c r="D2841" s="8">
        <v>40835</v>
      </c>
      <c r="F2841" s="8">
        <v>40835</v>
      </c>
      <c r="G2841" s="8">
        <v>40835</v>
      </c>
      <c r="Y2841" s="8"/>
    </row>
    <row r="2842" spans="1:25" x14ac:dyDescent="0.25">
      <c r="A2842" t="str">
        <f>"11-0637"</f>
        <v>11-0637</v>
      </c>
      <c r="D2842" s="8">
        <v>40835</v>
      </c>
      <c r="F2842" s="8">
        <v>40835</v>
      </c>
      <c r="G2842" s="8">
        <v>40835</v>
      </c>
      <c r="Y2842" s="8"/>
    </row>
    <row r="2843" spans="1:25" x14ac:dyDescent="0.25">
      <c r="A2843" t="str">
        <f>"11-0638"</f>
        <v>11-0638</v>
      </c>
      <c r="D2843" s="8">
        <v>40835</v>
      </c>
      <c r="F2843" s="8">
        <v>41289</v>
      </c>
      <c r="G2843" s="8">
        <v>40835</v>
      </c>
      <c r="Y2843" s="8"/>
    </row>
    <row r="2844" spans="1:25" x14ac:dyDescent="0.25">
      <c r="A2844" t="str">
        <f>"11-0639"</f>
        <v>11-0639</v>
      </c>
      <c r="D2844" s="8">
        <v>40835</v>
      </c>
      <c r="F2844" s="8">
        <v>40835</v>
      </c>
      <c r="G2844" s="8">
        <v>40835</v>
      </c>
      <c r="Y2844" s="8"/>
    </row>
    <row r="2845" spans="1:25" x14ac:dyDescent="0.25">
      <c r="A2845" t="str">
        <f>"11-0619B"</f>
        <v>11-0619B</v>
      </c>
      <c r="D2845" s="8">
        <v>40834</v>
      </c>
      <c r="F2845" s="8">
        <v>40834</v>
      </c>
      <c r="G2845" s="8">
        <v>40834</v>
      </c>
      <c r="Y2845" s="8"/>
    </row>
    <row r="2846" spans="1:25" x14ac:dyDescent="0.25">
      <c r="A2846" t="str">
        <f>"11-0627"</f>
        <v>11-0627</v>
      </c>
      <c r="D2846" s="8">
        <v>40834</v>
      </c>
      <c r="F2846" s="8">
        <v>40834</v>
      </c>
      <c r="G2846" s="8">
        <v>40834</v>
      </c>
      <c r="Y2846" s="8"/>
    </row>
    <row r="2847" spans="1:25" x14ac:dyDescent="0.25">
      <c r="A2847" t="str">
        <f>"11-0628"</f>
        <v>11-0628</v>
      </c>
      <c r="D2847" s="8">
        <v>40834</v>
      </c>
      <c r="F2847" s="8">
        <v>40834</v>
      </c>
      <c r="G2847" s="8">
        <v>40834</v>
      </c>
      <c r="Y2847" s="8"/>
    </row>
    <row r="2848" spans="1:25" x14ac:dyDescent="0.25">
      <c r="A2848" t="str">
        <f>"11-0629"</f>
        <v>11-0629</v>
      </c>
      <c r="D2848" s="8">
        <v>40834</v>
      </c>
      <c r="F2848" s="8">
        <v>40834</v>
      </c>
      <c r="G2848" s="8">
        <v>40833</v>
      </c>
      <c r="Y2848" s="8"/>
    </row>
    <row r="2849" spans="1:25" x14ac:dyDescent="0.25">
      <c r="A2849" t="str">
        <f>"11-0630"</f>
        <v>11-0630</v>
      </c>
      <c r="D2849" s="8">
        <v>40834</v>
      </c>
      <c r="F2849" s="8">
        <v>40834</v>
      </c>
      <c r="G2849" s="8">
        <v>40834</v>
      </c>
      <c r="Y2849" s="8"/>
    </row>
    <row r="2850" spans="1:25" x14ac:dyDescent="0.25">
      <c r="A2850" t="str">
        <f>"11-0631"</f>
        <v>11-0631</v>
      </c>
      <c r="D2850" s="8">
        <v>40834</v>
      </c>
      <c r="F2850" s="8">
        <v>40878</v>
      </c>
      <c r="G2850" s="8">
        <v>40875</v>
      </c>
      <c r="Y2850" s="8"/>
    </row>
    <row r="2851" spans="1:25" x14ac:dyDescent="0.25">
      <c r="A2851" t="str">
        <f>"11-0632"</f>
        <v>11-0632</v>
      </c>
      <c r="D2851" s="8">
        <v>40834</v>
      </c>
      <c r="F2851" s="8">
        <v>40851</v>
      </c>
      <c r="G2851" s="8">
        <v>40836</v>
      </c>
      <c r="Y2851" s="8"/>
    </row>
    <row r="2852" spans="1:25" x14ac:dyDescent="0.25">
      <c r="A2852" t="str">
        <f>"11-0633"</f>
        <v>11-0633</v>
      </c>
      <c r="D2852" s="8">
        <v>40834</v>
      </c>
      <c r="F2852" s="8">
        <v>40851</v>
      </c>
      <c r="G2852" s="8">
        <v>40836</v>
      </c>
      <c r="Y2852" s="8"/>
    </row>
    <row r="2853" spans="1:25" x14ac:dyDescent="0.25">
      <c r="A2853" t="str">
        <f>"11-0634"</f>
        <v>11-0634</v>
      </c>
      <c r="D2853" s="8">
        <v>40834</v>
      </c>
      <c r="F2853" s="8">
        <v>40851</v>
      </c>
      <c r="G2853" s="8">
        <v>40836</v>
      </c>
      <c r="Y2853" s="8"/>
    </row>
    <row r="2854" spans="1:25" x14ac:dyDescent="0.25">
      <c r="A2854" t="str">
        <f>"11-0626"</f>
        <v>11-0626</v>
      </c>
      <c r="D2854" s="8">
        <v>40833</v>
      </c>
      <c r="F2854" s="8">
        <v>40833</v>
      </c>
      <c r="G2854" s="8">
        <v>40828</v>
      </c>
      <c r="Y2854" s="8"/>
    </row>
    <row r="2855" spans="1:25" x14ac:dyDescent="0.25">
      <c r="A2855" t="str">
        <f>"11-0625"</f>
        <v>11-0625</v>
      </c>
      <c r="D2855" s="8">
        <v>40830</v>
      </c>
      <c r="F2855" s="8">
        <v>41171</v>
      </c>
      <c r="G2855" s="8">
        <v>40830</v>
      </c>
      <c r="Y2855" s="8"/>
    </row>
    <row r="2856" spans="1:25" x14ac:dyDescent="0.25">
      <c r="A2856" t="str">
        <f>"11-0642"</f>
        <v>11-0642</v>
      </c>
      <c r="D2856" s="8">
        <v>40830</v>
      </c>
      <c r="F2856" s="8">
        <v>40836</v>
      </c>
      <c r="G2856" s="8">
        <v>40830</v>
      </c>
      <c r="Y2856" s="8"/>
    </row>
    <row r="2857" spans="1:25" x14ac:dyDescent="0.25">
      <c r="A2857" t="str">
        <f>"11-0620"</f>
        <v>11-0620</v>
      </c>
      <c r="D2857" s="8">
        <v>40829</v>
      </c>
      <c r="F2857" s="8">
        <v>40834</v>
      </c>
      <c r="G2857" s="8">
        <v>40830</v>
      </c>
      <c r="Y2857" s="8"/>
    </row>
    <row r="2858" spans="1:25" x14ac:dyDescent="0.25">
      <c r="A2858" t="str">
        <f>"11-0621"</f>
        <v>11-0621</v>
      </c>
      <c r="D2858" s="8">
        <v>40829</v>
      </c>
      <c r="F2858" s="8">
        <v>40829</v>
      </c>
      <c r="G2858" s="8">
        <v>40829</v>
      </c>
      <c r="Y2858" s="8"/>
    </row>
    <row r="2859" spans="1:25" x14ac:dyDescent="0.25">
      <c r="A2859" t="str">
        <f>"11-0623"</f>
        <v>11-0623</v>
      </c>
      <c r="D2859" s="8">
        <v>40829</v>
      </c>
      <c r="F2859" s="8">
        <v>40829</v>
      </c>
      <c r="G2859" s="8">
        <v>40828</v>
      </c>
      <c r="Y2859" s="8"/>
    </row>
    <row r="2860" spans="1:25" x14ac:dyDescent="0.25">
      <c r="A2860" t="str">
        <f>"11-0624"</f>
        <v>11-0624</v>
      </c>
      <c r="D2860" s="8">
        <v>40829</v>
      </c>
      <c r="F2860" s="8">
        <v>40829</v>
      </c>
      <c r="G2860" s="8">
        <v>40829</v>
      </c>
      <c r="Y2860" s="8"/>
    </row>
    <row r="2861" spans="1:25" x14ac:dyDescent="0.25">
      <c r="A2861" t="str">
        <f>"11-0601B"</f>
        <v>11-0601B</v>
      </c>
      <c r="D2861" s="8">
        <v>40828</v>
      </c>
      <c r="F2861" s="8">
        <v>40828</v>
      </c>
      <c r="G2861" s="8">
        <v>40828</v>
      </c>
      <c r="Y2861" s="8"/>
    </row>
    <row r="2862" spans="1:25" x14ac:dyDescent="0.25">
      <c r="A2862" t="str">
        <f>"11-0615"</f>
        <v>11-0615</v>
      </c>
      <c r="D2862" s="8">
        <v>40828</v>
      </c>
      <c r="F2862" s="8">
        <v>40828</v>
      </c>
      <c r="G2862" s="8">
        <v>40828</v>
      </c>
      <c r="Y2862" s="8"/>
    </row>
    <row r="2863" spans="1:25" x14ac:dyDescent="0.25">
      <c r="A2863" t="str">
        <f>"11-0616"</f>
        <v>11-0616</v>
      </c>
      <c r="D2863" s="8">
        <v>40828</v>
      </c>
      <c r="F2863" s="8">
        <v>40828</v>
      </c>
      <c r="G2863" s="8">
        <v>40828</v>
      </c>
      <c r="Y2863" s="8"/>
    </row>
    <row r="2864" spans="1:25" x14ac:dyDescent="0.25">
      <c r="A2864" t="str">
        <f>"11-0617"</f>
        <v>11-0617</v>
      </c>
      <c r="D2864" s="8">
        <v>40828</v>
      </c>
      <c r="F2864" s="8">
        <v>40856</v>
      </c>
      <c r="G2864" s="8">
        <v>40828</v>
      </c>
      <c r="Y2864" s="8"/>
    </row>
    <row r="2865" spans="1:25" x14ac:dyDescent="0.25">
      <c r="A2865" t="str">
        <f>"11-0618"</f>
        <v>11-0618</v>
      </c>
      <c r="D2865" s="8">
        <v>40828</v>
      </c>
      <c r="F2865" s="8">
        <v>40939</v>
      </c>
      <c r="G2865" s="8">
        <v>40828</v>
      </c>
      <c r="Y2865" s="8"/>
    </row>
    <row r="2866" spans="1:25" x14ac:dyDescent="0.25">
      <c r="A2866" t="str">
        <f>"11-0619"</f>
        <v>11-0619</v>
      </c>
      <c r="D2866" s="8">
        <v>40828</v>
      </c>
      <c r="F2866" s="8">
        <v>40828</v>
      </c>
      <c r="G2866" s="8">
        <v>40828</v>
      </c>
      <c r="Y2866" s="8"/>
    </row>
    <row r="2867" spans="1:25" x14ac:dyDescent="0.25">
      <c r="A2867" t="str">
        <f>"11-0609"</f>
        <v>11-0609</v>
      </c>
      <c r="D2867" s="8">
        <v>40827</v>
      </c>
      <c r="F2867" s="8">
        <v>40828</v>
      </c>
      <c r="G2867" s="8">
        <v>40827</v>
      </c>
      <c r="Y2867" s="8"/>
    </row>
    <row r="2868" spans="1:25" x14ac:dyDescent="0.25">
      <c r="A2868" t="str">
        <f>"11-0610"</f>
        <v>11-0610</v>
      </c>
      <c r="D2868" s="8">
        <v>40827</v>
      </c>
      <c r="F2868" s="8">
        <v>40827</v>
      </c>
      <c r="G2868" s="8">
        <v>40827</v>
      </c>
      <c r="Y2868" s="8"/>
    </row>
    <row r="2869" spans="1:25" x14ac:dyDescent="0.25">
      <c r="A2869" t="str">
        <f>"11-0611"</f>
        <v>11-0611</v>
      </c>
      <c r="D2869" s="8">
        <v>40827</v>
      </c>
      <c r="F2869" s="8">
        <v>40827</v>
      </c>
      <c r="G2869" s="8">
        <v>40827</v>
      </c>
      <c r="Y2869" s="8"/>
    </row>
    <row r="2870" spans="1:25" x14ac:dyDescent="0.25">
      <c r="A2870" t="str">
        <f>"11-0612"</f>
        <v>11-0612</v>
      </c>
      <c r="D2870" s="8">
        <v>40827</v>
      </c>
      <c r="F2870" s="8">
        <v>40827</v>
      </c>
      <c r="G2870" s="8">
        <v>40827</v>
      </c>
      <c r="Y2870" s="8"/>
    </row>
    <row r="2871" spans="1:25" x14ac:dyDescent="0.25">
      <c r="A2871" t="str">
        <f>"11-0613"</f>
        <v>11-0613</v>
      </c>
      <c r="D2871" s="8">
        <v>40827</v>
      </c>
      <c r="F2871" s="8">
        <v>40827</v>
      </c>
      <c r="G2871" s="8">
        <v>40827</v>
      </c>
      <c r="Y2871" s="8"/>
    </row>
    <row r="2872" spans="1:25" x14ac:dyDescent="0.25">
      <c r="A2872" t="str">
        <f>"11-0614"</f>
        <v>11-0614</v>
      </c>
      <c r="D2872" s="8">
        <v>40827</v>
      </c>
      <c r="F2872" s="8">
        <v>40827</v>
      </c>
      <c r="G2872" s="8">
        <v>40827</v>
      </c>
      <c r="Y2872" s="8"/>
    </row>
    <row r="2873" spans="1:25" x14ac:dyDescent="0.25">
      <c r="A2873" t="str">
        <f>"11-0604"</f>
        <v>11-0604</v>
      </c>
      <c r="D2873" s="8">
        <v>40826</v>
      </c>
      <c r="F2873" s="8">
        <v>40826</v>
      </c>
      <c r="G2873" s="8">
        <v>40826</v>
      </c>
      <c r="Y2873" s="8"/>
    </row>
    <row r="2874" spans="1:25" x14ac:dyDescent="0.25">
      <c r="A2874" t="str">
        <f>"11-0605"</f>
        <v>11-0605</v>
      </c>
      <c r="D2874" s="8">
        <v>40826</v>
      </c>
      <c r="F2874" s="8">
        <v>40826</v>
      </c>
      <c r="G2874" s="8">
        <v>40826</v>
      </c>
      <c r="Y2874" s="8"/>
    </row>
    <row r="2875" spans="1:25" x14ac:dyDescent="0.25">
      <c r="A2875" t="str">
        <f>"11-0606"</f>
        <v>11-0606</v>
      </c>
      <c r="D2875" s="8">
        <v>40826</v>
      </c>
      <c r="F2875" s="8">
        <v>40911</v>
      </c>
      <c r="G2875" s="8">
        <v>40826</v>
      </c>
      <c r="Y2875" s="8"/>
    </row>
    <row r="2876" spans="1:25" x14ac:dyDescent="0.25">
      <c r="A2876" t="str">
        <f>"11-0607"</f>
        <v>11-0607</v>
      </c>
      <c r="D2876" s="8">
        <v>40826</v>
      </c>
      <c r="F2876" s="8">
        <v>40875</v>
      </c>
      <c r="G2876" s="8">
        <v>40826</v>
      </c>
      <c r="Y2876" s="8"/>
    </row>
    <row r="2877" spans="1:25" x14ac:dyDescent="0.25">
      <c r="A2877" t="str">
        <f>"11-0608"</f>
        <v>11-0608</v>
      </c>
      <c r="D2877" s="8">
        <v>40826</v>
      </c>
      <c r="F2877" s="8">
        <v>40827</v>
      </c>
      <c r="G2877" s="8">
        <v>40826</v>
      </c>
      <c r="Y2877" s="8"/>
    </row>
    <row r="2878" spans="1:25" x14ac:dyDescent="0.25">
      <c r="A2878" t="str">
        <f>"11-0603"</f>
        <v>11-0603</v>
      </c>
      <c r="D2878" s="8">
        <v>40823</v>
      </c>
      <c r="F2878" s="8">
        <v>40823</v>
      </c>
      <c r="G2878" s="8">
        <v>40823</v>
      </c>
      <c r="Y2878" s="8"/>
    </row>
    <row r="2879" spans="1:25" x14ac:dyDescent="0.25">
      <c r="A2879" t="str">
        <f>"11-0586B"</f>
        <v>11-0586B</v>
      </c>
      <c r="D2879" s="8">
        <v>40822</v>
      </c>
      <c r="F2879" s="8">
        <v>40822</v>
      </c>
      <c r="G2879" s="8">
        <v>40822</v>
      </c>
      <c r="Y2879" s="8"/>
    </row>
    <row r="2880" spans="1:25" x14ac:dyDescent="0.25">
      <c r="A2880" t="str">
        <f>"11-0598"</f>
        <v>11-0598</v>
      </c>
      <c r="D2880" s="8">
        <v>40822</v>
      </c>
      <c r="F2880" s="8">
        <v>40823</v>
      </c>
      <c r="G2880" s="8">
        <v>40819</v>
      </c>
      <c r="Y2880" s="8"/>
    </row>
    <row r="2881" spans="1:25" x14ac:dyDescent="0.25">
      <c r="A2881" t="str">
        <f>"11-0599"</f>
        <v>11-0599</v>
      </c>
      <c r="D2881" s="8">
        <v>40822</v>
      </c>
      <c r="F2881" s="8">
        <v>40823</v>
      </c>
      <c r="G2881" s="8">
        <v>40819</v>
      </c>
      <c r="Y2881" s="8"/>
    </row>
    <row r="2882" spans="1:25" x14ac:dyDescent="0.25">
      <c r="A2882" t="str">
        <f>"11-0601"</f>
        <v>11-0601</v>
      </c>
      <c r="D2882" s="8">
        <v>40822</v>
      </c>
      <c r="F2882" s="8">
        <v>40822</v>
      </c>
      <c r="G2882" s="8">
        <v>40821</v>
      </c>
      <c r="Y2882" s="8"/>
    </row>
    <row r="2883" spans="1:25" x14ac:dyDescent="0.25">
      <c r="A2883" t="str">
        <f>"11-0602"</f>
        <v>11-0602</v>
      </c>
      <c r="D2883" s="8">
        <v>40822</v>
      </c>
      <c r="F2883" s="8">
        <v>40822</v>
      </c>
      <c r="G2883" s="8">
        <v>40822</v>
      </c>
      <c r="Y2883" s="8"/>
    </row>
    <row r="2884" spans="1:25" x14ac:dyDescent="0.25">
      <c r="A2884" t="str">
        <f>"11-0194A"</f>
        <v>11-0194A</v>
      </c>
      <c r="D2884" s="8">
        <v>40821</v>
      </c>
      <c r="F2884" s="8">
        <v>40821</v>
      </c>
      <c r="G2884" s="8">
        <v>40821</v>
      </c>
      <c r="Y2884" s="8"/>
    </row>
    <row r="2885" spans="1:25" x14ac:dyDescent="0.25">
      <c r="A2885" t="str">
        <f>"11-0592"</f>
        <v>11-0592</v>
      </c>
      <c r="D2885" s="8">
        <v>40821</v>
      </c>
      <c r="F2885" s="8">
        <v>40821</v>
      </c>
      <c r="G2885" s="8">
        <v>40821</v>
      </c>
      <c r="Y2885" s="8"/>
    </row>
    <row r="2886" spans="1:25" x14ac:dyDescent="0.25">
      <c r="A2886" t="str">
        <f>"11-0593"</f>
        <v>11-0593</v>
      </c>
      <c r="D2886" s="8">
        <v>40821</v>
      </c>
      <c r="F2886" s="8">
        <v>40821</v>
      </c>
      <c r="G2886" s="8">
        <v>40821</v>
      </c>
      <c r="Y2886" s="8"/>
    </row>
    <row r="2887" spans="1:25" x14ac:dyDescent="0.25">
      <c r="A2887" t="str">
        <f>"11-0594"</f>
        <v>11-0594</v>
      </c>
      <c r="D2887" s="8">
        <v>40821</v>
      </c>
      <c r="F2887" s="8">
        <v>40821</v>
      </c>
      <c r="G2887" s="8">
        <v>40823</v>
      </c>
      <c r="Y2887" s="8"/>
    </row>
    <row r="2888" spans="1:25" x14ac:dyDescent="0.25">
      <c r="A2888" t="str">
        <f>"11-0595"</f>
        <v>11-0595</v>
      </c>
      <c r="D2888" s="8">
        <v>40821</v>
      </c>
      <c r="F2888" s="8">
        <v>40821</v>
      </c>
      <c r="G2888" s="8">
        <v>40821</v>
      </c>
      <c r="Y2888" s="8"/>
    </row>
    <row r="2889" spans="1:25" x14ac:dyDescent="0.25">
      <c r="A2889" t="str">
        <f>"11-0596"</f>
        <v>11-0596</v>
      </c>
      <c r="D2889" s="8">
        <v>40821</v>
      </c>
      <c r="F2889" s="8">
        <v>40828</v>
      </c>
      <c r="G2889" s="8">
        <v>40823</v>
      </c>
      <c r="Y2889" s="8"/>
    </row>
    <row r="2890" spans="1:25" x14ac:dyDescent="0.25">
      <c r="A2890" t="str">
        <f>"11-0597"</f>
        <v>11-0597</v>
      </c>
      <c r="D2890" s="8">
        <v>40821</v>
      </c>
      <c r="F2890" s="8">
        <v>40821</v>
      </c>
      <c r="G2890" s="8">
        <v>40823</v>
      </c>
      <c r="Y2890" s="8"/>
    </row>
    <row r="2891" spans="1:25" x14ac:dyDescent="0.25">
      <c r="A2891" t="str">
        <f>"11-0585"</f>
        <v>11-0585</v>
      </c>
      <c r="D2891" s="8">
        <v>40820</v>
      </c>
      <c r="F2891" s="8">
        <v>40820</v>
      </c>
      <c r="G2891" s="8">
        <v>40823</v>
      </c>
      <c r="Y2891" s="8"/>
    </row>
    <row r="2892" spans="1:25" x14ac:dyDescent="0.25">
      <c r="A2892" t="str">
        <f>"11-0586"</f>
        <v>11-0586</v>
      </c>
      <c r="D2892" s="8">
        <v>40820</v>
      </c>
      <c r="F2892" s="8">
        <v>40820</v>
      </c>
      <c r="G2892" s="8">
        <v>40820</v>
      </c>
      <c r="Y2892" s="8"/>
    </row>
    <row r="2893" spans="1:25" x14ac:dyDescent="0.25">
      <c r="A2893" t="str">
        <f>"11-0587"</f>
        <v>11-0587</v>
      </c>
      <c r="D2893" s="8">
        <v>40820</v>
      </c>
      <c r="F2893" s="8">
        <v>40820</v>
      </c>
      <c r="G2893" s="8">
        <v>40822</v>
      </c>
      <c r="Y2893" s="8"/>
    </row>
    <row r="2894" spans="1:25" x14ac:dyDescent="0.25">
      <c r="A2894" t="str">
        <f>"11-0588"</f>
        <v>11-0588</v>
      </c>
      <c r="D2894" s="8">
        <v>40820</v>
      </c>
      <c r="F2894" s="8">
        <v>40820</v>
      </c>
      <c r="G2894" s="8">
        <v>40823</v>
      </c>
      <c r="Y2894" s="8"/>
    </row>
    <row r="2895" spans="1:25" x14ac:dyDescent="0.25">
      <c r="A2895" t="str">
        <f>"11-0589"</f>
        <v>11-0589</v>
      </c>
      <c r="D2895" s="8">
        <v>40820</v>
      </c>
      <c r="F2895" s="8">
        <v>40829</v>
      </c>
      <c r="G2895" s="8">
        <v>40821</v>
      </c>
      <c r="Y2895" s="8"/>
    </row>
    <row r="2896" spans="1:25" x14ac:dyDescent="0.25">
      <c r="A2896" t="str">
        <f>"11-0590"</f>
        <v>11-0590</v>
      </c>
      <c r="D2896" s="8">
        <v>40820</v>
      </c>
      <c r="F2896" s="8">
        <v>40820</v>
      </c>
      <c r="G2896" s="8">
        <v>40820</v>
      </c>
      <c r="Y2896" s="8"/>
    </row>
    <row r="2897" spans="1:25" x14ac:dyDescent="0.25">
      <c r="A2897" t="str">
        <f>"11-0591"</f>
        <v>11-0591</v>
      </c>
      <c r="D2897" s="8">
        <v>40820</v>
      </c>
      <c r="F2897" s="8">
        <v>40821</v>
      </c>
      <c r="G2897" s="8">
        <v>40820</v>
      </c>
      <c r="Y2897" s="8"/>
    </row>
    <row r="2898" spans="1:25" x14ac:dyDescent="0.25">
      <c r="A2898" t="str">
        <f>"11-0622"</f>
        <v>11-0622</v>
      </c>
      <c r="D2898" s="8">
        <v>40820</v>
      </c>
      <c r="F2898" s="8">
        <v>40829</v>
      </c>
      <c r="G2898" s="8">
        <v>40829</v>
      </c>
      <c r="Y2898" s="8"/>
    </row>
    <row r="2899" spans="1:25" x14ac:dyDescent="0.25">
      <c r="A2899" t="str">
        <f>"11-0482B"</f>
        <v>11-0482B</v>
      </c>
      <c r="D2899" s="8">
        <v>40816</v>
      </c>
      <c r="F2899" s="8">
        <v>40816</v>
      </c>
      <c r="G2899" s="8">
        <v>40816</v>
      </c>
      <c r="Y2899" s="8"/>
    </row>
    <row r="2900" spans="1:25" x14ac:dyDescent="0.25">
      <c r="A2900" t="str">
        <f>"11-0501B"</f>
        <v>11-0501B</v>
      </c>
      <c r="D2900" s="8">
        <v>40816</v>
      </c>
      <c r="F2900" s="8">
        <v>40816</v>
      </c>
      <c r="G2900" s="8">
        <v>40816</v>
      </c>
      <c r="Y2900" s="8"/>
    </row>
    <row r="2901" spans="1:25" x14ac:dyDescent="0.25">
      <c r="A2901" t="str">
        <f>"11-0582"</f>
        <v>11-0582</v>
      </c>
      <c r="D2901" s="8">
        <v>40816</v>
      </c>
      <c r="F2901" s="8">
        <v>40816</v>
      </c>
      <c r="G2901" s="8">
        <v>40815</v>
      </c>
      <c r="Y2901" s="8"/>
    </row>
    <row r="2902" spans="1:25" x14ac:dyDescent="0.25">
      <c r="A2902" t="str">
        <f>"11-0583"</f>
        <v>11-0583</v>
      </c>
      <c r="D2902" s="8">
        <v>40816</v>
      </c>
      <c r="F2902" s="8">
        <v>40816</v>
      </c>
      <c r="G2902" s="8">
        <v>40816</v>
      </c>
      <c r="Y2902" s="8"/>
    </row>
    <row r="2903" spans="1:25" x14ac:dyDescent="0.25">
      <c r="A2903" t="str">
        <f>"11-0542B"</f>
        <v>11-0542B</v>
      </c>
      <c r="D2903" s="8">
        <v>40815</v>
      </c>
      <c r="F2903" s="8">
        <v>40815</v>
      </c>
      <c r="G2903" s="8">
        <v>40815</v>
      </c>
      <c r="Y2903" s="8"/>
    </row>
    <row r="2904" spans="1:25" x14ac:dyDescent="0.25">
      <c r="A2904" t="str">
        <f>"11-0573B"</f>
        <v>11-0573B</v>
      </c>
      <c r="D2904" s="8">
        <v>40815</v>
      </c>
      <c r="F2904" s="8">
        <v>40823</v>
      </c>
      <c r="G2904" s="8">
        <v>40815</v>
      </c>
      <c r="Y2904" s="8"/>
    </row>
    <row r="2905" spans="1:25" x14ac:dyDescent="0.25">
      <c r="A2905" t="str">
        <f>"11-0576"</f>
        <v>11-0576</v>
      </c>
      <c r="D2905" s="8">
        <v>40815</v>
      </c>
      <c r="F2905" s="8">
        <v>40815</v>
      </c>
      <c r="G2905" s="8">
        <v>40815</v>
      </c>
      <c r="Y2905" s="8"/>
    </row>
    <row r="2906" spans="1:25" x14ac:dyDescent="0.25">
      <c r="A2906" t="str">
        <f>"11-0577"</f>
        <v>11-0577</v>
      </c>
      <c r="D2906" s="8">
        <v>40815</v>
      </c>
      <c r="F2906" s="8">
        <v>40815</v>
      </c>
      <c r="G2906" s="8">
        <v>40815</v>
      </c>
      <c r="Y2906" s="8"/>
    </row>
    <row r="2907" spans="1:25" x14ac:dyDescent="0.25">
      <c r="A2907" t="str">
        <f>"11-0578"</f>
        <v>11-0578</v>
      </c>
      <c r="D2907" s="8">
        <v>40815</v>
      </c>
      <c r="F2907" s="8">
        <v>40815</v>
      </c>
      <c r="G2907" s="8">
        <v>40815</v>
      </c>
      <c r="Y2907" s="8"/>
    </row>
    <row r="2908" spans="1:25" x14ac:dyDescent="0.25">
      <c r="A2908" t="str">
        <f>"11-0579"</f>
        <v>11-0579</v>
      </c>
      <c r="D2908" s="8">
        <v>40815</v>
      </c>
      <c r="F2908" s="8">
        <v>40898</v>
      </c>
      <c r="G2908" s="8">
        <v>40815</v>
      </c>
      <c r="Y2908" s="8"/>
    </row>
    <row r="2909" spans="1:25" x14ac:dyDescent="0.25">
      <c r="A2909" t="str">
        <f>"11-0580"</f>
        <v>11-0580</v>
      </c>
      <c r="D2909" s="8">
        <v>40815</v>
      </c>
      <c r="F2909" s="8">
        <v>40819</v>
      </c>
      <c r="G2909" s="8">
        <v>40815</v>
      </c>
      <c r="Y2909" s="8"/>
    </row>
    <row r="2910" spans="1:25" x14ac:dyDescent="0.25">
      <c r="A2910" t="str">
        <f>"11-0581"</f>
        <v>11-0581</v>
      </c>
      <c r="D2910" s="8">
        <v>40815</v>
      </c>
      <c r="F2910" s="8">
        <v>40815</v>
      </c>
      <c r="G2910" s="8">
        <v>40815</v>
      </c>
      <c r="Y2910" s="8"/>
    </row>
    <row r="2911" spans="1:25" x14ac:dyDescent="0.25">
      <c r="A2911" t="str">
        <f>"11-0574"</f>
        <v>11-0574</v>
      </c>
      <c r="D2911" s="8">
        <v>40814</v>
      </c>
      <c r="F2911" s="8">
        <v>40814</v>
      </c>
      <c r="G2911" s="8">
        <v>40814</v>
      </c>
      <c r="Y2911" s="8"/>
    </row>
    <row r="2912" spans="1:25" x14ac:dyDescent="0.25">
      <c r="A2912" t="str">
        <f>"11-0575"</f>
        <v>11-0575</v>
      </c>
      <c r="D2912" s="8">
        <v>40814</v>
      </c>
      <c r="F2912" s="8">
        <v>40814</v>
      </c>
      <c r="G2912" s="8">
        <v>40820</v>
      </c>
      <c r="Y2912" s="8"/>
    </row>
    <row r="2913" spans="1:25" x14ac:dyDescent="0.25">
      <c r="A2913" t="str">
        <f>"11-0571"</f>
        <v>11-0571</v>
      </c>
      <c r="D2913" s="8">
        <v>40813</v>
      </c>
      <c r="F2913" s="8">
        <v>40814</v>
      </c>
      <c r="G2913" s="8">
        <v>40816</v>
      </c>
      <c r="Y2913" s="8"/>
    </row>
    <row r="2914" spans="1:25" x14ac:dyDescent="0.25">
      <c r="A2914" t="str">
        <f>"11-0572"</f>
        <v>11-0572</v>
      </c>
      <c r="D2914" s="8">
        <v>40813</v>
      </c>
      <c r="F2914" s="8">
        <v>40813</v>
      </c>
      <c r="G2914" s="8">
        <v>40813</v>
      </c>
      <c r="Y2914" s="8"/>
    </row>
    <row r="2915" spans="1:25" x14ac:dyDescent="0.25">
      <c r="A2915" t="str">
        <f>"11-0573"</f>
        <v>11-0573</v>
      </c>
      <c r="D2915" s="8">
        <v>40813</v>
      </c>
      <c r="F2915" s="8">
        <v>40813</v>
      </c>
      <c r="G2915" s="8">
        <v>40813</v>
      </c>
      <c r="Y2915" s="8"/>
    </row>
    <row r="2916" spans="1:25" x14ac:dyDescent="0.25">
      <c r="A2916" t="str">
        <f>"11-0563"</f>
        <v>11-0563</v>
      </c>
      <c r="D2916" s="8">
        <v>40812</v>
      </c>
      <c r="F2916" s="8">
        <v>40814</v>
      </c>
      <c r="G2916" s="8">
        <v>40809</v>
      </c>
      <c r="Y2916" s="8"/>
    </row>
    <row r="2917" spans="1:25" x14ac:dyDescent="0.25">
      <c r="A2917" t="str">
        <f>"11-0564"</f>
        <v>11-0564</v>
      </c>
      <c r="D2917" s="8">
        <v>40812</v>
      </c>
      <c r="G2917" s="8">
        <v>40809</v>
      </c>
    </row>
    <row r="2918" spans="1:25" x14ac:dyDescent="0.25">
      <c r="A2918" t="str">
        <f>"11-0565"</f>
        <v>11-0565</v>
      </c>
      <c r="D2918" s="8">
        <v>40812</v>
      </c>
      <c r="F2918" s="8">
        <v>40815</v>
      </c>
      <c r="G2918" s="8">
        <v>40809</v>
      </c>
      <c r="Y2918" s="8"/>
    </row>
    <row r="2919" spans="1:25" x14ac:dyDescent="0.25">
      <c r="A2919" t="str">
        <f>"11-0566"</f>
        <v>11-0566</v>
      </c>
      <c r="D2919" s="8">
        <v>40812</v>
      </c>
      <c r="F2919" s="8">
        <v>40814</v>
      </c>
      <c r="G2919" s="8">
        <v>40809</v>
      </c>
      <c r="Y2919" s="8"/>
    </row>
    <row r="2920" spans="1:25" x14ac:dyDescent="0.25">
      <c r="A2920" t="str">
        <f>"11-0567"</f>
        <v>11-0567</v>
      </c>
      <c r="D2920" s="8">
        <v>40812</v>
      </c>
      <c r="F2920" s="8">
        <v>40814</v>
      </c>
      <c r="G2920" s="8">
        <v>40809</v>
      </c>
      <c r="Y2920" s="8"/>
    </row>
    <row r="2921" spans="1:25" x14ac:dyDescent="0.25">
      <c r="A2921" t="str">
        <f>"11-0568"</f>
        <v>11-0568</v>
      </c>
      <c r="D2921" s="8">
        <v>40812</v>
      </c>
      <c r="F2921" s="8">
        <v>40834</v>
      </c>
      <c r="G2921" s="8">
        <v>40812</v>
      </c>
      <c r="Y2921" s="8"/>
    </row>
    <row r="2922" spans="1:25" x14ac:dyDescent="0.25">
      <c r="A2922" t="str">
        <f>"11-0569"</f>
        <v>11-0569</v>
      </c>
      <c r="D2922" s="8">
        <v>40812</v>
      </c>
      <c r="F2922" s="8">
        <v>40830</v>
      </c>
      <c r="G2922" s="8">
        <v>40809</v>
      </c>
      <c r="Y2922" s="8"/>
    </row>
    <row r="2923" spans="1:25" x14ac:dyDescent="0.25">
      <c r="A2923" t="str">
        <f>"11-0570"</f>
        <v>11-0570</v>
      </c>
      <c r="D2923" s="8">
        <v>40812</v>
      </c>
      <c r="F2923" s="8">
        <v>40812</v>
      </c>
      <c r="G2923" s="8">
        <v>40813</v>
      </c>
      <c r="Y2923" s="8"/>
    </row>
    <row r="2924" spans="1:25" x14ac:dyDescent="0.25">
      <c r="A2924" t="str">
        <f>"11-0561"</f>
        <v>11-0561</v>
      </c>
      <c r="D2924" s="8">
        <v>40809</v>
      </c>
      <c r="F2924" s="8">
        <v>40809</v>
      </c>
      <c r="G2924" s="8">
        <v>40809</v>
      </c>
      <c r="Y2924" s="8"/>
    </row>
    <row r="2925" spans="1:25" x14ac:dyDescent="0.25">
      <c r="A2925" t="str">
        <f>"11-0562"</f>
        <v>11-0562</v>
      </c>
      <c r="D2925" s="8">
        <v>40809</v>
      </c>
      <c r="F2925" s="8">
        <v>40809</v>
      </c>
      <c r="G2925" s="8">
        <v>40809</v>
      </c>
      <c r="Y2925" s="8"/>
    </row>
    <row r="2926" spans="1:25" x14ac:dyDescent="0.25">
      <c r="A2926" t="str">
        <f>"11-0539B"</f>
        <v>11-0539B</v>
      </c>
      <c r="D2926" s="8">
        <v>40808</v>
      </c>
      <c r="F2926" s="8">
        <v>40808</v>
      </c>
      <c r="G2926" s="8">
        <v>40808</v>
      </c>
      <c r="Y2926" s="8"/>
    </row>
    <row r="2927" spans="1:25" x14ac:dyDescent="0.25">
      <c r="A2927" t="str">
        <f>"11-0558"</f>
        <v>11-0558</v>
      </c>
      <c r="D2927" s="8">
        <v>40808</v>
      </c>
      <c r="F2927" s="8">
        <v>40809</v>
      </c>
      <c r="G2927" s="8">
        <v>40808</v>
      </c>
      <c r="Y2927" s="8"/>
    </row>
    <row r="2928" spans="1:25" x14ac:dyDescent="0.25">
      <c r="A2928" t="str">
        <f>"11-0559"</f>
        <v>11-0559</v>
      </c>
      <c r="D2928" s="8">
        <v>40808</v>
      </c>
      <c r="F2928" s="8">
        <v>40808</v>
      </c>
      <c r="G2928" s="8">
        <v>40808</v>
      </c>
      <c r="Y2928" s="8"/>
    </row>
    <row r="2929" spans="1:25" x14ac:dyDescent="0.25">
      <c r="A2929" t="str">
        <f>"11-0560"</f>
        <v>11-0560</v>
      </c>
      <c r="D2929" s="8">
        <v>40808</v>
      </c>
      <c r="F2929" s="8">
        <v>40821</v>
      </c>
      <c r="G2929" s="8">
        <v>40807</v>
      </c>
      <c r="Y2929" s="8"/>
    </row>
    <row r="2930" spans="1:25" x14ac:dyDescent="0.25">
      <c r="A2930" t="str">
        <f>"11-0557"</f>
        <v>11-0557</v>
      </c>
      <c r="D2930" s="8">
        <v>40807</v>
      </c>
      <c r="F2930" s="8">
        <v>40807</v>
      </c>
      <c r="G2930" s="8">
        <v>40808</v>
      </c>
      <c r="Y2930" s="8"/>
    </row>
    <row r="2931" spans="1:25" x14ac:dyDescent="0.25">
      <c r="A2931" t="str">
        <f>"11-0552"</f>
        <v>11-0552</v>
      </c>
      <c r="D2931" s="8">
        <v>40806</v>
      </c>
      <c r="F2931" s="8">
        <v>40806</v>
      </c>
      <c r="G2931" s="8">
        <v>40806</v>
      </c>
      <c r="Y2931" s="8"/>
    </row>
    <row r="2932" spans="1:25" x14ac:dyDescent="0.25">
      <c r="A2932" t="str">
        <f>"11-0553"</f>
        <v>11-0553</v>
      </c>
      <c r="D2932" s="8">
        <v>40806</v>
      </c>
      <c r="F2932" s="8">
        <v>40826</v>
      </c>
      <c r="G2932" s="8">
        <v>40786</v>
      </c>
      <c r="Y2932" s="8"/>
    </row>
    <row r="2933" spans="1:25" x14ac:dyDescent="0.25">
      <c r="A2933" t="str">
        <f>"11-0554"</f>
        <v>11-0554</v>
      </c>
      <c r="D2933" s="8">
        <v>40806</v>
      </c>
      <c r="F2933" s="8">
        <v>40807</v>
      </c>
      <c r="G2933" s="8">
        <v>40809</v>
      </c>
      <c r="Y2933" s="8"/>
    </row>
    <row r="2934" spans="1:25" x14ac:dyDescent="0.25">
      <c r="A2934" t="str">
        <f>"11-0555"</f>
        <v>11-0555</v>
      </c>
      <c r="D2934" s="8">
        <v>40806</v>
      </c>
      <c r="F2934" s="8">
        <v>40806</v>
      </c>
      <c r="G2934" s="8">
        <v>40737</v>
      </c>
      <c r="Y2934" s="8"/>
    </row>
    <row r="2935" spans="1:25" x14ac:dyDescent="0.25">
      <c r="A2935" t="str">
        <f>"11-0556"</f>
        <v>11-0556</v>
      </c>
      <c r="D2935" s="8">
        <v>40806</v>
      </c>
      <c r="F2935" s="8">
        <v>40809</v>
      </c>
      <c r="G2935" s="8">
        <v>40809</v>
      </c>
      <c r="Y2935" s="8"/>
    </row>
    <row r="2936" spans="1:25" x14ac:dyDescent="0.25">
      <c r="A2936" t="str">
        <f>"11-0548"</f>
        <v>11-0548</v>
      </c>
      <c r="D2936" s="8">
        <v>40805</v>
      </c>
      <c r="F2936" s="8">
        <v>40805</v>
      </c>
      <c r="G2936" s="8">
        <v>40805</v>
      </c>
      <c r="Y2936" s="8"/>
    </row>
    <row r="2937" spans="1:25" x14ac:dyDescent="0.25">
      <c r="A2937" t="str">
        <f>"11-0549"</f>
        <v>11-0549</v>
      </c>
      <c r="D2937" s="8">
        <v>40805</v>
      </c>
      <c r="F2937" s="8">
        <v>40805</v>
      </c>
      <c r="G2937" s="8">
        <v>40802</v>
      </c>
      <c r="Y2937" s="8"/>
    </row>
    <row r="2938" spans="1:25" x14ac:dyDescent="0.25">
      <c r="A2938" t="str">
        <f>"11-0550"</f>
        <v>11-0550</v>
      </c>
      <c r="D2938" s="8">
        <v>40805</v>
      </c>
      <c r="F2938" s="8">
        <v>40805</v>
      </c>
      <c r="G2938" s="8">
        <v>40806</v>
      </c>
      <c r="Y2938" s="8"/>
    </row>
    <row r="2939" spans="1:25" x14ac:dyDescent="0.25">
      <c r="A2939" t="str">
        <f>"11-0551"</f>
        <v>11-0551</v>
      </c>
      <c r="D2939" s="8">
        <v>40805</v>
      </c>
      <c r="F2939" s="8">
        <v>40805</v>
      </c>
      <c r="G2939" s="8">
        <v>40805</v>
      </c>
      <c r="Y2939" s="8"/>
    </row>
    <row r="2940" spans="1:25" x14ac:dyDescent="0.25">
      <c r="A2940" t="str">
        <f>"11-0543"</f>
        <v>11-0543</v>
      </c>
      <c r="D2940" s="8">
        <v>40802</v>
      </c>
      <c r="F2940" s="8">
        <v>40802</v>
      </c>
      <c r="G2940" s="8">
        <v>40802</v>
      </c>
      <c r="Y2940" s="8"/>
    </row>
    <row r="2941" spans="1:25" x14ac:dyDescent="0.25">
      <c r="A2941" t="str">
        <f>"11-0544"</f>
        <v>11-0544</v>
      </c>
      <c r="D2941" s="8">
        <v>40802</v>
      </c>
      <c r="F2941" s="8">
        <v>40802</v>
      </c>
      <c r="G2941" s="8">
        <v>40802</v>
      </c>
      <c r="Y2941" s="8"/>
    </row>
    <row r="2942" spans="1:25" x14ac:dyDescent="0.25">
      <c r="A2942" t="str">
        <f>"11-0545"</f>
        <v>11-0545</v>
      </c>
      <c r="D2942" s="8">
        <v>40802</v>
      </c>
      <c r="F2942" s="8">
        <v>40802</v>
      </c>
      <c r="G2942" s="8">
        <v>40802</v>
      </c>
      <c r="Y2942" s="8"/>
    </row>
    <row r="2943" spans="1:25" x14ac:dyDescent="0.25">
      <c r="A2943" t="str">
        <f>"11-0546"</f>
        <v>11-0546</v>
      </c>
      <c r="D2943" s="8">
        <v>40802</v>
      </c>
      <c r="F2943" s="8">
        <v>40802</v>
      </c>
      <c r="G2943" s="8">
        <v>40801</v>
      </c>
      <c r="Y2943" s="8"/>
    </row>
    <row r="2944" spans="1:25" x14ac:dyDescent="0.25">
      <c r="A2944" t="str">
        <f>"11-0547"</f>
        <v>11-0547</v>
      </c>
      <c r="D2944" s="8">
        <v>40802</v>
      </c>
      <c r="F2944" s="8">
        <v>40802</v>
      </c>
      <c r="G2944" s="8">
        <v>40802</v>
      </c>
      <c r="Y2944" s="8"/>
    </row>
    <row r="2945" spans="1:25" x14ac:dyDescent="0.25">
      <c r="A2945" t="str">
        <f>"11-0540"</f>
        <v>11-0540</v>
      </c>
      <c r="D2945" s="8">
        <v>40801</v>
      </c>
      <c r="F2945" s="8">
        <v>40801</v>
      </c>
      <c r="G2945" s="8">
        <v>40802</v>
      </c>
      <c r="Y2945" s="8"/>
    </row>
    <row r="2946" spans="1:25" x14ac:dyDescent="0.25">
      <c r="A2946" t="str">
        <f>"11-0541"</f>
        <v>11-0541</v>
      </c>
      <c r="D2946" s="8">
        <v>40801</v>
      </c>
      <c r="F2946" s="8">
        <v>40801</v>
      </c>
      <c r="G2946" s="8">
        <v>40801</v>
      </c>
      <c r="Y2946" s="8"/>
    </row>
    <row r="2947" spans="1:25" x14ac:dyDescent="0.25">
      <c r="A2947" t="str">
        <f>"11-0542"</f>
        <v>11-0542</v>
      </c>
      <c r="D2947" s="8">
        <v>40801</v>
      </c>
      <c r="F2947" s="8">
        <v>40802</v>
      </c>
      <c r="G2947" s="8">
        <v>40800</v>
      </c>
      <c r="Y2947" s="8"/>
    </row>
    <row r="2948" spans="1:25" x14ac:dyDescent="0.25">
      <c r="A2948" t="str">
        <f>"11-0538B"</f>
        <v>11-0538B</v>
      </c>
      <c r="D2948" s="8">
        <v>40799</v>
      </c>
      <c r="F2948" s="8">
        <v>40799</v>
      </c>
      <c r="G2948" s="8">
        <v>40799</v>
      </c>
      <c r="Y2948" s="8"/>
    </row>
    <row r="2949" spans="1:25" x14ac:dyDescent="0.25">
      <c r="A2949" t="str">
        <f>"11-0539"</f>
        <v>11-0539</v>
      </c>
      <c r="D2949" s="8">
        <v>40799</v>
      </c>
      <c r="F2949" s="8">
        <v>40799</v>
      </c>
      <c r="G2949" s="8">
        <v>40795</v>
      </c>
      <c r="Y2949" s="8"/>
    </row>
    <row r="2950" spans="1:25" x14ac:dyDescent="0.25">
      <c r="A2950" t="str">
        <f>"11-0538"</f>
        <v>11-0538</v>
      </c>
      <c r="D2950" s="8">
        <v>40798</v>
      </c>
      <c r="F2950" s="8">
        <v>40799</v>
      </c>
      <c r="G2950" s="8">
        <v>40798</v>
      </c>
      <c r="Y2950" s="8"/>
    </row>
    <row r="2951" spans="1:25" x14ac:dyDescent="0.25">
      <c r="A2951" t="str">
        <f>"11-0537"</f>
        <v>11-0537</v>
      </c>
      <c r="D2951" s="8">
        <v>40795</v>
      </c>
      <c r="F2951" s="8">
        <v>40891</v>
      </c>
      <c r="G2951" s="8">
        <v>40795</v>
      </c>
      <c r="Y2951" s="8"/>
    </row>
    <row r="2952" spans="1:25" x14ac:dyDescent="0.25">
      <c r="A2952" t="str">
        <f>"11-0533"</f>
        <v>11-0533</v>
      </c>
      <c r="D2952" s="8">
        <v>40794</v>
      </c>
      <c r="F2952" s="8">
        <v>40794</v>
      </c>
      <c r="G2952" s="8">
        <v>40795</v>
      </c>
      <c r="Y2952" s="8"/>
    </row>
    <row r="2953" spans="1:25" x14ac:dyDescent="0.25">
      <c r="A2953" t="str">
        <f>"11-0534"</f>
        <v>11-0534</v>
      </c>
      <c r="D2953" s="8">
        <v>40794</v>
      </c>
      <c r="F2953" s="8">
        <v>40798</v>
      </c>
      <c r="G2953" s="8">
        <v>40795</v>
      </c>
      <c r="Y2953" s="8"/>
    </row>
    <row r="2954" spans="1:25" x14ac:dyDescent="0.25">
      <c r="A2954" t="str">
        <f>"11-0535"</f>
        <v>11-0535</v>
      </c>
      <c r="D2954" s="8">
        <v>40794</v>
      </c>
      <c r="F2954" s="8">
        <v>40794</v>
      </c>
      <c r="G2954" s="8">
        <v>40793</v>
      </c>
      <c r="Y2954" s="8"/>
    </row>
    <row r="2955" spans="1:25" x14ac:dyDescent="0.25">
      <c r="A2955" t="str">
        <f>"11-0536"</f>
        <v>11-0536</v>
      </c>
      <c r="D2955" s="8">
        <v>40794</v>
      </c>
      <c r="F2955" s="8">
        <v>40794</v>
      </c>
      <c r="G2955" s="8">
        <v>40794</v>
      </c>
      <c r="Y2955" s="8"/>
    </row>
    <row r="2956" spans="1:25" x14ac:dyDescent="0.25">
      <c r="A2956" t="str">
        <f>"11-0532"</f>
        <v>11-0532</v>
      </c>
      <c r="D2956" s="8">
        <v>40793</v>
      </c>
      <c r="F2956" s="8">
        <v>40793</v>
      </c>
      <c r="G2956" s="8">
        <v>40794</v>
      </c>
      <c r="Y2956" s="8"/>
    </row>
    <row r="2957" spans="1:25" x14ac:dyDescent="0.25">
      <c r="A2957" t="str">
        <f>"11-0526"</f>
        <v>11-0526</v>
      </c>
      <c r="D2957" s="8">
        <v>40792</v>
      </c>
      <c r="F2957" s="8">
        <v>40792</v>
      </c>
      <c r="G2957" s="8">
        <v>40792</v>
      </c>
      <c r="Y2957" s="8"/>
    </row>
    <row r="2958" spans="1:25" x14ac:dyDescent="0.25">
      <c r="A2958" t="str">
        <f>"11-0527"</f>
        <v>11-0527</v>
      </c>
      <c r="D2958" s="8">
        <v>40792</v>
      </c>
      <c r="F2958" s="8">
        <v>40792</v>
      </c>
      <c r="G2958" s="8">
        <v>40792</v>
      </c>
      <c r="Y2958" s="8"/>
    </row>
    <row r="2959" spans="1:25" x14ac:dyDescent="0.25">
      <c r="A2959" t="str">
        <f>"11-0528"</f>
        <v>11-0528</v>
      </c>
      <c r="D2959" s="8">
        <v>40792</v>
      </c>
      <c r="F2959" s="8">
        <v>40793</v>
      </c>
      <c r="G2959" s="8">
        <v>40793</v>
      </c>
      <c r="Y2959" s="8"/>
    </row>
    <row r="2960" spans="1:25" x14ac:dyDescent="0.25">
      <c r="A2960" t="str">
        <f>"11-0529"</f>
        <v>11-0529</v>
      </c>
      <c r="D2960" s="8">
        <v>40792</v>
      </c>
      <c r="F2960" s="8">
        <v>40792</v>
      </c>
      <c r="G2960" s="8">
        <v>40793</v>
      </c>
      <c r="Y2960" s="8"/>
    </row>
    <row r="2961" spans="1:25" x14ac:dyDescent="0.25">
      <c r="A2961" t="str">
        <f>"11-0530"</f>
        <v>11-0530</v>
      </c>
      <c r="D2961" s="8">
        <v>40792</v>
      </c>
      <c r="F2961" s="8">
        <v>40798</v>
      </c>
      <c r="G2961" s="8">
        <v>40795</v>
      </c>
      <c r="Y2961" s="8"/>
    </row>
    <row r="2962" spans="1:25" x14ac:dyDescent="0.25">
      <c r="A2962" t="str">
        <f>"11-0531"</f>
        <v>11-0531</v>
      </c>
      <c r="D2962" s="8">
        <v>40792</v>
      </c>
      <c r="F2962" s="8">
        <v>40798</v>
      </c>
      <c r="G2962" s="8">
        <v>40801</v>
      </c>
      <c r="Y2962" s="8"/>
    </row>
    <row r="2963" spans="1:25" x14ac:dyDescent="0.25">
      <c r="A2963" t="str">
        <f>"11-0524"</f>
        <v>11-0524</v>
      </c>
      <c r="D2963" s="8">
        <v>40788</v>
      </c>
      <c r="F2963" s="8">
        <v>40788</v>
      </c>
      <c r="G2963" s="8">
        <v>40788</v>
      </c>
      <c r="Y2963" s="8"/>
    </row>
    <row r="2964" spans="1:25" x14ac:dyDescent="0.25">
      <c r="A2964" t="str">
        <f>"11-0525"</f>
        <v>11-0525</v>
      </c>
      <c r="D2964" s="8">
        <v>40788</v>
      </c>
      <c r="F2964" s="8">
        <v>40788</v>
      </c>
      <c r="G2964" s="8">
        <v>40795</v>
      </c>
      <c r="Y2964" s="8"/>
    </row>
    <row r="2965" spans="1:25" x14ac:dyDescent="0.25">
      <c r="A2965" t="str">
        <f>"11-0523"</f>
        <v>11-0523</v>
      </c>
      <c r="D2965" s="8">
        <v>40787</v>
      </c>
      <c r="F2965" s="8">
        <v>40791</v>
      </c>
      <c r="G2965" s="8">
        <v>40791</v>
      </c>
      <c r="Y2965" s="8"/>
    </row>
    <row r="2966" spans="1:25" x14ac:dyDescent="0.25">
      <c r="A2966" t="str">
        <f>"11-0521"</f>
        <v>11-0521</v>
      </c>
      <c r="D2966" s="8">
        <v>40786</v>
      </c>
      <c r="F2966" s="8">
        <v>40786</v>
      </c>
      <c r="G2966" s="8">
        <v>40786</v>
      </c>
      <c r="Y2966" s="8"/>
    </row>
    <row r="2967" spans="1:25" x14ac:dyDescent="0.25">
      <c r="A2967" t="str">
        <f>"11-0522"</f>
        <v>11-0522</v>
      </c>
      <c r="D2967" s="8">
        <v>40786</v>
      </c>
      <c r="F2967" s="8">
        <v>40786</v>
      </c>
      <c r="G2967" s="8">
        <v>40786</v>
      </c>
      <c r="Y2967" s="8"/>
    </row>
    <row r="2968" spans="1:25" x14ac:dyDescent="0.25">
      <c r="A2968" t="str">
        <f>"11-0519"</f>
        <v>11-0519</v>
      </c>
      <c r="D2968" s="8">
        <v>40785</v>
      </c>
      <c r="F2968" s="8">
        <v>41396</v>
      </c>
      <c r="G2968" s="8">
        <v>40785</v>
      </c>
      <c r="Y2968" s="8"/>
    </row>
    <row r="2969" spans="1:25" x14ac:dyDescent="0.25">
      <c r="A2969" t="str">
        <f>"11-0520"</f>
        <v>11-0520</v>
      </c>
      <c r="D2969" s="8">
        <v>40785</v>
      </c>
      <c r="F2969" s="8">
        <v>40785</v>
      </c>
      <c r="G2969" s="8">
        <v>40786</v>
      </c>
      <c r="Y2969" s="8"/>
    </row>
    <row r="2970" spans="1:25" x14ac:dyDescent="0.25">
      <c r="A2970" t="str">
        <f>"11-0517"</f>
        <v>11-0517</v>
      </c>
      <c r="D2970" s="8">
        <v>40784</v>
      </c>
      <c r="F2970" s="8">
        <v>40784</v>
      </c>
      <c r="G2970" s="8">
        <v>40787</v>
      </c>
      <c r="Y2970" s="8"/>
    </row>
    <row r="2971" spans="1:25" x14ac:dyDescent="0.25">
      <c r="A2971" t="str">
        <f>"11-0518"</f>
        <v>11-0518</v>
      </c>
      <c r="D2971" s="8">
        <v>40784</v>
      </c>
      <c r="F2971" s="8">
        <v>40784</v>
      </c>
      <c r="G2971" s="8">
        <v>40784</v>
      </c>
      <c r="Y2971" s="8"/>
    </row>
    <row r="2972" spans="1:25" x14ac:dyDescent="0.25">
      <c r="A2972" t="str">
        <f>"11-0514 B"</f>
        <v>11-0514 B</v>
      </c>
      <c r="D2972" s="8">
        <v>40781</v>
      </c>
      <c r="F2972" s="8">
        <v>40781</v>
      </c>
      <c r="G2972" s="8">
        <v>40781</v>
      </c>
      <c r="Y2972" s="8"/>
    </row>
    <row r="2973" spans="1:25" x14ac:dyDescent="0.25">
      <c r="A2973" t="str">
        <f>"11-0516"</f>
        <v>11-0516</v>
      </c>
      <c r="D2973" s="8">
        <v>40780</v>
      </c>
      <c r="F2973" s="8">
        <v>40780</v>
      </c>
      <c r="G2973" s="8">
        <v>40780</v>
      </c>
      <c r="Y2973" s="8"/>
    </row>
    <row r="2974" spans="1:25" x14ac:dyDescent="0.25">
      <c r="A2974" t="str">
        <f>"11-0514"</f>
        <v>11-0514</v>
      </c>
      <c r="D2974" s="8">
        <v>40779</v>
      </c>
      <c r="F2974" s="8">
        <v>40779</v>
      </c>
      <c r="G2974" s="8">
        <v>40779</v>
      </c>
      <c r="Y2974" s="8"/>
    </row>
    <row r="2975" spans="1:25" x14ac:dyDescent="0.25">
      <c r="A2975" t="str">
        <f>"11-0515"</f>
        <v>11-0515</v>
      </c>
      <c r="D2975" s="8">
        <v>40779</v>
      </c>
      <c r="F2975" s="8">
        <v>40779</v>
      </c>
      <c r="G2975" s="8">
        <v>40779</v>
      </c>
      <c r="Y2975" s="8"/>
    </row>
    <row r="2976" spans="1:25" x14ac:dyDescent="0.25">
      <c r="A2976" t="str">
        <f>"11-0511"</f>
        <v>11-0511</v>
      </c>
      <c r="D2976" s="8">
        <v>40778</v>
      </c>
      <c r="F2976" s="8">
        <v>40786</v>
      </c>
      <c r="G2976" s="8">
        <v>40779</v>
      </c>
      <c r="Y2976" s="8"/>
    </row>
    <row r="2977" spans="1:25" x14ac:dyDescent="0.25">
      <c r="A2977" t="str">
        <f>"11-0512"</f>
        <v>11-0512</v>
      </c>
      <c r="D2977" s="8">
        <v>40778</v>
      </c>
      <c r="F2977" s="8">
        <v>40778</v>
      </c>
      <c r="G2977" s="8">
        <v>40780</v>
      </c>
      <c r="Y2977" s="8"/>
    </row>
    <row r="2978" spans="1:25" x14ac:dyDescent="0.25">
      <c r="A2978" t="str">
        <f>"11-0513"</f>
        <v>11-0513</v>
      </c>
      <c r="D2978" s="8">
        <v>40778</v>
      </c>
      <c r="F2978" s="8">
        <v>40778</v>
      </c>
      <c r="G2978" s="8">
        <v>40778</v>
      </c>
      <c r="Y2978" s="8"/>
    </row>
    <row r="2979" spans="1:25" x14ac:dyDescent="0.25">
      <c r="A2979" t="str">
        <f>"11-0508"</f>
        <v>11-0508</v>
      </c>
      <c r="D2979" s="8">
        <v>40774</v>
      </c>
      <c r="F2979" s="8">
        <v>40774</v>
      </c>
      <c r="G2979" s="8">
        <v>40774</v>
      </c>
      <c r="Y2979" s="8"/>
    </row>
    <row r="2980" spans="1:25" x14ac:dyDescent="0.25">
      <c r="A2980" t="str">
        <f>"11-0509"</f>
        <v>11-0509</v>
      </c>
      <c r="D2980" s="8">
        <v>40774</v>
      </c>
      <c r="F2980" s="8">
        <v>40779</v>
      </c>
      <c r="G2980" s="8">
        <v>40767</v>
      </c>
      <c r="Y2980" s="8"/>
    </row>
    <row r="2981" spans="1:25" x14ac:dyDescent="0.25">
      <c r="A2981" t="str">
        <f>"11-0510"</f>
        <v>11-0510</v>
      </c>
      <c r="D2981" s="8">
        <v>40774</v>
      </c>
      <c r="F2981" s="8">
        <v>40774</v>
      </c>
      <c r="G2981" s="8">
        <v>40774</v>
      </c>
      <c r="Y2981" s="8"/>
    </row>
    <row r="2982" spans="1:25" x14ac:dyDescent="0.25">
      <c r="A2982" t="str">
        <f>"11-0506"</f>
        <v>11-0506</v>
      </c>
      <c r="D2982" s="8">
        <v>40773</v>
      </c>
      <c r="F2982" s="8">
        <v>40773</v>
      </c>
      <c r="G2982" s="8">
        <v>40767</v>
      </c>
      <c r="Y2982" s="8"/>
    </row>
    <row r="2983" spans="1:25" x14ac:dyDescent="0.25">
      <c r="A2983" t="str">
        <f>"11-0507"</f>
        <v>11-0507</v>
      </c>
      <c r="D2983" s="8">
        <v>40773</v>
      </c>
      <c r="F2983" s="8">
        <v>40773</v>
      </c>
      <c r="G2983" s="8">
        <v>40773</v>
      </c>
      <c r="Y2983" s="8"/>
    </row>
    <row r="2984" spans="1:25" x14ac:dyDescent="0.25">
      <c r="A2984" t="str">
        <f>"11-0503"</f>
        <v>11-0503</v>
      </c>
      <c r="D2984" s="8">
        <v>40772</v>
      </c>
      <c r="F2984" s="8">
        <v>40772</v>
      </c>
      <c r="G2984" s="8">
        <v>40771</v>
      </c>
      <c r="Y2984" s="8"/>
    </row>
    <row r="2985" spans="1:25" x14ac:dyDescent="0.25">
      <c r="A2985" t="str">
        <f>"11-0504"</f>
        <v>11-0504</v>
      </c>
      <c r="D2985" s="8">
        <v>40772</v>
      </c>
      <c r="F2985" s="8">
        <v>40779</v>
      </c>
      <c r="G2985" s="8">
        <v>40772</v>
      </c>
      <c r="Y2985" s="8"/>
    </row>
    <row r="2986" spans="1:25" x14ac:dyDescent="0.25">
      <c r="A2986" t="str">
        <f>"11-0505"</f>
        <v>11-0505</v>
      </c>
      <c r="D2986" s="8">
        <v>40772</v>
      </c>
      <c r="F2986" s="8">
        <v>40772</v>
      </c>
      <c r="G2986" s="8">
        <v>40772</v>
      </c>
      <c r="Y2986" s="8"/>
    </row>
    <row r="2987" spans="1:25" x14ac:dyDescent="0.25">
      <c r="A2987" t="str">
        <f>"11-0501"</f>
        <v>11-0501</v>
      </c>
      <c r="D2987" s="8">
        <v>40771</v>
      </c>
      <c r="F2987" s="8">
        <v>40816</v>
      </c>
      <c r="G2987" s="8">
        <v>40767</v>
      </c>
      <c r="Y2987" s="8"/>
    </row>
    <row r="2988" spans="1:25" x14ac:dyDescent="0.25">
      <c r="A2988" t="str">
        <f>"11-0502"</f>
        <v>11-0502</v>
      </c>
      <c r="D2988" s="8">
        <v>40771</v>
      </c>
      <c r="F2988" s="8">
        <v>40771</v>
      </c>
      <c r="G2988" s="8">
        <v>40767</v>
      </c>
      <c r="Y2988" s="8"/>
    </row>
    <row r="2989" spans="1:25" x14ac:dyDescent="0.25">
      <c r="A2989" t="str">
        <f>"11-0500"</f>
        <v>11-0500</v>
      </c>
      <c r="D2989" s="8">
        <v>40767</v>
      </c>
      <c r="F2989" s="8">
        <v>40767</v>
      </c>
      <c r="G2989" s="8">
        <v>40767</v>
      </c>
      <c r="Y2989" s="8"/>
    </row>
    <row r="2990" spans="1:25" x14ac:dyDescent="0.25">
      <c r="A2990" t="str">
        <f>"11-0499"</f>
        <v>11-0499</v>
      </c>
      <c r="D2990" s="8">
        <v>40764</v>
      </c>
      <c r="F2990" s="8">
        <v>40764</v>
      </c>
      <c r="G2990" s="8">
        <v>40764</v>
      </c>
      <c r="Y2990" s="8"/>
    </row>
    <row r="2991" spans="1:25" x14ac:dyDescent="0.25">
      <c r="A2991" t="str">
        <f>"11-0497"</f>
        <v>11-0497</v>
      </c>
      <c r="D2991" s="8">
        <v>40759</v>
      </c>
      <c r="F2991" s="8">
        <v>40774</v>
      </c>
      <c r="G2991" s="8">
        <v>40764</v>
      </c>
      <c r="Y2991" s="8"/>
    </row>
    <row r="2992" spans="1:25" x14ac:dyDescent="0.25">
      <c r="A2992" t="str">
        <f>"11-0498"</f>
        <v>11-0498</v>
      </c>
      <c r="D2992" s="8">
        <v>40759</v>
      </c>
      <c r="F2992" s="8">
        <v>40764</v>
      </c>
      <c r="G2992" s="8">
        <v>40781</v>
      </c>
      <c r="Y2992" s="8"/>
    </row>
    <row r="2993" spans="1:25" x14ac:dyDescent="0.25">
      <c r="A2993" t="str">
        <f>"11-0494"</f>
        <v>11-0494</v>
      </c>
      <c r="D2993" s="8">
        <v>40757</v>
      </c>
      <c r="G2993" s="8">
        <v>40757</v>
      </c>
      <c r="Y2993" s="8"/>
    </row>
    <row r="2994" spans="1:25" x14ac:dyDescent="0.25">
      <c r="A2994" t="str">
        <f>"11-0495"</f>
        <v>11-0495</v>
      </c>
      <c r="D2994" s="8">
        <v>40757</v>
      </c>
      <c r="F2994" s="8">
        <v>40757</v>
      </c>
      <c r="G2994" s="8">
        <v>40757</v>
      </c>
      <c r="Y2994" s="8"/>
    </row>
    <row r="2995" spans="1:25" x14ac:dyDescent="0.25">
      <c r="A2995" t="str">
        <f>"11-0496"</f>
        <v>11-0496</v>
      </c>
      <c r="D2995" s="8">
        <v>40757</v>
      </c>
      <c r="F2995" s="8">
        <v>40757</v>
      </c>
      <c r="G2995" s="8">
        <v>40757</v>
      </c>
      <c r="Y2995" s="8"/>
    </row>
    <row r="2996" spans="1:25" x14ac:dyDescent="0.25">
      <c r="A2996" t="str">
        <f>"11-0496B"</f>
        <v>11-0496B</v>
      </c>
      <c r="D2996" s="8">
        <v>40757</v>
      </c>
      <c r="F2996" s="8">
        <v>40757</v>
      </c>
      <c r="G2996" s="8">
        <v>40757</v>
      </c>
      <c r="Y2996" s="8"/>
    </row>
    <row r="2997" spans="1:25" x14ac:dyDescent="0.25">
      <c r="A2997" t="str">
        <f>"11-0491"</f>
        <v>11-0491</v>
      </c>
      <c r="D2997" s="8">
        <v>40756</v>
      </c>
      <c r="F2997" s="8">
        <v>40756</v>
      </c>
      <c r="G2997" s="8">
        <v>40756</v>
      </c>
      <c r="Y2997" s="8"/>
    </row>
    <row r="2998" spans="1:25" x14ac:dyDescent="0.25">
      <c r="A2998" t="str">
        <f>"11-0492"</f>
        <v>11-0492</v>
      </c>
      <c r="D2998" s="8">
        <v>40756</v>
      </c>
      <c r="F2998" s="8">
        <v>40758</v>
      </c>
      <c r="G2998" s="8">
        <v>40759</v>
      </c>
      <c r="Y2998" s="8"/>
    </row>
    <row r="2999" spans="1:25" x14ac:dyDescent="0.25">
      <c r="A2999" t="str">
        <f>"11-0493"</f>
        <v>11-0493</v>
      </c>
      <c r="D2999" s="8">
        <v>40756</v>
      </c>
      <c r="F2999" s="8">
        <v>40759</v>
      </c>
      <c r="G2999" s="8">
        <v>40759</v>
      </c>
      <c r="Y2999" s="8"/>
    </row>
    <row r="3000" spans="1:25" x14ac:dyDescent="0.25">
      <c r="A3000" t="str">
        <f>"11-0427"</f>
        <v>11-0427</v>
      </c>
      <c r="D3000" s="8">
        <v>40753</v>
      </c>
      <c r="F3000" s="8">
        <v>40732</v>
      </c>
      <c r="G3000" s="8">
        <v>40730</v>
      </c>
      <c r="Y3000" s="8"/>
    </row>
    <row r="3001" spans="1:25" x14ac:dyDescent="0.25">
      <c r="A3001" t="str">
        <f>"11-0486"</f>
        <v>11-0486</v>
      </c>
      <c r="D3001" s="8">
        <v>40753</v>
      </c>
      <c r="F3001" s="8">
        <v>40792</v>
      </c>
      <c r="G3001" s="8">
        <v>40753</v>
      </c>
      <c r="Y3001" s="8"/>
    </row>
    <row r="3002" spans="1:25" x14ac:dyDescent="0.25">
      <c r="A3002" t="str">
        <f>"11-0487"</f>
        <v>11-0487</v>
      </c>
      <c r="D3002" s="8">
        <v>40753</v>
      </c>
      <c r="F3002" s="8">
        <v>40753</v>
      </c>
      <c r="G3002" s="8">
        <v>40753</v>
      </c>
      <c r="Y3002" s="8"/>
    </row>
    <row r="3003" spans="1:25" x14ac:dyDescent="0.25">
      <c r="A3003" t="str">
        <f>"11-0488"</f>
        <v>11-0488</v>
      </c>
      <c r="D3003" s="8">
        <v>40753</v>
      </c>
      <c r="F3003" s="8">
        <v>40753</v>
      </c>
      <c r="G3003" s="8">
        <v>40753</v>
      </c>
      <c r="Y3003" s="8"/>
    </row>
    <row r="3004" spans="1:25" x14ac:dyDescent="0.25">
      <c r="A3004" t="str">
        <f>"11-0489"</f>
        <v>11-0489</v>
      </c>
      <c r="D3004" s="8">
        <v>40753</v>
      </c>
      <c r="F3004" s="8">
        <v>40753</v>
      </c>
      <c r="G3004" s="8">
        <v>40753</v>
      </c>
      <c r="Y3004" s="8"/>
    </row>
    <row r="3005" spans="1:25" x14ac:dyDescent="0.25">
      <c r="A3005" t="str">
        <f>"11-0490"</f>
        <v>11-0490</v>
      </c>
      <c r="D3005" s="8">
        <v>40753</v>
      </c>
      <c r="G3005" s="8">
        <v>40753</v>
      </c>
      <c r="Y3005" s="8"/>
    </row>
    <row r="3006" spans="1:25" x14ac:dyDescent="0.25">
      <c r="A3006" t="str">
        <f>"11-0483"</f>
        <v>11-0483</v>
      </c>
      <c r="D3006" s="8">
        <v>40752</v>
      </c>
      <c r="F3006" s="8">
        <v>40781</v>
      </c>
      <c r="G3006" s="8">
        <v>40767</v>
      </c>
      <c r="Y3006" s="8"/>
    </row>
    <row r="3007" spans="1:25" x14ac:dyDescent="0.25">
      <c r="A3007" t="str">
        <f>"11-0484"</f>
        <v>11-0484</v>
      </c>
      <c r="D3007" s="8">
        <v>40752</v>
      </c>
      <c r="F3007" s="8">
        <v>40763</v>
      </c>
      <c r="G3007" s="8">
        <v>40759</v>
      </c>
      <c r="Y3007" s="8"/>
    </row>
    <row r="3008" spans="1:25" x14ac:dyDescent="0.25">
      <c r="A3008" t="str">
        <f>"11-0485"</f>
        <v>11-0485</v>
      </c>
      <c r="D3008" s="8">
        <v>40752</v>
      </c>
      <c r="G3008" s="8">
        <v>40753</v>
      </c>
      <c r="Y3008" s="8"/>
    </row>
    <row r="3009" spans="1:25" x14ac:dyDescent="0.25">
      <c r="A3009" t="str">
        <f>"11-0474"</f>
        <v>11-0474</v>
      </c>
      <c r="D3009" s="8">
        <v>40751</v>
      </c>
      <c r="F3009" s="8">
        <v>40751</v>
      </c>
      <c r="G3009" s="8">
        <v>40749</v>
      </c>
      <c r="Y3009" s="8"/>
    </row>
    <row r="3010" spans="1:25" x14ac:dyDescent="0.25">
      <c r="A3010" t="str">
        <f>"11-0475"</f>
        <v>11-0475</v>
      </c>
      <c r="D3010" s="8">
        <v>40751</v>
      </c>
      <c r="F3010" s="8">
        <v>40751</v>
      </c>
      <c r="G3010" s="8">
        <v>40749</v>
      </c>
      <c r="Y3010" s="8"/>
    </row>
    <row r="3011" spans="1:25" x14ac:dyDescent="0.25">
      <c r="A3011" t="str">
        <f>"11-0476"</f>
        <v>11-0476</v>
      </c>
      <c r="D3011" s="8">
        <v>40751</v>
      </c>
      <c r="F3011" s="8">
        <v>40764</v>
      </c>
      <c r="G3011" s="8">
        <v>40758</v>
      </c>
      <c r="Y3011" s="8"/>
    </row>
    <row r="3012" spans="1:25" x14ac:dyDescent="0.25">
      <c r="A3012" t="str">
        <f>"11-0477"</f>
        <v>11-0477</v>
      </c>
      <c r="D3012" s="8">
        <v>40751</v>
      </c>
      <c r="F3012" s="8">
        <v>40751</v>
      </c>
      <c r="G3012" s="8">
        <v>40751</v>
      </c>
      <c r="Y3012" s="8"/>
    </row>
    <row r="3013" spans="1:25" x14ac:dyDescent="0.25">
      <c r="A3013" t="str">
        <f>"11-0478"</f>
        <v>11-0478</v>
      </c>
      <c r="D3013" s="8">
        <v>40751</v>
      </c>
      <c r="F3013" s="8">
        <v>40751</v>
      </c>
      <c r="G3013" s="8">
        <v>40751</v>
      </c>
      <c r="Y3013" s="8"/>
    </row>
    <row r="3014" spans="1:25" x14ac:dyDescent="0.25">
      <c r="A3014" t="str">
        <f>"11-0479"</f>
        <v>11-0479</v>
      </c>
      <c r="D3014" s="8">
        <v>40751</v>
      </c>
      <c r="F3014" s="8">
        <v>40759</v>
      </c>
      <c r="G3014" s="8">
        <v>40753</v>
      </c>
      <c r="Y3014" s="8"/>
    </row>
    <row r="3015" spans="1:25" x14ac:dyDescent="0.25">
      <c r="A3015" t="str">
        <f>"11-0480"</f>
        <v>11-0480</v>
      </c>
      <c r="D3015" s="8">
        <v>40751</v>
      </c>
      <c r="F3015" s="8">
        <v>40759</v>
      </c>
      <c r="G3015" s="8">
        <v>40753</v>
      </c>
      <c r="Y3015" s="8"/>
    </row>
    <row r="3016" spans="1:25" x14ac:dyDescent="0.25">
      <c r="A3016" t="str">
        <f>"11-0481"</f>
        <v>11-0481</v>
      </c>
      <c r="D3016" s="8">
        <v>40751</v>
      </c>
      <c r="F3016" s="8">
        <v>40758</v>
      </c>
      <c r="G3016" s="8">
        <v>40753</v>
      </c>
      <c r="Y3016" s="8"/>
    </row>
    <row r="3017" spans="1:25" x14ac:dyDescent="0.25">
      <c r="A3017" t="str">
        <f>"11-0482"</f>
        <v>11-0482</v>
      </c>
      <c r="D3017" s="8">
        <v>40751</v>
      </c>
      <c r="F3017" s="8">
        <v>40798</v>
      </c>
      <c r="G3017" s="8">
        <v>40779</v>
      </c>
      <c r="Y3017" s="8"/>
    </row>
    <row r="3018" spans="1:25" x14ac:dyDescent="0.25">
      <c r="A3018" t="str">
        <f>"11-0473"</f>
        <v>11-0473</v>
      </c>
      <c r="D3018" s="8">
        <v>40750</v>
      </c>
      <c r="F3018" s="8">
        <v>40750</v>
      </c>
      <c r="G3018" s="8">
        <v>40750</v>
      </c>
      <c r="Y3018" s="8"/>
    </row>
    <row r="3019" spans="1:25" x14ac:dyDescent="0.25">
      <c r="A3019" t="str">
        <f>"11-0469"</f>
        <v>11-0469</v>
      </c>
      <c r="D3019" s="8">
        <v>40749</v>
      </c>
      <c r="F3019" s="8">
        <v>40749</v>
      </c>
      <c r="G3019" s="8">
        <v>40749</v>
      </c>
      <c r="Y3019" s="8"/>
    </row>
    <row r="3020" spans="1:25" x14ac:dyDescent="0.25">
      <c r="A3020" t="str">
        <f>"11-0470"</f>
        <v>11-0470</v>
      </c>
      <c r="D3020" s="8">
        <v>40749</v>
      </c>
      <c r="F3020" s="8">
        <v>40749</v>
      </c>
      <c r="G3020" s="8">
        <v>40743</v>
      </c>
      <c r="Y3020" s="8"/>
    </row>
    <row r="3021" spans="1:25" x14ac:dyDescent="0.25">
      <c r="A3021" t="str">
        <f>"11-0471"</f>
        <v>11-0471</v>
      </c>
      <c r="D3021" s="8">
        <v>40749</v>
      </c>
      <c r="F3021" s="8">
        <v>40749</v>
      </c>
      <c r="G3021" s="8">
        <v>40749</v>
      </c>
      <c r="Y3021" s="8"/>
    </row>
    <row r="3022" spans="1:25" x14ac:dyDescent="0.25">
      <c r="A3022" t="str">
        <f>"11-0472"</f>
        <v>11-0472</v>
      </c>
      <c r="D3022" s="8">
        <v>40749</v>
      </c>
      <c r="F3022" s="8">
        <v>40749</v>
      </c>
      <c r="G3022" s="8">
        <v>40749</v>
      </c>
      <c r="Y3022" s="8"/>
    </row>
    <row r="3023" spans="1:25" x14ac:dyDescent="0.25">
      <c r="A3023" t="str">
        <f>"11-0467"</f>
        <v>11-0467</v>
      </c>
      <c r="D3023" s="8">
        <v>40746</v>
      </c>
      <c r="F3023" s="8">
        <v>40749</v>
      </c>
      <c r="G3023" s="8">
        <v>40749</v>
      </c>
      <c r="Y3023" s="8"/>
    </row>
    <row r="3024" spans="1:25" x14ac:dyDescent="0.25">
      <c r="A3024" t="str">
        <f>"11-0468"</f>
        <v>11-0468</v>
      </c>
      <c r="D3024" s="8">
        <v>40746</v>
      </c>
      <c r="F3024" s="8">
        <v>40749</v>
      </c>
      <c r="G3024" s="8">
        <v>40746</v>
      </c>
      <c r="Y3024" s="8"/>
    </row>
    <row r="3025" spans="1:25" x14ac:dyDescent="0.25">
      <c r="A3025" t="str">
        <f>"11-0466"</f>
        <v>11-0466</v>
      </c>
      <c r="D3025" s="8">
        <v>40745</v>
      </c>
      <c r="F3025" s="8">
        <v>40745</v>
      </c>
      <c r="G3025" s="8">
        <v>40746</v>
      </c>
      <c r="Y3025" s="8"/>
    </row>
    <row r="3026" spans="1:25" x14ac:dyDescent="0.25">
      <c r="A3026" t="str">
        <f>"11-0462"</f>
        <v>11-0462</v>
      </c>
      <c r="D3026" s="8">
        <v>40744</v>
      </c>
      <c r="F3026" s="8">
        <v>40744</v>
      </c>
      <c r="G3026" s="8">
        <v>40744</v>
      </c>
      <c r="Y3026" s="8"/>
    </row>
    <row r="3027" spans="1:25" x14ac:dyDescent="0.25">
      <c r="A3027" t="str">
        <f>"11-0463"</f>
        <v>11-0463</v>
      </c>
      <c r="D3027" s="8">
        <v>40744</v>
      </c>
      <c r="F3027" s="8">
        <v>40744</v>
      </c>
      <c r="G3027" s="8">
        <v>40744</v>
      </c>
      <c r="Y3027" s="8"/>
    </row>
    <row r="3028" spans="1:25" x14ac:dyDescent="0.25">
      <c r="A3028" t="str">
        <f>"11-0464"</f>
        <v>11-0464</v>
      </c>
      <c r="D3028" s="8">
        <v>40744</v>
      </c>
      <c r="F3028" s="8">
        <v>40744</v>
      </c>
      <c r="G3028" s="8">
        <v>40746</v>
      </c>
      <c r="Y3028" s="8"/>
    </row>
    <row r="3029" spans="1:25" x14ac:dyDescent="0.25">
      <c r="A3029" t="str">
        <f>"11-0465"</f>
        <v>11-0465</v>
      </c>
      <c r="D3029" s="8">
        <v>40744</v>
      </c>
      <c r="F3029" s="8">
        <v>40744</v>
      </c>
      <c r="G3029" s="8">
        <v>40746</v>
      </c>
      <c r="Y3029" s="8"/>
    </row>
    <row r="3030" spans="1:25" x14ac:dyDescent="0.25">
      <c r="A3030" t="str">
        <f>"11-0059B"</f>
        <v>11-0059B</v>
      </c>
      <c r="D3030" s="8">
        <v>40743</v>
      </c>
      <c r="F3030" s="8">
        <v>40743</v>
      </c>
      <c r="G3030" s="8">
        <v>40742</v>
      </c>
      <c r="Y3030" s="8"/>
    </row>
    <row r="3031" spans="1:25" x14ac:dyDescent="0.25">
      <c r="A3031" t="str">
        <f>"11-0460"</f>
        <v>11-0460</v>
      </c>
      <c r="D3031" s="8">
        <v>40743</v>
      </c>
      <c r="F3031" s="8">
        <v>40743</v>
      </c>
      <c r="G3031" s="8">
        <v>40743</v>
      </c>
      <c r="Y3031" s="8"/>
    </row>
    <row r="3032" spans="1:25" x14ac:dyDescent="0.25">
      <c r="A3032" t="str">
        <f>"11-0460B"</f>
        <v>11-0460B</v>
      </c>
      <c r="D3032" s="8">
        <v>40743</v>
      </c>
      <c r="F3032" s="8">
        <v>40743</v>
      </c>
      <c r="G3032" s="8">
        <v>40743</v>
      </c>
      <c r="Y3032" s="8"/>
    </row>
    <row r="3033" spans="1:25" x14ac:dyDescent="0.25">
      <c r="A3033" t="str">
        <f>"11-0461"</f>
        <v>11-0461</v>
      </c>
      <c r="D3033" s="8">
        <v>40743</v>
      </c>
      <c r="F3033" s="8">
        <v>40745</v>
      </c>
      <c r="G3033" s="8">
        <v>40743</v>
      </c>
      <c r="Y3033" s="8"/>
    </row>
    <row r="3034" spans="1:25" x14ac:dyDescent="0.25">
      <c r="A3034" t="str">
        <f>"11-0459"</f>
        <v>11-0459</v>
      </c>
      <c r="D3034" s="8">
        <v>40742</v>
      </c>
      <c r="F3034" s="8">
        <v>40742</v>
      </c>
      <c r="G3034" s="8">
        <v>40742</v>
      </c>
      <c r="Y3034" s="8"/>
    </row>
    <row r="3035" spans="1:25" x14ac:dyDescent="0.25">
      <c r="A3035" t="str">
        <f>"11-0451"</f>
        <v>11-0451</v>
      </c>
      <c r="D3035" s="8">
        <v>40739</v>
      </c>
      <c r="F3035" s="8">
        <v>40739</v>
      </c>
      <c r="G3035" s="8">
        <v>40739</v>
      </c>
      <c r="Y3035" s="8"/>
    </row>
    <row r="3036" spans="1:25" x14ac:dyDescent="0.25">
      <c r="A3036" t="str">
        <f>"11-0452"</f>
        <v>11-0452</v>
      </c>
      <c r="D3036" s="8">
        <v>40739</v>
      </c>
      <c r="F3036" s="8">
        <v>40739</v>
      </c>
      <c r="G3036" s="8">
        <v>40739</v>
      </c>
      <c r="Y3036" s="8"/>
    </row>
    <row r="3037" spans="1:25" x14ac:dyDescent="0.25">
      <c r="A3037" t="str">
        <f>"11-0453"</f>
        <v>11-0453</v>
      </c>
      <c r="D3037" s="8">
        <v>40739</v>
      </c>
      <c r="F3037" s="8">
        <v>40739</v>
      </c>
      <c r="G3037" s="8">
        <v>40739</v>
      </c>
      <c r="Y3037" s="8"/>
    </row>
    <row r="3038" spans="1:25" x14ac:dyDescent="0.25">
      <c r="A3038" t="str">
        <f>"11-0454"</f>
        <v>11-0454</v>
      </c>
      <c r="D3038" s="8">
        <v>40739</v>
      </c>
      <c r="F3038" s="8">
        <v>40742</v>
      </c>
      <c r="G3038" s="8">
        <v>40743</v>
      </c>
      <c r="Y3038" s="8"/>
    </row>
    <row r="3039" spans="1:25" x14ac:dyDescent="0.25">
      <c r="A3039" t="str">
        <f>"11-0455"</f>
        <v>11-0455</v>
      </c>
      <c r="D3039" s="8">
        <v>40739</v>
      </c>
      <c r="F3039" s="8">
        <v>40742</v>
      </c>
      <c r="G3039" s="8">
        <v>40743</v>
      </c>
      <c r="Y3039" s="8"/>
    </row>
    <row r="3040" spans="1:25" x14ac:dyDescent="0.25">
      <c r="A3040" t="str">
        <f>"11-0456"</f>
        <v>11-0456</v>
      </c>
      <c r="D3040" s="8">
        <v>40739</v>
      </c>
      <c r="F3040" s="8">
        <v>40743</v>
      </c>
      <c r="G3040" s="8">
        <v>40742</v>
      </c>
      <c r="Y3040" s="8"/>
    </row>
    <row r="3041" spans="1:25" x14ac:dyDescent="0.25">
      <c r="A3041" t="str">
        <f>"11-0457"</f>
        <v>11-0457</v>
      </c>
      <c r="D3041" s="8">
        <v>40739</v>
      </c>
      <c r="G3041" s="8">
        <v>40742</v>
      </c>
    </row>
    <row r="3042" spans="1:25" x14ac:dyDescent="0.25">
      <c r="A3042" t="str">
        <f>"11-0458"</f>
        <v>11-0458</v>
      </c>
      <c r="D3042" s="8">
        <v>40739</v>
      </c>
      <c r="F3042" s="8">
        <v>40739</v>
      </c>
      <c r="G3042" s="8">
        <v>40742</v>
      </c>
      <c r="Y3042" s="8"/>
    </row>
    <row r="3043" spans="1:25" x14ac:dyDescent="0.25">
      <c r="A3043" t="str">
        <f>"11-0055B"</f>
        <v>11-0055B</v>
      </c>
      <c r="D3043" s="8">
        <v>40737</v>
      </c>
      <c r="F3043" s="8">
        <v>40737</v>
      </c>
      <c r="G3043" s="8">
        <v>40735</v>
      </c>
      <c r="Y3043" s="8"/>
    </row>
    <row r="3044" spans="1:25" x14ac:dyDescent="0.25">
      <c r="A3044" t="str">
        <f>"11-0448"</f>
        <v>11-0448</v>
      </c>
      <c r="D3044" s="8">
        <v>40737</v>
      </c>
      <c r="F3044" s="8">
        <v>40737</v>
      </c>
      <c r="G3044" s="8">
        <v>40739</v>
      </c>
      <c r="Y3044" s="8"/>
    </row>
    <row r="3045" spans="1:25" x14ac:dyDescent="0.25">
      <c r="A3045" t="str">
        <f>"11-0449"</f>
        <v>11-0449</v>
      </c>
      <c r="D3045" s="8">
        <v>40737</v>
      </c>
      <c r="F3045" s="8">
        <v>40737</v>
      </c>
      <c r="G3045" s="8">
        <v>40739</v>
      </c>
      <c r="Y3045" s="8"/>
    </row>
    <row r="3046" spans="1:25" x14ac:dyDescent="0.25">
      <c r="A3046" t="str">
        <f>"11-0450"</f>
        <v>11-0450</v>
      </c>
      <c r="D3046" s="8">
        <v>40737</v>
      </c>
      <c r="F3046" s="8">
        <v>40742</v>
      </c>
      <c r="G3046" s="8">
        <v>40742</v>
      </c>
      <c r="Y3046" s="8"/>
    </row>
    <row r="3047" spans="1:25" x14ac:dyDescent="0.25">
      <c r="A3047" t="str">
        <f>"11-0446"</f>
        <v>11-0446</v>
      </c>
      <c r="D3047" s="8">
        <v>40736</v>
      </c>
      <c r="F3047" s="8">
        <v>40736</v>
      </c>
      <c r="G3047" s="8">
        <v>40736</v>
      </c>
      <c r="Y3047" s="8"/>
    </row>
    <row r="3048" spans="1:25" x14ac:dyDescent="0.25">
      <c r="A3048" t="str">
        <f>"11-0447"</f>
        <v>11-0447</v>
      </c>
      <c r="D3048" s="8">
        <v>40736</v>
      </c>
      <c r="F3048" s="8">
        <v>40743</v>
      </c>
      <c r="G3048" s="8">
        <v>40736</v>
      </c>
      <c r="Y3048" s="8"/>
    </row>
    <row r="3049" spans="1:25" x14ac:dyDescent="0.25">
      <c r="A3049" t="str">
        <f>"11-0442"</f>
        <v>11-0442</v>
      </c>
      <c r="D3049" s="8">
        <v>40735</v>
      </c>
      <c r="F3049" s="8">
        <v>40735</v>
      </c>
      <c r="G3049" s="8">
        <v>40735</v>
      </c>
      <c r="Y3049" s="8"/>
    </row>
    <row r="3050" spans="1:25" x14ac:dyDescent="0.25">
      <c r="A3050" t="str">
        <f>"11-0443"</f>
        <v>11-0443</v>
      </c>
      <c r="D3050" s="8">
        <v>40735</v>
      </c>
      <c r="F3050" s="8">
        <v>40735</v>
      </c>
      <c r="G3050" s="8">
        <v>40735</v>
      </c>
      <c r="Y3050" s="8"/>
    </row>
    <row r="3051" spans="1:25" x14ac:dyDescent="0.25">
      <c r="A3051" t="str">
        <f>"11-0444"</f>
        <v>11-0444</v>
      </c>
      <c r="D3051" s="8">
        <v>40735</v>
      </c>
      <c r="F3051" s="8">
        <v>40735</v>
      </c>
      <c r="G3051" s="8">
        <v>40735</v>
      </c>
      <c r="Y3051" s="8"/>
    </row>
    <row r="3052" spans="1:25" x14ac:dyDescent="0.25">
      <c r="A3052" t="str">
        <f>"11-0444B"</f>
        <v>11-0444B</v>
      </c>
      <c r="D3052" s="8">
        <v>40735</v>
      </c>
      <c r="F3052" s="8">
        <v>40735</v>
      </c>
      <c r="G3052" s="8">
        <v>40735</v>
      </c>
      <c r="Y3052" s="8"/>
    </row>
    <row r="3053" spans="1:25" x14ac:dyDescent="0.25">
      <c r="A3053" t="str">
        <f>"11-0445"</f>
        <v>11-0445</v>
      </c>
      <c r="D3053" s="8">
        <v>40735</v>
      </c>
      <c r="F3053" s="8">
        <v>40735</v>
      </c>
      <c r="G3053" s="8">
        <v>40735</v>
      </c>
      <c r="Y3053" s="8"/>
    </row>
    <row r="3054" spans="1:25" x14ac:dyDescent="0.25">
      <c r="A3054" t="str">
        <f>"11-0430B"</f>
        <v>11-0430B</v>
      </c>
      <c r="D3054" s="8">
        <v>40732</v>
      </c>
      <c r="F3054" s="8">
        <v>40732</v>
      </c>
      <c r="G3054" s="8">
        <v>40733</v>
      </c>
      <c r="Y3054" s="8"/>
    </row>
    <row r="3055" spans="1:25" x14ac:dyDescent="0.25">
      <c r="A3055" t="str">
        <f>"11-0441"</f>
        <v>11-0441</v>
      </c>
      <c r="D3055" s="8">
        <v>40732</v>
      </c>
      <c r="F3055" s="8">
        <v>40732</v>
      </c>
      <c r="G3055" s="8">
        <v>40732</v>
      </c>
      <c r="Y3055" s="8"/>
    </row>
    <row r="3056" spans="1:25" x14ac:dyDescent="0.25">
      <c r="A3056" t="str">
        <f>"11-0393B"</f>
        <v>11-0393B</v>
      </c>
      <c r="D3056" s="8">
        <v>40731</v>
      </c>
      <c r="F3056" s="8">
        <v>40731</v>
      </c>
      <c r="G3056" s="8">
        <v>40732</v>
      </c>
      <c r="Y3056" s="8"/>
    </row>
    <row r="3057" spans="1:25" x14ac:dyDescent="0.25">
      <c r="A3057" t="str">
        <f>"11-0432B"</f>
        <v>11-0432B</v>
      </c>
      <c r="D3057" s="8">
        <v>40731</v>
      </c>
      <c r="F3057" s="8">
        <v>41295</v>
      </c>
      <c r="G3057" s="8">
        <v>40731</v>
      </c>
      <c r="Y3057" s="8"/>
    </row>
    <row r="3058" spans="1:25" x14ac:dyDescent="0.25">
      <c r="A3058" t="str">
        <f>"11-0439"</f>
        <v>11-0439</v>
      </c>
      <c r="D3058" s="8">
        <v>40731</v>
      </c>
      <c r="F3058" s="8">
        <v>40732</v>
      </c>
      <c r="G3058" s="8">
        <v>40731</v>
      </c>
      <c r="Y3058" s="8"/>
    </row>
    <row r="3059" spans="1:25" x14ac:dyDescent="0.25">
      <c r="A3059" t="str">
        <f>"11-0440"</f>
        <v>11-0440</v>
      </c>
      <c r="D3059" s="8">
        <v>40731</v>
      </c>
      <c r="F3059" s="8">
        <v>40791</v>
      </c>
      <c r="G3059" s="8">
        <v>40731</v>
      </c>
      <c r="Y3059" s="8"/>
    </row>
    <row r="3060" spans="1:25" x14ac:dyDescent="0.25">
      <c r="A3060" t="str">
        <f>"11-0371B"</f>
        <v>11-0371B</v>
      </c>
      <c r="D3060" s="8">
        <v>40730</v>
      </c>
      <c r="F3060" s="8">
        <v>40730</v>
      </c>
      <c r="G3060" s="8">
        <v>40732</v>
      </c>
      <c r="Y3060" s="8"/>
    </row>
    <row r="3061" spans="1:25" x14ac:dyDescent="0.25">
      <c r="A3061" t="str">
        <f>"11-0433"</f>
        <v>11-0433</v>
      </c>
      <c r="D3061" s="8">
        <v>40730</v>
      </c>
      <c r="F3061" s="8">
        <v>40730</v>
      </c>
      <c r="G3061" s="8">
        <v>41090</v>
      </c>
      <c r="Y3061" s="8"/>
    </row>
    <row r="3062" spans="1:25" x14ac:dyDescent="0.25">
      <c r="A3062" t="str">
        <f>"11-0434"</f>
        <v>11-0434</v>
      </c>
      <c r="D3062" s="8">
        <v>40730</v>
      </c>
      <c r="F3062" s="8">
        <v>40730</v>
      </c>
      <c r="G3062" s="8">
        <v>40730</v>
      </c>
      <c r="Y3062" s="8"/>
    </row>
    <row r="3063" spans="1:25" x14ac:dyDescent="0.25">
      <c r="A3063" t="str">
        <f>"11-0435"</f>
        <v>11-0435</v>
      </c>
      <c r="D3063" s="8">
        <v>40730</v>
      </c>
      <c r="F3063" s="8">
        <v>40730</v>
      </c>
      <c r="G3063" s="8">
        <v>40732</v>
      </c>
      <c r="Y3063" s="8"/>
    </row>
    <row r="3064" spans="1:25" x14ac:dyDescent="0.25">
      <c r="A3064" t="str">
        <f>"11-0436"</f>
        <v>11-0436</v>
      </c>
      <c r="D3064" s="8">
        <v>40730</v>
      </c>
      <c r="F3064" s="8">
        <v>40730</v>
      </c>
      <c r="G3064" s="8">
        <v>40730</v>
      </c>
      <c r="Y3064" s="8"/>
    </row>
    <row r="3065" spans="1:25" x14ac:dyDescent="0.25">
      <c r="A3065" t="str">
        <f>"11-0437"</f>
        <v>11-0437</v>
      </c>
      <c r="D3065" s="8">
        <v>40730</v>
      </c>
      <c r="F3065" s="8">
        <v>40730</v>
      </c>
      <c r="G3065" s="8">
        <v>40730</v>
      </c>
      <c r="Y3065" s="8"/>
    </row>
    <row r="3066" spans="1:25" x14ac:dyDescent="0.25">
      <c r="A3066" t="str">
        <f>"11-0438"</f>
        <v>11-0438</v>
      </c>
      <c r="D3066" s="8">
        <v>40730</v>
      </c>
      <c r="F3066" s="8">
        <v>40730</v>
      </c>
      <c r="G3066" s="8">
        <v>40730</v>
      </c>
      <c r="Y3066" s="8"/>
    </row>
    <row r="3067" spans="1:25" x14ac:dyDescent="0.25">
      <c r="A3067" t="str">
        <f>"11-0428"</f>
        <v>11-0428</v>
      </c>
      <c r="D3067" s="8">
        <v>40728</v>
      </c>
      <c r="F3067" s="8">
        <v>40728</v>
      </c>
      <c r="G3067" s="8">
        <v>40728</v>
      </c>
      <c r="Y3067" s="8"/>
    </row>
    <row r="3068" spans="1:25" x14ac:dyDescent="0.25">
      <c r="A3068" t="str">
        <f>"11-0429"</f>
        <v>11-0429</v>
      </c>
      <c r="D3068" s="8">
        <v>40728</v>
      </c>
      <c r="F3068" s="8">
        <v>40728</v>
      </c>
      <c r="G3068" s="8">
        <v>40725</v>
      </c>
      <c r="Y3068" s="8"/>
    </row>
    <row r="3069" spans="1:25" x14ac:dyDescent="0.25">
      <c r="A3069" t="str">
        <f>"11-0430"</f>
        <v>11-0430</v>
      </c>
      <c r="D3069" s="8">
        <v>40728</v>
      </c>
      <c r="F3069" s="8">
        <v>40728</v>
      </c>
      <c r="G3069" s="8">
        <v>41084</v>
      </c>
      <c r="Y3069" s="8"/>
    </row>
    <row r="3070" spans="1:25" x14ac:dyDescent="0.25">
      <c r="A3070" t="str">
        <f>"11-0431"</f>
        <v>11-0431</v>
      </c>
      <c r="D3070" s="8">
        <v>40728</v>
      </c>
      <c r="F3070" s="8">
        <v>40729</v>
      </c>
      <c r="G3070" s="8">
        <v>40728</v>
      </c>
      <c r="Y3070" s="8"/>
    </row>
    <row r="3071" spans="1:25" x14ac:dyDescent="0.25">
      <c r="A3071" t="str">
        <f>"11-0432"</f>
        <v>11-0432</v>
      </c>
      <c r="D3071" s="8">
        <v>40728</v>
      </c>
      <c r="F3071" s="8">
        <v>40849</v>
      </c>
      <c r="G3071" s="8">
        <v>40732</v>
      </c>
      <c r="Y3071" s="8"/>
    </row>
    <row r="3072" spans="1:25" x14ac:dyDescent="0.25">
      <c r="A3072" t="str">
        <f>"11-0335B"</f>
        <v>11-0335B</v>
      </c>
      <c r="D3072" s="8">
        <v>40724</v>
      </c>
      <c r="F3072" s="8">
        <v>40878</v>
      </c>
      <c r="G3072" s="8">
        <v>40724</v>
      </c>
      <c r="Y3072" s="8"/>
    </row>
    <row r="3073" spans="1:25" x14ac:dyDescent="0.25">
      <c r="A3073" t="str">
        <f>"11-0413B"</f>
        <v>11-0413B</v>
      </c>
      <c r="D3073" s="8">
        <v>40724</v>
      </c>
      <c r="F3073" s="8">
        <v>40724</v>
      </c>
      <c r="G3073" s="8">
        <v>40724</v>
      </c>
      <c r="Y3073" s="8"/>
    </row>
    <row r="3074" spans="1:25" x14ac:dyDescent="0.25">
      <c r="A3074" t="str">
        <f>"11-0418"</f>
        <v>11-0418</v>
      </c>
      <c r="D3074" s="8">
        <v>40724</v>
      </c>
      <c r="G3074" s="8">
        <v>40724</v>
      </c>
      <c r="Y3074" s="8"/>
    </row>
    <row r="3075" spans="1:25" x14ac:dyDescent="0.25">
      <c r="A3075" t="str">
        <f>"11-0419"</f>
        <v>11-0419</v>
      </c>
      <c r="D3075" s="8">
        <v>40724</v>
      </c>
      <c r="F3075" s="8">
        <v>40731</v>
      </c>
      <c r="G3075" s="8">
        <v>40729</v>
      </c>
      <c r="Y3075" s="8"/>
    </row>
    <row r="3076" spans="1:25" x14ac:dyDescent="0.25">
      <c r="A3076" t="str">
        <f>"11-0420"</f>
        <v>11-0420</v>
      </c>
      <c r="D3076" s="8">
        <v>40724</v>
      </c>
      <c r="F3076" s="8">
        <v>40724</v>
      </c>
      <c r="G3076" s="8">
        <v>40724</v>
      </c>
      <c r="Y3076" s="8"/>
    </row>
    <row r="3077" spans="1:25" x14ac:dyDescent="0.25">
      <c r="A3077" t="str">
        <f>"11-0421"</f>
        <v>11-0421</v>
      </c>
      <c r="D3077" s="8">
        <v>40724</v>
      </c>
      <c r="F3077" s="8">
        <v>40728</v>
      </c>
      <c r="G3077" s="8">
        <v>40725</v>
      </c>
      <c r="Y3077" s="8"/>
    </row>
    <row r="3078" spans="1:25" x14ac:dyDescent="0.25">
      <c r="A3078" t="str">
        <f>"11-0422"</f>
        <v>11-0422</v>
      </c>
      <c r="D3078" s="8">
        <v>40724</v>
      </c>
      <c r="F3078" s="8">
        <v>40735</v>
      </c>
      <c r="G3078" s="8">
        <v>40730</v>
      </c>
      <c r="Y3078" s="8"/>
    </row>
    <row r="3079" spans="1:25" x14ac:dyDescent="0.25">
      <c r="A3079" t="str">
        <f>"11-0423"</f>
        <v>11-0423</v>
      </c>
      <c r="D3079" s="8">
        <v>40724</v>
      </c>
      <c r="F3079" s="8">
        <v>40724</v>
      </c>
      <c r="G3079" s="8">
        <v>40724</v>
      </c>
      <c r="Y3079" s="8"/>
    </row>
    <row r="3080" spans="1:25" x14ac:dyDescent="0.25">
      <c r="A3080" t="str">
        <f>"11-0424"</f>
        <v>11-0424</v>
      </c>
      <c r="D3080" s="8">
        <v>40724</v>
      </c>
      <c r="F3080" s="8">
        <v>40731</v>
      </c>
      <c r="G3080" s="8">
        <v>40729</v>
      </c>
      <c r="Y3080" s="8"/>
    </row>
    <row r="3081" spans="1:25" x14ac:dyDescent="0.25">
      <c r="A3081" t="str">
        <f>"11-0425"</f>
        <v>11-0425</v>
      </c>
      <c r="D3081" s="8">
        <v>40724</v>
      </c>
      <c r="F3081" s="8">
        <v>40724</v>
      </c>
      <c r="G3081" s="8">
        <v>40724</v>
      </c>
      <c r="Y3081" s="8"/>
    </row>
    <row r="3082" spans="1:25" x14ac:dyDescent="0.25">
      <c r="A3082" t="str">
        <f>"11-0426"</f>
        <v>11-0426</v>
      </c>
      <c r="D3082" s="8">
        <v>40724</v>
      </c>
      <c r="F3082" s="8">
        <v>40773</v>
      </c>
      <c r="G3082" s="8">
        <v>40724</v>
      </c>
      <c r="Y3082" s="8"/>
    </row>
    <row r="3083" spans="1:25" x14ac:dyDescent="0.25">
      <c r="A3083" t="str">
        <f>"11-0413"</f>
        <v>11-0413</v>
      </c>
      <c r="D3083" s="8">
        <v>40723</v>
      </c>
      <c r="F3083" s="8">
        <v>40723</v>
      </c>
      <c r="G3083" s="8">
        <v>40723</v>
      </c>
      <c r="Y3083" s="8"/>
    </row>
    <row r="3084" spans="1:25" x14ac:dyDescent="0.25">
      <c r="A3084" t="str">
        <f>"11-0414"</f>
        <v>11-0414</v>
      </c>
      <c r="D3084" s="8">
        <v>40723</v>
      </c>
      <c r="F3084" s="8">
        <v>40723</v>
      </c>
      <c r="G3084" s="8">
        <v>40723</v>
      </c>
      <c r="Y3084" s="8"/>
    </row>
    <row r="3085" spans="1:25" x14ac:dyDescent="0.25">
      <c r="A3085" t="str">
        <f>"11-0415"</f>
        <v>11-0415</v>
      </c>
      <c r="D3085" s="8">
        <v>40723</v>
      </c>
      <c r="F3085" s="8">
        <v>40723</v>
      </c>
      <c r="G3085" s="8">
        <v>40723</v>
      </c>
      <c r="Y3085" s="8"/>
    </row>
    <row r="3086" spans="1:25" x14ac:dyDescent="0.25">
      <c r="A3086" t="str">
        <f>"11-0416"</f>
        <v>11-0416</v>
      </c>
      <c r="D3086" s="8">
        <v>40723</v>
      </c>
      <c r="F3086" s="8">
        <v>40723</v>
      </c>
      <c r="G3086" s="8">
        <v>40723</v>
      </c>
      <c r="Y3086" s="8"/>
    </row>
    <row r="3087" spans="1:25" x14ac:dyDescent="0.25">
      <c r="A3087" t="str">
        <f>"11-0417"</f>
        <v>11-0417</v>
      </c>
      <c r="D3087" s="8">
        <v>40723</v>
      </c>
      <c r="F3087" s="8">
        <v>40724</v>
      </c>
      <c r="G3087" s="8">
        <v>40724</v>
      </c>
      <c r="Y3087" s="8"/>
    </row>
    <row r="3088" spans="1:25" x14ac:dyDescent="0.25">
      <c r="A3088" t="str">
        <f>"11-0406B"</f>
        <v>11-0406B</v>
      </c>
      <c r="D3088" s="8">
        <v>40722</v>
      </c>
      <c r="F3088" s="8">
        <v>40722</v>
      </c>
      <c r="G3088" s="8">
        <v>40722</v>
      </c>
      <c r="Y3088" s="8"/>
    </row>
    <row r="3089" spans="1:25" x14ac:dyDescent="0.25">
      <c r="A3089" t="str">
        <f>"11-0409"</f>
        <v>11-0409</v>
      </c>
      <c r="D3089" s="8">
        <v>40722</v>
      </c>
      <c r="F3089" s="8">
        <v>40722</v>
      </c>
      <c r="G3089" s="8">
        <v>40722</v>
      </c>
      <c r="Y3089" s="8"/>
    </row>
    <row r="3090" spans="1:25" x14ac:dyDescent="0.25">
      <c r="A3090" t="str">
        <f>"11-0410"</f>
        <v>11-0410</v>
      </c>
      <c r="D3090" s="8">
        <v>40722</v>
      </c>
      <c r="F3090" s="8">
        <v>40722</v>
      </c>
      <c r="G3090" s="8">
        <v>40722</v>
      </c>
      <c r="Y3090" s="8"/>
    </row>
    <row r="3091" spans="1:25" x14ac:dyDescent="0.25">
      <c r="A3091" t="str">
        <f>"11-0411"</f>
        <v>11-0411</v>
      </c>
      <c r="D3091" s="8">
        <v>40722</v>
      </c>
      <c r="F3091" s="8">
        <v>40722</v>
      </c>
      <c r="G3091" s="8">
        <v>40722</v>
      </c>
      <c r="Y3091" s="8"/>
    </row>
    <row r="3092" spans="1:25" x14ac:dyDescent="0.25">
      <c r="A3092" t="str">
        <f>"11-0412"</f>
        <v>11-0412</v>
      </c>
      <c r="D3092" s="8">
        <v>40722</v>
      </c>
      <c r="F3092" s="8">
        <v>40722</v>
      </c>
      <c r="G3092" s="8">
        <v>40722</v>
      </c>
      <c r="Y3092" s="8"/>
    </row>
    <row r="3093" spans="1:25" x14ac:dyDescent="0.25">
      <c r="A3093" t="str">
        <f>"11-0406"</f>
        <v>11-0406</v>
      </c>
      <c r="D3093" s="8">
        <v>40721</v>
      </c>
      <c r="F3093" s="8">
        <v>40721</v>
      </c>
      <c r="G3093" s="8">
        <v>40722</v>
      </c>
      <c r="Y3093" s="8"/>
    </row>
    <row r="3094" spans="1:25" x14ac:dyDescent="0.25">
      <c r="A3094" t="str">
        <f>"11-0407"</f>
        <v>11-0407</v>
      </c>
      <c r="D3094" s="8">
        <v>40721</v>
      </c>
      <c r="F3094" s="8">
        <v>40721</v>
      </c>
      <c r="G3094" s="8">
        <v>40707</v>
      </c>
      <c r="Y3094" s="8"/>
    </row>
    <row r="3095" spans="1:25" x14ac:dyDescent="0.25">
      <c r="A3095" t="str">
        <f>"11-0408"</f>
        <v>11-0408</v>
      </c>
      <c r="D3095" s="8">
        <v>40721</v>
      </c>
      <c r="F3095" s="8">
        <v>40721</v>
      </c>
      <c r="G3095" s="8">
        <v>40721</v>
      </c>
      <c r="Y3095" s="8"/>
    </row>
    <row r="3096" spans="1:25" x14ac:dyDescent="0.25">
      <c r="A3096" t="str">
        <f>"11-0405"</f>
        <v>11-0405</v>
      </c>
      <c r="D3096" s="8">
        <v>40718</v>
      </c>
      <c r="F3096" s="8">
        <v>40718</v>
      </c>
      <c r="G3096" s="8">
        <v>40718</v>
      </c>
      <c r="Y3096" s="8"/>
    </row>
    <row r="3097" spans="1:25" x14ac:dyDescent="0.25">
      <c r="A3097" t="str">
        <f>"11-0379B"</f>
        <v>11-0379B</v>
      </c>
      <c r="D3097" s="8">
        <v>40717</v>
      </c>
      <c r="F3097" s="8">
        <v>40717</v>
      </c>
      <c r="G3097" s="8">
        <v>40717</v>
      </c>
      <c r="Y3097" s="8"/>
    </row>
    <row r="3098" spans="1:25" x14ac:dyDescent="0.25">
      <c r="A3098" t="str">
        <f>"11-0402"</f>
        <v>11-0402</v>
      </c>
      <c r="D3098" s="8">
        <v>40716</v>
      </c>
      <c r="F3098" s="8">
        <v>40716</v>
      </c>
      <c r="G3098" s="8">
        <v>40716</v>
      </c>
      <c r="Y3098" s="8"/>
    </row>
    <row r="3099" spans="1:25" x14ac:dyDescent="0.25">
      <c r="A3099" t="str">
        <f>"11-0403"</f>
        <v>11-0403</v>
      </c>
      <c r="D3099" s="8">
        <v>40716</v>
      </c>
      <c r="F3099" s="8">
        <v>40716</v>
      </c>
      <c r="G3099" s="8">
        <v>40716</v>
      </c>
      <c r="Y3099" s="8"/>
    </row>
    <row r="3100" spans="1:25" x14ac:dyDescent="0.25">
      <c r="A3100" t="str">
        <f>"11-0404"</f>
        <v>11-0404</v>
      </c>
      <c r="D3100" s="8">
        <v>40716</v>
      </c>
      <c r="F3100" s="8">
        <v>40745</v>
      </c>
      <c r="G3100" s="8">
        <v>40716</v>
      </c>
      <c r="Y3100" s="8"/>
    </row>
    <row r="3101" spans="1:25" x14ac:dyDescent="0.25">
      <c r="A3101" t="str">
        <f>"11-0373B"</f>
        <v>11-0373B</v>
      </c>
      <c r="D3101" s="8">
        <v>40715</v>
      </c>
      <c r="F3101" s="8">
        <v>40715</v>
      </c>
      <c r="G3101" s="8">
        <v>40715</v>
      </c>
      <c r="Y3101" s="8"/>
    </row>
    <row r="3102" spans="1:25" x14ac:dyDescent="0.25">
      <c r="A3102" t="str">
        <f>"11-0399"</f>
        <v>11-0399</v>
      </c>
      <c r="D3102" s="8">
        <v>40715</v>
      </c>
      <c r="F3102" s="8">
        <v>40715</v>
      </c>
      <c r="G3102" s="8">
        <v>40716</v>
      </c>
      <c r="Y3102" s="8"/>
    </row>
    <row r="3103" spans="1:25" x14ac:dyDescent="0.25">
      <c r="A3103" t="str">
        <f>"11-0400"</f>
        <v>11-0400</v>
      </c>
      <c r="D3103" s="8">
        <v>40715</v>
      </c>
      <c r="F3103" s="8">
        <v>40715</v>
      </c>
      <c r="G3103" s="8">
        <v>40715</v>
      </c>
      <c r="Y3103" s="8"/>
    </row>
    <row r="3104" spans="1:25" x14ac:dyDescent="0.25">
      <c r="A3104" t="str">
        <f>"11-0401"</f>
        <v>11-0401</v>
      </c>
      <c r="D3104" s="8">
        <v>40715</v>
      </c>
      <c r="F3104" s="8">
        <v>40716</v>
      </c>
      <c r="G3104" s="8">
        <v>40715</v>
      </c>
      <c r="Y3104" s="8"/>
    </row>
    <row r="3105" spans="1:25" x14ac:dyDescent="0.25">
      <c r="A3105" t="str">
        <f>"11-0359B"</f>
        <v>11-0359B</v>
      </c>
      <c r="D3105" s="8">
        <v>40714</v>
      </c>
      <c r="F3105" s="8">
        <v>40714</v>
      </c>
      <c r="G3105" s="8">
        <v>40714</v>
      </c>
      <c r="Y3105" s="8"/>
    </row>
    <row r="3106" spans="1:25" x14ac:dyDescent="0.25">
      <c r="A3106" t="str">
        <f>"11-0396"</f>
        <v>11-0396</v>
      </c>
      <c r="D3106" s="8">
        <v>40714</v>
      </c>
      <c r="F3106" s="8">
        <v>40714</v>
      </c>
      <c r="G3106" s="8">
        <v>40714</v>
      </c>
      <c r="Y3106" s="8"/>
    </row>
    <row r="3107" spans="1:25" x14ac:dyDescent="0.25">
      <c r="A3107" t="str">
        <f>"11-0397"</f>
        <v>11-0397</v>
      </c>
      <c r="D3107" s="8">
        <v>40714</v>
      </c>
      <c r="F3107" s="8">
        <v>40714</v>
      </c>
      <c r="G3107" s="8">
        <v>41025</v>
      </c>
      <c r="Y3107" s="8"/>
    </row>
    <row r="3108" spans="1:25" x14ac:dyDescent="0.25">
      <c r="A3108" t="str">
        <f>"11-0398"</f>
        <v>11-0398</v>
      </c>
      <c r="D3108" s="8">
        <v>40714</v>
      </c>
      <c r="F3108" s="8">
        <v>40729</v>
      </c>
      <c r="G3108" s="8">
        <v>40714</v>
      </c>
      <c r="Y3108" s="8"/>
    </row>
    <row r="3109" spans="1:25" x14ac:dyDescent="0.25">
      <c r="A3109" t="str">
        <f>"11-0361B"</f>
        <v>11-0361B</v>
      </c>
      <c r="D3109" s="8">
        <v>40711</v>
      </c>
      <c r="F3109" s="8">
        <v>40711</v>
      </c>
      <c r="G3109" s="8">
        <v>40711</v>
      </c>
      <c r="Y3109" s="8"/>
    </row>
    <row r="3110" spans="1:25" x14ac:dyDescent="0.25">
      <c r="A3110" t="str">
        <f>"11-0362B"</f>
        <v>11-0362B</v>
      </c>
      <c r="D3110" s="8">
        <v>40711</v>
      </c>
      <c r="F3110" s="8">
        <v>40711</v>
      </c>
      <c r="G3110" s="8">
        <v>40710</v>
      </c>
      <c r="Y3110" s="8"/>
    </row>
    <row r="3111" spans="1:25" x14ac:dyDescent="0.25">
      <c r="A3111" t="str">
        <f>"11-0391"</f>
        <v>11-0391</v>
      </c>
      <c r="D3111" s="8">
        <v>40711</v>
      </c>
      <c r="F3111" s="8">
        <v>40711</v>
      </c>
      <c r="G3111" s="8">
        <v>40711</v>
      </c>
      <c r="Y3111" s="8"/>
    </row>
    <row r="3112" spans="1:25" x14ac:dyDescent="0.25">
      <c r="A3112" t="str">
        <f>"11-0392"</f>
        <v>11-0392</v>
      </c>
      <c r="D3112" s="8">
        <v>40711</v>
      </c>
      <c r="F3112" s="8">
        <v>40711</v>
      </c>
      <c r="G3112" s="8">
        <v>40710</v>
      </c>
      <c r="Y3112" s="8"/>
    </row>
    <row r="3113" spans="1:25" x14ac:dyDescent="0.25">
      <c r="A3113" t="str">
        <f>"11-0393"</f>
        <v>11-0393</v>
      </c>
      <c r="D3113" s="8">
        <v>40711</v>
      </c>
      <c r="F3113" s="8">
        <v>40717</v>
      </c>
      <c r="G3113" s="8">
        <v>40715</v>
      </c>
      <c r="Y3113" s="8"/>
    </row>
    <row r="3114" spans="1:25" x14ac:dyDescent="0.25">
      <c r="A3114" t="str">
        <f>"11-0394"</f>
        <v>11-0394</v>
      </c>
      <c r="D3114" s="8">
        <v>40711</v>
      </c>
      <c r="F3114" s="8">
        <v>40731</v>
      </c>
      <c r="G3114" s="8">
        <v>40711</v>
      </c>
      <c r="Y3114" s="8"/>
    </row>
    <row r="3115" spans="1:25" x14ac:dyDescent="0.25">
      <c r="A3115" t="str">
        <f>"11-0395"</f>
        <v>11-0395</v>
      </c>
      <c r="D3115" s="8">
        <v>40711</v>
      </c>
      <c r="F3115" s="8">
        <v>40715</v>
      </c>
      <c r="G3115" s="8">
        <v>40715</v>
      </c>
      <c r="Y3115" s="8"/>
    </row>
    <row r="3116" spans="1:25" x14ac:dyDescent="0.25">
      <c r="A3116" t="str">
        <f>"11-0360C"</f>
        <v>11-0360C</v>
      </c>
      <c r="D3116" s="8">
        <v>40710</v>
      </c>
      <c r="F3116" s="8">
        <v>40793</v>
      </c>
      <c r="G3116" s="8">
        <v>40710</v>
      </c>
      <c r="Y3116" s="8"/>
    </row>
    <row r="3117" spans="1:25" x14ac:dyDescent="0.25">
      <c r="A3117" t="str">
        <f>"11-0374B"</f>
        <v>11-0374B</v>
      </c>
      <c r="D3117" s="8">
        <v>40710</v>
      </c>
      <c r="F3117" s="8">
        <v>40710</v>
      </c>
      <c r="G3117" s="8">
        <v>40711</v>
      </c>
      <c r="Y3117" s="8"/>
    </row>
    <row r="3118" spans="1:25" x14ac:dyDescent="0.25">
      <c r="A3118" t="str">
        <f>"11-0385"</f>
        <v>11-0385</v>
      </c>
      <c r="D3118" s="8">
        <v>40710</v>
      </c>
      <c r="F3118" s="8">
        <v>40710</v>
      </c>
      <c r="G3118" s="8">
        <v>37057</v>
      </c>
      <c r="Y3118" s="8"/>
    </row>
    <row r="3119" spans="1:25" x14ac:dyDescent="0.25">
      <c r="A3119" t="str">
        <f>"11-0386"</f>
        <v>11-0386</v>
      </c>
      <c r="D3119" s="8">
        <v>40710</v>
      </c>
      <c r="F3119" s="8">
        <v>40710</v>
      </c>
      <c r="G3119" s="8">
        <v>40710</v>
      </c>
      <c r="Y3119" s="8"/>
    </row>
    <row r="3120" spans="1:25" x14ac:dyDescent="0.25">
      <c r="A3120" t="str">
        <f>"11-0387"</f>
        <v>11-0387</v>
      </c>
      <c r="D3120" s="8">
        <v>40710</v>
      </c>
      <c r="F3120" s="8">
        <v>40710</v>
      </c>
      <c r="G3120" s="8">
        <v>40710</v>
      </c>
      <c r="Y3120" s="8"/>
    </row>
    <row r="3121" spans="1:25" x14ac:dyDescent="0.25">
      <c r="A3121" t="str">
        <f>"11-0388"</f>
        <v>11-0388</v>
      </c>
      <c r="D3121" s="8">
        <v>40710</v>
      </c>
      <c r="F3121" s="8">
        <v>40710</v>
      </c>
      <c r="G3121" s="8">
        <v>40709</v>
      </c>
      <c r="Y3121" s="8"/>
    </row>
    <row r="3122" spans="1:25" x14ac:dyDescent="0.25">
      <c r="A3122" t="str">
        <f>"11-0389"</f>
        <v>11-0389</v>
      </c>
      <c r="D3122" s="8">
        <v>40710</v>
      </c>
      <c r="F3122" s="8">
        <v>40710</v>
      </c>
      <c r="G3122" s="8">
        <v>40710</v>
      </c>
      <c r="Y3122" s="8"/>
    </row>
    <row r="3123" spans="1:25" x14ac:dyDescent="0.25">
      <c r="A3123" t="str">
        <f>"11-0390"</f>
        <v>11-0390</v>
      </c>
      <c r="D3123" s="8">
        <v>40710</v>
      </c>
      <c r="F3123" s="8">
        <v>40710</v>
      </c>
      <c r="G3123" s="8">
        <v>40710</v>
      </c>
      <c r="Y3123" s="8"/>
    </row>
    <row r="3124" spans="1:25" x14ac:dyDescent="0.25">
      <c r="A3124" t="str">
        <f>"11-0381"</f>
        <v>11-0381</v>
      </c>
      <c r="D3124" s="8">
        <v>40709</v>
      </c>
      <c r="F3124" s="8">
        <v>40709</v>
      </c>
      <c r="G3124" s="8">
        <v>40709</v>
      </c>
      <c r="Y3124" s="8"/>
    </row>
    <row r="3125" spans="1:25" x14ac:dyDescent="0.25">
      <c r="A3125" t="str">
        <f>"11-0382"</f>
        <v>11-0382</v>
      </c>
      <c r="D3125" s="8">
        <v>40709</v>
      </c>
      <c r="F3125" s="8">
        <v>40709</v>
      </c>
      <c r="G3125" s="8">
        <v>40709</v>
      </c>
      <c r="Y3125" s="8"/>
    </row>
    <row r="3126" spans="1:25" x14ac:dyDescent="0.25">
      <c r="A3126" t="str">
        <f>"11-0383"</f>
        <v>11-0383</v>
      </c>
      <c r="D3126" s="8">
        <v>40709</v>
      </c>
      <c r="F3126" s="8">
        <v>40709</v>
      </c>
      <c r="G3126" s="8">
        <v>40708</v>
      </c>
      <c r="Y3126" s="8"/>
    </row>
    <row r="3127" spans="1:25" x14ac:dyDescent="0.25">
      <c r="A3127" t="str">
        <f>"11-0384"</f>
        <v>11-0384</v>
      </c>
      <c r="D3127" s="8">
        <v>40709</v>
      </c>
      <c r="F3127" s="8">
        <v>40709</v>
      </c>
      <c r="G3127" s="8">
        <v>40709</v>
      </c>
      <c r="Y3127" s="8"/>
    </row>
    <row r="3128" spans="1:25" x14ac:dyDescent="0.25">
      <c r="A3128" t="str">
        <f>"11-0360B"</f>
        <v>11-0360B</v>
      </c>
      <c r="D3128" s="8">
        <v>40708</v>
      </c>
      <c r="F3128" s="8">
        <v>40708</v>
      </c>
      <c r="G3128" s="8">
        <v>40708</v>
      </c>
      <c r="Y3128" s="8"/>
    </row>
    <row r="3129" spans="1:25" x14ac:dyDescent="0.25">
      <c r="A3129" t="str">
        <f>"11-0380"</f>
        <v>11-0380</v>
      </c>
      <c r="D3129" s="8">
        <v>40708</v>
      </c>
      <c r="F3129" s="8">
        <v>40709</v>
      </c>
      <c r="G3129" s="8">
        <v>40710</v>
      </c>
      <c r="Y3129" s="8"/>
    </row>
    <row r="3130" spans="1:25" x14ac:dyDescent="0.25">
      <c r="A3130" t="str">
        <f>"11-0377"</f>
        <v>11-0377</v>
      </c>
      <c r="D3130" s="8">
        <v>40704</v>
      </c>
      <c r="F3130" s="8">
        <v>40704</v>
      </c>
      <c r="G3130" s="8">
        <v>40704</v>
      </c>
      <c r="Y3130" s="8"/>
    </row>
    <row r="3131" spans="1:25" x14ac:dyDescent="0.25">
      <c r="A3131" t="str">
        <f>"11-0378"</f>
        <v>11-0378</v>
      </c>
      <c r="D3131" s="8">
        <v>40704</v>
      </c>
      <c r="F3131" s="8">
        <v>40704</v>
      </c>
      <c r="G3131" s="8">
        <v>40704</v>
      </c>
      <c r="Y3131" s="8"/>
    </row>
    <row r="3132" spans="1:25" x14ac:dyDescent="0.25">
      <c r="A3132" t="str">
        <f>"11-0379"</f>
        <v>11-0379</v>
      </c>
      <c r="D3132" s="8">
        <v>40704</v>
      </c>
      <c r="F3132" s="8">
        <v>40704</v>
      </c>
      <c r="G3132" s="8">
        <v>40704</v>
      </c>
      <c r="Y3132" s="8"/>
    </row>
    <row r="3133" spans="1:25" x14ac:dyDescent="0.25">
      <c r="A3133" t="str">
        <f>"11-0376"</f>
        <v>11-0376</v>
      </c>
      <c r="D3133" s="8">
        <v>40703</v>
      </c>
      <c r="F3133" s="8">
        <v>40703</v>
      </c>
      <c r="G3133" s="8">
        <v>40703</v>
      </c>
      <c r="Y3133" s="8"/>
    </row>
    <row r="3134" spans="1:25" x14ac:dyDescent="0.25">
      <c r="A3134" t="str">
        <f>"11-0373"</f>
        <v>11-0373</v>
      </c>
      <c r="D3134" s="8">
        <v>40702</v>
      </c>
      <c r="F3134" s="8">
        <v>40702</v>
      </c>
      <c r="G3134" s="8">
        <v>40702</v>
      </c>
      <c r="Y3134" s="8"/>
    </row>
    <row r="3135" spans="1:25" x14ac:dyDescent="0.25">
      <c r="A3135" t="str">
        <f>"11-0374"</f>
        <v>11-0374</v>
      </c>
      <c r="D3135" s="8">
        <v>40702</v>
      </c>
      <c r="F3135" s="8">
        <v>40702</v>
      </c>
      <c r="G3135" s="8">
        <v>40702</v>
      </c>
      <c r="Y3135" s="8"/>
    </row>
    <row r="3136" spans="1:25" x14ac:dyDescent="0.25">
      <c r="A3136" t="str">
        <f>"11-0375"</f>
        <v>11-0375</v>
      </c>
      <c r="D3136" s="8">
        <v>40702</v>
      </c>
      <c r="F3136" s="8">
        <v>40702</v>
      </c>
      <c r="G3136" s="8">
        <v>40702</v>
      </c>
      <c r="Y3136" s="8"/>
    </row>
    <row r="3137" spans="1:25" x14ac:dyDescent="0.25">
      <c r="A3137" t="str">
        <f>"11-0369"</f>
        <v>11-0369</v>
      </c>
      <c r="D3137" s="8">
        <v>40701</v>
      </c>
      <c r="F3137" s="8">
        <v>40701</v>
      </c>
      <c r="G3137" s="8">
        <v>40701</v>
      </c>
      <c r="Y3137" s="8"/>
    </row>
    <row r="3138" spans="1:25" x14ac:dyDescent="0.25">
      <c r="A3138" t="str">
        <f>"11-0370"</f>
        <v>11-0370</v>
      </c>
      <c r="D3138" s="8">
        <v>40701</v>
      </c>
      <c r="F3138" s="8">
        <v>40701</v>
      </c>
      <c r="G3138" s="8">
        <v>40700</v>
      </c>
      <c r="Y3138" s="8"/>
    </row>
    <row r="3139" spans="1:25" x14ac:dyDescent="0.25">
      <c r="A3139" t="str">
        <f>"11-0371"</f>
        <v>11-0371</v>
      </c>
      <c r="D3139" s="8">
        <v>40701</v>
      </c>
      <c r="F3139" s="8">
        <v>40701</v>
      </c>
      <c r="G3139" s="8">
        <v>40701</v>
      </c>
      <c r="Y3139" s="8"/>
    </row>
    <row r="3140" spans="1:25" x14ac:dyDescent="0.25">
      <c r="A3140" t="str">
        <f>"11-0372"</f>
        <v>11-0372</v>
      </c>
      <c r="D3140" s="8">
        <v>40701</v>
      </c>
      <c r="F3140" s="8">
        <v>40703</v>
      </c>
      <c r="G3140" s="8">
        <v>40700</v>
      </c>
      <c r="Y3140" s="8"/>
    </row>
    <row r="3141" spans="1:25" x14ac:dyDescent="0.25">
      <c r="A3141" t="str">
        <f>"11-0366"</f>
        <v>11-0366</v>
      </c>
      <c r="D3141" s="8">
        <v>40700</v>
      </c>
      <c r="F3141" s="8">
        <v>40700</v>
      </c>
      <c r="G3141" s="8">
        <v>40700</v>
      </c>
      <c r="Y3141" s="8"/>
    </row>
    <row r="3142" spans="1:25" x14ac:dyDescent="0.25">
      <c r="A3142" t="str">
        <f>"11-0367"</f>
        <v>11-0367</v>
      </c>
      <c r="D3142" s="8">
        <v>40700</v>
      </c>
      <c r="F3142" s="8">
        <v>40700</v>
      </c>
      <c r="G3142" s="8">
        <v>40700</v>
      </c>
      <c r="Y3142" s="8"/>
    </row>
    <row r="3143" spans="1:25" x14ac:dyDescent="0.25">
      <c r="A3143" t="str">
        <f>"11-0360"</f>
        <v>11-0360</v>
      </c>
      <c r="D3143" s="8">
        <v>40697</v>
      </c>
      <c r="F3143" s="8">
        <v>40697</v>
      </c>
      <c r="G3143" s="8">
        <v>40700</v>
      </c>
      <c r="Y3143" s="8"/>
    </row>
    <row r="3144" spans="1:25" x14ac:dyDescent="0.25">
      <c r="A3144" t="str">
        <f>"11-0361"</f>
        <v>11-0361</v>
      </c>
      <c r="D3144" s="8">
        <v>40697</v>
      </c>
      <c r="F3144" s="8">
        <v>40701</v>
      </c>
      <c r="G3144" s="8">
        <v>40700</v>
      </c>
      <c r="Y3144" s="8"/>
    </row>
    <row r="3145" spans="1:25" x14ac:dyDescent="0.25">
      <c r="A3145" t="str">
        <f>"11-0362"</f>
        <v>11-0362</v>
      </c>
      <c r="D3145" s="8">
        <v>40697</v>
      </c>
      <c r="F3145" s="8">
        <v>40701</v>
      </c>
      <c r="G3145" s="8">
        <v>40700</v>
      </c>
      <c r="Y3145" s="8"/>
    </row>
    <row r="3146" spans="1:25" x14ac:dyDescent="0.25">
      <c r="A3146" t="str">
        <f>"11-0363"</f>
        <v>11-0363</v>
      </c>
      <c r="D3146" s="8">
        <v>40697</v>
      </c>
      <c r="F3146" s="8">
        <v>40700</v>
      </c>
      <c r="G3146" s="8">
        <v>40700</v>
      </c>
      <c r="Y3146" s="8"/>
    </row>
    <row r="3147" spans="1:25" x14ac:dyDescent="0.25">
      <c r="A3147" t="str">
        <f>"11-0364"</f>
        <v>11-0364</v>
      </c>
      <c r="D3147" s="8">
        <v>40697</v>
      </c>
      <c r="F3147" s="8">
        <v>40697</v>
      </c>
      <c r="G3147" s="8">
        <v>40697</v>
      </c>
      <c r="Y3147" s="8"/>
    </row>
    <row r="3148" spans="1:25" x14ac:dyDescent="0.25">
      <c r="A3148" t="str">
        <f>"11-0365"</f>
        <v>11-0365</v>
      </c>
      <c r="D3148" s="8">
        <v>40697</v>
      </c>
      <c r="F3148" s="8">
        <v>40697</v>
      </c>
      <c r="G3148" s="8">
        <v>40702</v>
      </c>
      <c r="Y3148" s="8"/>
    </row>
    <row r="3149" spans="1:25" x14ac:dyDescent="0.25">
      <c r="A3149" t="str">
        <f>"11-0352"</f>
        <v>11-0352</v>
      </c>
      <c r="D3149" s="8">
        <v>40695</v>
      </c>
      <c r="F3149" s="8">
        <v>40695</v>
      </c>
      <c r="G3149" s="8">
        <v>40695</v>
      </c>
      <c r="Y3149" s="8"/>
    </row>
    <row r="3150" spans="1:25" x14ac:dyDescent="0.25">
      <c r="A3150" t="str">
        <f>"11-0353"</f>
        <v>11-0353</v>
      </c>
      <c r="D3150" s="8">
        <v>40695</v>
      </c>
      <c r="F3150" s="8">
        <v>40695</v>
      </c>
      <c r="G3150" s="8">
        <v>40695</v>
      </c>
      <c r="Y3150" s="8"/>
    </row>
    <row r="3151" spans="1:25" x14ac:dyDescent="0.25">
      <c r="A3151" t="str">
        <f>"11-0354"</f>
        <v>11-0354</v>
      </c>
      <c r="D3151" s="8">
        <v>40695</v>
      </c>
      <c r="F3151" s="8">
        <v>40695</v>
      </c>
      <c r="G3151" s="8">
        <v>40695</v>
      </c>
      <c r="Y3151" s="8"/>
    </row>
    <row r="3152" spans="1:25" x14ac:dyDescent="0.25">
      <c r="A3152" t="str">
        <f>"11-0355"</f>
        <v>11-0355</v>
      </c>
      <c r="D3152" s="8">
        <v>40695</v>
      </c>
      <c r="F3152" s="8">
        <v>40695</v>
      </c>
      <c r="G3152" s="8">
        <v>40694</v>
      </c>
      <c r="Y3152" s="8"/>
    </row>
    <row r="3153" spans="1:25" x14ac:dyDescent="0.25">
      <c r="A3153" t="str">
        <f>"11-0356"</f>
        <v>11-0356</v>
      </c>
      <c r="D3153" s="8">
        <v>40695</v>
      </c>
      <c r="F3153" s="8">
        <v>40695</v>
      </c>
      <c r="G3153" s="8">
        <v>40695</v>
      </c>
      <c r="Y3153" s="8"/>
    </row>
    <row r="3154" spans="1:25" x14ac:dyDescent="0.25">
      <c r="A3154" t="str">
        <f>"11-0357"</f>
        <v>11-0357</v>
      </c>
      <c r="D3154" s="8">
        <v>40695</v>
      </c>
      <c r="G3154" s="8">
        <v>40700</v>
      </c>
    </row>
    <row r="3155" spans="1:25" x14ac:dyDescent="0.25">
      <c r="A3155" t="str">
        <f>"11-0358"</f>
        <v>11-0358</v>
      </c>
      <c r="D3155" s="8">
        <v>40695</v>
      </c>
      <c r="F3155" s="8">
        <v>40710</v>
      </c>
      <c r="G3155" s="8">
        <v>40700</v>
      </c>
      <c r="Y3155" s="8"/>
    </row>
    <row r="3156" spans="1:25" x14ac:dyDescent="0.25">
      <c r="A3156" t="str">
        <f>"11-0359"</f>
        <v>11-0359</v>
      </c>
      <c r="D3156" s="8">
        <v>40695</v>
      </c>
      <c r="F3156" s="8">
        <v>40695</v>
      </c>
      <c r="G3156" s="8">
        <v>40695</v>
      </c>
      <c r="Y3156" s="8"/>
    </row>
    <row r="3157" spans="1:25" x14ac:dyDescent="0.25">
      <c r="A3157" t="str">
        <f>"11-0348"</f>
        <v>11-0348</v>
      </c>
      <c r="D3157" s="8">
        <v>40694</v>
      </c>
      <c r="F3157" s="8">
        <v>40694</v>
      </c>
      <c r="G3157" s="8">
        <v>40694</v>
      </c>
      <c r="Y3157" s="8"/>
    </row>
    <row r="3158" spans="1:25" x14ac:dyDescent="0.25">
      <c r="A3158" t="str">
        <f>"11-0349"</f>
        <v>11-0349</v>
      </c>
      <c r="D3158" s="8">
        <v>40694</v>
      </c>
      <c r="F3158" s="8">
        <v>40708</v>
      </c>
      <c r="G3158" s="8">
        <v>40700</v>
      </c>
      <c r="Y3158" s="8"/>
    </row>
    <row r="3159" spans="1:25" x14ac:dyDescent="0.25">
      <c r="A3159" t="str">
        <f>"11-0350"</f>
        <v>11-0350</v>
      </c>
      <c r="D3159" s="8">
        <v>40694</v>
      </c>
      <c r="F3159" s="8">
        <v>40708</v>
      </c>
      <c r="G3159" s="8">
        <v>40694</v>
      </c>
      <c r="Y3159" s="8"/>
    </row>
    <row r="3160" spans="1:25" x14ac:dyDescent="0.25">
      <c r="A3160" t="str">
        <f>"11-0351"</f>
        <v>11-0351</v>
      </c>
      <c r="D3160" s="8">
        <v>40694</v>
      </c>
      <c r="F3160" s="8">
        <v>40701</v>
      </c>
      <c r="G3160" s="8">
        <v>40694</v>
      </c>
      <c r="Y3160" s="8"/>
    </row>
    <row r="3161" spans="1:25" x14ac:dyDescent="0.25">
      <c r="A3161" t="str">
        <f>"11-0368"</f>
        <v>11-0368</v>
      </c>
      <c r="D3161" s="8">
        <v>40694</v>
      </c>
      <c r="F3161" s="8">
        <v>40700</v>
      </c>
      <c r="G3161" s="8">
        <v>40694</v>
      </c>
      <c r="Y3161" s="8"/>
    </row>
    <row r="3162" spans="1:25" x14ac:dyDescent="0.25">
      <c r="A3162" t="str">
        <f>"10-0419B"</f>
        <v>10-0419B</v>
      </c>
      <c r="D3162" s="8">
        <v>40690</v>
      </c>
      <c r="F3162" s="8">
        <v>40835</v>
      </c>
      <c r="G3162" s="8">
        <v>40690</v>
      </c>
      <c r="Y3162" s="8"/>
    </row>
    <row r="3163" spans="1:25" x14ac:dyDescent="0.25">
      <c r="A3163" t="str">
        <f>"11-0346"</f>
        <v>11-0346</v>
      </c>
      <c r="D3163" s="8">
        <v>40690</v>
      </c>
      <c r="F3163" s="8">
        <v>40690</v>
      </c>
      <c r="G3163" s="8">
        <v>40693</v>
      </c>
      <c r="Y3163" s="8"/>
    </row>
    <row r="3164" spans="1:25" x14ac:dyDescent="0.25">
      <c r="A3164" t="str">
        <f>"11-0347"</f>
        <v>11-0347</v>
      </c>
      <c r="D3164" s="8">
        <v>40690</v>
      </c>
      <c r="F3164" s="8">
        <v>40690</v>
      </c>
      <c r="G3164" s="8">
        <v>40690</v>
      </c>
      <c r="Y3164" s="8"/>
    </row>
    <row r="3165" spans="1:25" x14ac:dyDescent="0.25">
      <c r="A3165" t="str">
        <f>"11-0316B"</f>
        <v>11-0316B</v>
      </c>
      <c r="D3165" s="8">
        <v>40689</v>
      </c>
      <c r="F3165" s="8">
        <v>40689</v>
      </c>
      <c r="G3165" s="8">
        <v>40689</v>
      </c>
      <c r="Y3165" s="8"/>
    </row>
    <row r="3166" spans="1:25" x14ac:dyDescent="0.25">
      <c r="A3166" t="str">
        <f>"11-0343"</f>
        <v>11-0343</v>
      </c>
      <c r="D3166" s="8">
        <v>40689</v>
      </c>
      <c r="F3166" s="8">
        <v>40689</v>
      </c>
      <c r="G3166" s="8">
        <v>40689</v>
      </c>
      <c r="Y3166" s="8"/>
    </row>
    <row r="3167" spans="1:25" x14ac:dyDescent="0.25">
      <c r="A3167" t="str">
        <f>"11-0343B"</f>
        <v>11-0343B</v>
      </c>
      <c r="D3167" s="8">
        <v>40689</v>
      </c>
      <c r="F3167" s="8">
        <v>40689</v>
      </c>
      <c r="G3167" s="8">
        <v>40689</v>
      </c>
      <c r="Y3167" s="8"/>
    </row>
    <row r="3168" spans="1:25" x14ac:dyDescent="0.25">
      <c r="A3168" t="str">
        <f>"11-0344"</f>
        <v>11-0344</v>
      </c>
      <c r="D3168" s="8">
        <v>40689</v>
      </c>
      <c r="F3168" s="8">
        <v>40800</v>
      </c>
      <c r="G3168" s="8">
        <v>40689</v>
      </c>
      <c r="Y3168" s="8"/>
    </row>
    <row r="3169" spans="1:25" x14ac:dyDescent="0.25">
      <c r="A3169" t="str">
        <f>"11-0345"</f>
        <v>11-0345</v>
      </c>
      <c r="D3169" s="8">
        <v>40689</v>
      </c>
      <c r="F3169" s="8">
        <v>40697</v>
      </c>
      <c r="G3169" s="8">
        <v>40700</v>
      </c>
      <c r="Y3169" s="8"/>
    </row>
    <row r="3170" spans="1:25" x14ac:dyDescent="0.25">
      <c r="A3170" t="str">
        <f>"11-0336"</f>
        <v>11-0336</v>
      </c>
      <c r="D3170" s="8">
        <v>40688</v>
      </c>
      <c r="F3170" s="8">
        <v>40694</v>
      </c>
      <c r="G3170" s="8">
        <v>40690</v>
      </c>
      <c r="Y3170" s="8"/>
    </row>
    <row r="3171" spans="1:25" x14ac:dyDescent="0.25">
      <c r="A3171" t="str">
        <f>"11-0337"</f>
        <v>11-0337</v>
      </c>
      <c r="D3171" s="8">
        <v>40688</v>
      </c>
      <c r="F3171" s="8">
        <v>40688</v>
      </c>
      <c r="G3171" s="8">
        <v>40688</v>
      </c>
      <c r="Y3171" s="8"/>
    </row>
    <row r="3172" spans="1:25" x14ac:dyDescent="0.25">
      <c r="A3172" t="str">
        <f>"11-0338"</f>
        <v>11-0338</v>
      </c>
      <c r="D3172" s="8">
        <v>40688</v>
      </c>
      <c r="F3172" s="8">
        <v>41032</v>
      </c>
      <c r="G3172" s="8">
        <v>40688</v>
      </c>
      <c r="Y3172" s="8"/>
    </row>
    <row r="3173" spans="1:25" x14ac:dyDescent="0.25">
      <c r="A3173" t="str">
        <f>"11-0339"</f>
        <v>11-0339</v>
      </c>
      <c r="D3173" s="8">
        <v>40688</v>
      </c>
      <c r="F3173" s="8">
        <v>40688</v>
      </c>
      <c r="G3173" s="8">
        <v>40688</v>
      </c>
      <c r="Y3173" s="8"/>
    </row>
    <row r="3174" spans="1:25" x14ac:dyDescent="0.25">
      <c r="A3174" t="str">
        <f>"11-0340"</f>
        <v>11-0340</v>
      </c>
      <c r="D3174" s="8">
        <v>40688</v>
      </c>
      <c r="F3174" s="8">
        <v>40688</v>
      </c>
      <c r="G3174" s="8">
        <v>40688</v>
      </c>
      <c r="Y3174" s="8"/>
    </row>
    <row r="3175" spans="1:25" x14ac:dyDescent="0.25">
      <c r="A3175" t="str">
        <f>"11-0341"</f>
        <v>11-0341</v>
      </c>
      <c r="D3175" s="8">
        <v>40688</v>
      </c>
      <c r="F3175" s="8">
        <v>40688</v>
      </c>
      <c r="G3175" s="8">
        <v>40688</v>
      </c>
      <c r="Y3175" s="8"/>
    </row>
    <row r="3176" spans="1:25" x14ac:dyDescent="0.25">
      <c r="A3176" t="str">
        <f>"11-0342"</f>
        <v>11-0342</v>
      </c>
      <c r="D3176" s="8">
        <v>40688</v>
      </c>
      <c r="F3176" s="8">
        <v>40809</v>
      </c>
      <c r="G3176" s="8">
        <v>40688</v>
      </c>
      <c r="Y3176" s="8"/>
    </row>
    <row r="3177" spans="1:25" x14ac:dyDescent="0.25">
      <c r="A3177" t="str">
        <f>"11-0333"</f>
        <v>11-0333</v>
      </c>
      <c r="D3177" s="8">
        <v>40687</v>
      </c>
      <c r="F3177" s="8">
        <v>40687</v>
      </c>
      <c r="G3177" s="8">
        <v>40687</v>
      </c>
      <c r="Y3177" s="8"/>
    </row>
    <row r="3178" spans="1:25" x14ac:dyDescent="0.25">
      <c r="A3178" t="str">
        <f>"11-0334"</f>
        <v>11-0334</v>
      </c>
      <c r="D3178" s="8">
        <v>40687</v>
      </c>
      <c r="F3178" s="8">
        <v>40687</v>
      </c>
      <c r="G3178" s="8">
        <v>40687</v>
      </c>
      <c r="Y3178" s="8"/>
    </row>
    <row r="3179" spans="1:25" x14ac:dyDescent="0.25">
      <c r="A3179" t="str">
        <f>"11-0335"</f>
        <v>11-0335</v>
      </c>
      <c r="D3179" s="8">
        <v>40687</v>
      </c>
      <c r="F3179" s="8">
        <v>40701</v>
      </c>
      <c r="G3179" s="8">
        <v>40687</v>
      </c>
      <c r="Y3179" s="8"/>
    </row>
    <row r="3180" spans="1:25" x14ac:dyDescent="0.25">
      <c r="A3180" t="str">
        <f>"11-0331"</f>
        <v>11-0331</v>
      </c>
      <c r="D3180" s="8">
        <v>40686</v>
      </c>
      <c r="F3180" s="8">
        <v>40686</v>
      </c>
      <c r="G3180" s="8">
        <v>40686</v>
      </c>
      <c r="Y3180" s="8"/>
    </row>
    <row r="3181" spans="1:25" x14ac:dyDescent="0.25">
      <c r="A3181" t="str">
        <f>"11-0332"</f>
        <v>11-0332</v>
      </c>
      <c r="D3181" s="8">
        <v>40686</v>
      </c>
      <c r="F3181" s="8">
        <v>40686</v>
      </c>
      <c r="G3181" s="8">
        <v>40686</v>
      </c>
      <c r="Y3181" s="8"/>
    </row>
    <row r="3182" spans="1:25" x14ac:dyDescent="0.25">
      <c r="A3182" t="str">
        <f>"11-0329"</f>
        <v>11-0329</v>
      </c>
      <c r="D3182" s="8">
        <v>40683</v>
      </c>
      <c r="F3182" s="8">
        <v>40683</v>
      </c>
      <c r="G3182" s="8">
        <v>40680</v>
      </c>
      <c r="Y3182" s="8"/>
    </row>
    <row r="3183" spans="1:25" x14ac:dyDescent="0.25">
      <c r="A3183" t="str">
        <f>"11-0330"</f>
        <v>11-0330</v>
      </c>
      <c r="D3183" s="8">
        <v>40683</v>
      </c>
      <c r="F3183" s="8">
        <v>40683</v>
      </c>
      <c r="G3183" s="8">
        <v>40683</v>
      </c>
      <c r="Y3183" s="8"/>
    </row>
    <row r="3184" spans="1:25" x14ac:dyDescent="0.25">
      <c r="A3184" t="str">
        <f>"11-0323"</f>
        <v>11-0323</v>
      </c>
      <c r="D3184" s="8">
        <v>40682</v>
      </c>
      <c r="F3184" s="8">
        <v>40690</v>
      </c>
      <c r="G3184" s="8">
        <v>40682</v>
      </c>
      <c r="Y3184" s="8"/>
    </row>
    <row r="3185" spans="1:25" x14ac:dyDescent="0.25">
      <c r="A3185" t="str">
        <f>"11-0324"</f>
        <v>11-0324</v>
      </c>
      <c r="D3185" s="8">
        <v>40682</v>
      </c>
      <c r="F3185" s="8">
        <v>40682</v>
      </c>
      <c r="G3185" s="8">
        <v>40681</v>
      </c>
      <c r="Y3185" s="8"/>
    </row>
    <row r="3186" spans="1:25" x14ac:dyDescent="0.25">
      <c r="A3186" t="str">
        <f>"11-0325"</f>
        <v>11-0325</v>
      </c>
      <c r="D3186" s="8">
        <v>40682</v>
      </c>
      <c r="F3186" s="8">
        <v>40682</v>
      </c>
      <c r="G3186" s="8">
        <v>40682</v>
      </c>
      <c r="Y3186" s="8"/>
    </row>
    <row r="3187" spans="1:25" x14ac:dyDescent="0.25">
      <c r="A3187" t="str">
        <f>"11-0326"</f>
        <v>11-0326</v>
      </c>
      <c r="D3187" s="8">
        <v>40682</v>
      </c>
      <c r="F3187" s="8">
        <v>40682</v>
      </c>
      <c r="G3187" s="8">
        <v>40682</v>
      </c>
      <c r="Y3187" s="8"/>
    </row>
    <row r="3188" spans="1:25" x14ac:dyDescent="0.25">
      <c r="A3188" t="str">
        <f>"11-0327"</f>
        <v>11-0327</v>
      </c>
      <c r="D3188" s="8">
        <v>40682</v>
      </c>
      <c r="F3188" s="8">
        <v>40682</v>
      </c>
      <c r="G3188" s="8">
        <v>40679</v>
      </c>
      <c r="Y3188" s="8"/>
    </row>
    <row r="3189" spans="1:25" x14ac:dyDescent="0.25">
      <c r="A3189" t="str">
        <f>"11-0328"</f>
        <v>11-0328</v>
      </c>
      <c r="D3189" s="8">
        <v>40682</v>
      </c>
      <c r="F3189" s="8">
        <v>40682</v>
      </c>
      <c r="G3189" s="8">
        <v>40682</v>
      </c>
      <c r="Y3189" s="8"/>
    </row>
    <row r="3190" spans="1:25" x14ac:dyDescent="0.25">
      <c r="A3190" t="str">
        <f>"11-0321"</f>
        <v>11-0321</v>
      </c>
      <c r="D3190" s="8">
        <v>40681</v>
      </c>
      <c r="F3190" s="8">
        <v>40681</v>
      </c>
      <c r="G3190" s="8">
        <v>40681</v>
      </c>
      <c r="Y3190" s="8"/>
    </row>
    <row r="3191" spans="1:25" x14ac:dyDescent="0.25">
      <c r="A3191" t="str">
        <f>"11-0319"</f>
        <v>11-0319</v>
      </c>
      <c r="D3191" s="8">
        <v>40680</v>
      </c>
      <c r="F3191" s="8">
        <v>40680</v>
      </c>
      <c r="G3191" s="8">
        <v>40679</v>
      </c>
      <c r="Y3191" s="8"/>
    </row>
    <row r="3192" spans="1:25" x14ac:dyDescent="0.25">
      <c r="A3192" t="str">
        <f>"11-0320"</f>
        <v>11-0320</v>
      </c>
      <c r="D3192" s="8">
        <v>40680</v>
      </c>
      <c r="F3192" s="8">
        <v>40680</v>
      </c>
      <c r="G3192" s="8">
        <v>40679</v>
      </c>
      <c r="Y3192" s="8"/>
    </row>
    <row r="3193" spans="1:25" x14ac:dyDescent="0.25">
      <c r="A3193" t="str">
        <f>"10-0714C"</f>
        <v>10-0714C</v>
      </c>
      <c r="D3193" s="8">
        <v>40679</v>
      </c>
      <c r="F3193" s="8">
        <v>40679</v>
      </c>
      <c r="G3193" s="8">
        <v>40679</v>
      </c>
      <c r="Y3193" s="8"/>
    </row>
    <row r="3194" spans="1:25" x14ac:dyDescent="0.25">
      <c r="A3194" t="str">
        <f>"11-0316"</f>
        <v>11-0316</v>
      </c>
      <c r="D3194" s="8">
        <v>40679</v>
      </c>
      <c r="F3194" s="8">
        <v>40680</v>
      </c>
      <c r="G3194" s="8">
        <v>40679</v>
      </c>
      <c r="Y3194" s="8"/>
    </row>
    <row r="3195" spans="1:25" x14ac:dyDescent="0.25">
      <c r="A3195" t="str">
        <f>"11-0317"</f>
        <v>11-0317</v>
      </c>
      <c r="D3195" s="8">
        <v>40679</v>
      </c>
      <c r="F3195" s="8">
        <v>40722</v>
      </c>
      <c r="G3195" s="8">
        <v>40679</v>
      </c>
      <c r="Y3195" s="8"/>
    </row>
    <row r="3196" spans="1:25" x14ac:dyDescent="0.25">
      <c r="A3196" t="str">
        <f>"11-0318"</f>
        <v>11-0318</v>
      </c>
      <c r="D3196" s="8">
        <v>40679</v>
      </c>
      <c r="F3196" s="8">
        <v>40722</v>
      </c>
      <c r="G3196" s="8">
        <v>40679</v>
      </c>
      <c r="Y3196" s="8"/>
    </row>
    <row r="3197" spans="1:25" x14ac:dyDescent="0.25">
      <c r="A3197" t="str">
        <f>"11-0305B"</f>
        <v>11-0305B</v>
      </c>
      <c r="D3197" s="8">
        <v>40676</v>
      </c>
      <c r="F3197" s="8">
        <v>40676</v>
      </c>
      <c r="G3197" s="8">
        <v>40676</v>
      </c>
      <c r="Y3197" s="8"/>
    </row>
    <row r="3198" spans="1:25" x14ac:dyDescent="0.25">
      <c r="A3198" t="str">
        <f>"11-0313"</f>
        <v>11-0313</v>
      </c>
      <c r="D3198" s="8">
        <v>40676</v>
      </c>
      <c r="F3198" s="8">
        <v>40676</v>
      </c>
      <c r="G3198" s="8">
        <v>40676</v>
      </c>
      <c r="Y3198" s="8"/>
    </row>
    <row r="3199" spans="1:25" x14ac:dyDescent="0.25">
      <c r="A3199" t="str">
        <f>"11-0314"</f>
        <v>11-0314</v>
      </c>
      <c r="D3199" s="8">
        <v>40676</v>
      </c>
      <c r="F3199" s="8">
        <v>40676</v>
      </c>
      <c r="G3199" s="8">
        <v>40676</v>
      </c>
      <c r="Y3199" s="8"/>
    </row>
    <row r="3200" spans="1:25" x14ac:dyDescent="0.25">
      <c r="A3200" t="str">
        <f>"11-0315"</f>
        <v>11-0315</v>
      </c>
      <c r="D3200" s="8">
        <v>40676</v>
      </c>
      <c r="F3200" s="8">
        <v>40702</v>
      </c>
      <c r="G3200" s="8">
        <v>40676</v>
      </c>
      <c r="Y3200" s="8"/>
    </row>
    <row r="3201" spans="1:25" x14ac:dyDescent="0.25">
      <c r="A3201" t="str">
        <f>"11-0251B"</f>
        <v>11-0251B</v>
      </c>
      <c r="D3201" s="8">
        <v>40675</v>
      </c>
      <c r="F3201" s="8">
        <v>40675</v>
      </c>
      <c r="G3201" s="8">
        <v>40675</v>
      </c>
      <c r="Y3201" s="8"/>
    </row>
    <row r="3202" spans="1:25" x14ac:dyDescent="0.25">
      <c r="A3202" t="str">
        <f>"11-0310"</f>
        <v>11-0310</v>
      </c>
      <c r="D3202" s="8">
        <v>40675</v>
      </c>
      <c r="F3202" s="8">
        <v>40675</v>
      </c>
      <c r="G3202" s="8">
        <v>40675</v>
      </c>
      <c r="Y3202" s="8"/>
    </row>
    <row r="3203" spans="1:25" x14ac:dyDescent="0.25">
      <c r="A3203" t="str">
        <f>"11-0311"</f>
        <v>11-0311</v>
      </c>
      <c r="D3203" s="8">
        <v>40675</v>
      </c>
      <c r="F3203" s="8">
        <v>40675</v>
      </c>
      <c r="G3203" s="8">
        <v>40675</v>
      </c>
      <c r="Y3203" s="8"/>
    </row>
    <row r="3204" spans="1:25" x14ac:dyDescent="0.25">
      <c r="A3204" t="str">
        <f>"11-0312"</f>
        <v>11-0312</v>
      </c>
      <c r="D3204" s="8">
        <v>40675</v>
      </c>
      <c r="F3204" s="8">
        <v>40675</v>
      </c>
      <c r="G3204" s="8">
        <v>40675</v>
      </c>
      <c r="Y3204" s="8"/>
    </row>
    <row r="3205" spans="1:25" x14ac:dyDescent="0.25">
      <c r="A3205" t="str">
        <f>"11-0322"</f>
        <v>11-0322</v>
      </c>
      <c r="D3205" s="8">
        <v>40675</v>
      </c>
      <c r="F3205" s="8">
        <v>40682</v>
      </c>
      <c r="G3205" s="8">
        <v>40682</v>
      </c>
      <c r="Y3205" s="8"/>
    </row>
    <row r="3206" spans="1:25" x14ac:dyDescent="0.25">
      <c r="A3206" t="str">
        <f>"11-0308"</f>
        <v>11-0308</v>
      </c>
      <c r="D3206" s="8">
        <v>40674</v>
      </c>
      <c r="G3206" s="8">
        <v>40683</v>
      </c>
    </row>
    <row r="3207" spans="1:25" x14ac:dyDescent="0.25">
      <c r="A3207" t="str">
        <f>"11-0309"</f>
        <v>11-0309</v>
      </c>
      <c r="D3207" s="8">
        <v>40674</v>
      </c>
      <c r="F3207" s="8">
        <v>40674</v>
      </c>
      <c r="G3207" s="8">
        <v>40674</v>
      </c>
      <c r="Y3207" s="8"/>
    </row>
    <row r="3208" spans="1:25" x14ac:dyDescent="0.25">
      <c r="A3208" t="str">
        <f>"11-0307"</f>
        <v>11-0307</v>
      </c>
      <c r="D3208" s="8">
        <v>40673</v>
      </c>
      <c r="F3208" s="8">
        <v>40673</v>
      </c>
      <c r="G3208" s="8">
        <v>40653</v>
      </c>
      <c r="Y3208" s="8"/>
    </row>
    <row r="3209" spans="1:25" x14ac:dyDescent="0.25">
      <c r="A3209" t="str">
        <f>"11-0303"</f>
        <v>11-0303</v>
      </c>
      <c r="D3209" s="8">
        <v>40672</v>
      </c>
      <c r="F3209" s="8">
        <v>40687</v>
      </c>
      <c r="G3209" s="8">
        <v>40669</v>
      </c>
      <c r="Y3209" s="8"/>
    </row>
    <row r="3210" spans="1:25" x14ac:dyDescent="0.25">
      <c r="A3210" t="str">
        <f>"11-0304"</f>
        <v>11-0304</v>
      </c>
      <c r="D3210" s="8">
        <v>40672</v>
      </c>
      <c r="F3210" s="8">
        <v>40672</v>
      </c>
      <c r="G3210" s="8">
        <v>40672</v>
      </c>
      <c r="Y3210" s="8"/>
    </row>
    <row r="3211" spans="1:25" x14ac:dyDescent="0.25">
      <c r="A3211" t="str">
        <f>"11-0305"</f>
        <v>11-0305</v>
      </c>
      <c r="D3211" s="8">
        <v>40672</v>
      </c>
      <c r="F3211" s="8">
        <v>40672</v>
      </c>
      <c r="G3211" s="8">
        <v>40672</v>
      </c>
      <c r="Y3211" s="8"/>
    </row>
    <row r="3212" spans="1:25" x14ac:dyDescent="0.25">
      <c r="A3212" t="str">
        <f>"11-0306"</f>
        <v>11-0306</v>
      </c>
      <c r="D3212" s="8">
        <v>40672</v>
      </c>
      <c r="F3212" s="8">
        <v>40672</v>
      </c>
      <c r="G3212" s="8">
        <v>40676</v>
      </c>
      <c r="Y3212" s="8"/>
    </row>
    <row r="3213" spans="1:25" x14ac:dyDescent="0.25">
      <c r="A3213" t="str">
        <f>"11-0110B"</f>
        <v>11-0110B</v>
      </c>
      <c r="D3213" s="8">
        <v>40669</v>
      </c>
      <c r="F3213" s="8">
        <v>40669</v>
      </c>
      <c r="G3213" s="8">
        <v>40669</v>
      </c>
      <c r="Y3213" s="8"/>
    </row>
    <row r="3214" spans="1:25" x14ac:dyDescent="0.25">
      <c r="A3214" t="str">
        <f>"11-0298"</f>
        <v>11-0298</v>
      </c>
      <c r="D3214" s="8">
        <v>40669</v>
      </c>
      <c r="F3214" s="8">
        <v>40669</v>
      </c>
      <c r="G3214" s="8">
        <v>40669</v>
      </c>
      <c r="Y3214" s="8"/>
    </row>
    <row r="3215" spans="1:25" x14ac:dyDescent="0.25">
      <c r="A3215" t="str">
        <f>"11-0299"</f>
        <v>11-0299</v>
      </c>
      <c r="D3215" s="8">
        <v>40669</v>
      </c>
      <c r="F3215" s="8">
        <v>40673</v>
      </c>
      <c r="G3215" s="8">
        <v>40676</v>
      </c>
      <c r="Y3215" s="8"/>
    </row>
    <row r="3216" spans="1:25" x14ac:dyDescent="0.25">
      <c r="A3216" t="str">
        <f>"11-0300"</f>
        <v>11-0300</v>
      </c>
      <c r="D3216" s="8">
        <v>40669</v>
      </c>
      <c r="F3216" s="8">
        <v>40689</v>
      </c>
      <c r="G3216" s="8">
        <v>40689</v>
      </c>
      <c r="Y3216" s="8"/>
    </row>
    <row r="3217" spans="1:25" x14ac:dyDescent="0.25">
      <c r="A3217" t="str">
        <f>"11-0301"</f>
        <v>11-0301</v>
      </c>
      <c r="D3217" s="8">
        <v>40669</v>
      </c>
      <c r="F3217" s="8">
        <v>40669</v>
      </c>
      <c r="G3217" s="8">
        <v>40669</v>
      </c>
      <c r="Y3217" s="8"/>
    </row>
    <row r="3218" spans="1:25" x14ac:dyDescent="0.25">
      <c r="A3218" t="str">
        <f>"11-0302"</f>
        <v>11-0302</v>
      </c>
      <c r="D3218" s="8">
        <v>40669</v>
      </c>
      <c r="F3218" s="8">
        <v>40681</v>
      </c>
      <c r="G3218" s="8">
        <v>40669</v>
      </c>
    </row>
    <row r="3219" spans="1:25" x14ac:dyDescent="0.25">
      <c r="A3219" t="str">
        <f>"11-0294"</f>
        <v>11-0294</v>
      </c>
      <c r="D3219" s="8">
        <v>40668</v>
      </c>
      <c r="F3219" s="8">
        <v>40675</v>
      </c>
      <c r="G3219" s="8">
        <v>40669</v>
      </c>
      <c r="Y3219" s="8"/>
    </row>
    <row r="3220" spans="1:25" x14ac:dyDescent="0.25">
      <c r="A3220" t="str">
        <f>"11-0295"</f>
        <v>11-0295</v>
      </c>
      <c r="D3220" s="8">
        <v>40668</v>
      </c>
      <c r="F3220" s="8">
        <v>40668</v>
      </c>
      <c r="G3220" s="8">
        <v>40668</v>
      </c>
      <c r="Y3220" s="8"/>
    </row>
    <row r="3221" spans="1:25" x14ac:dyDescent="0.25">
      <c r="A3221" t="str">
        <f>"11-0296"</f>
        <v>11-0296</v>
      </c>
      <c r="D3221" s="8">
        <v>40668</v>
      </c>
      <c r="F3221" s="8">
        <v>40668</v>
      </c>
      <c r="G3221" s="8">
        <v>40668</v>
      </c>
      <c r="Y3221" s="8"/>
    </row>
    <row r="3222" spans="1:25" x14ac:dyDescent="0.25">
      <c r="A3222" t="str">
        <f>"11-0297"</f>
        <v>11-0297</v>
      </c>
      <c r="D3222" s="8">
        <v>40668</v>
      </c>
      <c r="F3222" s="8">
        <v>40676</v>
      </c>
      <c r="G3222" s="8">
        <v>40674</v>
      </c>
      <c r="Y3222" s="8"/>
    </row>
    <row r="3223" spans="1:25" x14ac:dyDescent="0.25">
      <c r="A3223" t="str">
        <f>"11-0292"</f>
        <v>11-0292</v>
      </c>
      <c r="D3223" s="8">
        <v>40667</v>
      </c>
      <c r="F3223" s="8">
        <v>40667</v>
      </c>
      <c r="G3223" s="8">
        <v>40667</v>
      </c>
      <c r="Y3223" s="8"/>
    </row>
    <row r="3224" spans="1:25" x14ac:dyDescent="0.25">
      <c r="A3224" t="str">
        <f>"11-0293"</f>
        <v>11-0293</v>
      </c>
      <c r="D3224" s="8">
        <v>40667</v>
      </c>
      <c r="F3224" s="8">
        <v>40667</v>
      </c>
      <c r="G3224" s="8">
        <v>40667</v>
      </c>
      <c r="Y3224" s="8"/>
    </row>
    <row r="3225" spans="1:25" x14ac:dyDescent="0.25">
      <c r="A3225" t="str">
        <f>"11-0291"</f>
        <v>11-0291</v>
      </c>
      <c r="D3225" s="8">
        <v>40666</v>
      </c>
      <c r="F3225" s="8">
        <v>40666</v>
      </c>
      <c r="G3225" s="8">
        <v>40666</v>
      </c>
      <c r="Y3225" s="8"/>
    </row>
    <row r="3226" spans="1:25" x14ac:dyDescent="0.25">
      <c r="A3226" t="str">
        <f>"11-0283"</f>
        <v>11-0283</v>
      </c>
      <c r="D3226" s="8">
        <v>40665</v>
      </c>
      <c r="F3226" s="8">
        <v>40665</v>
      </c>
      <c r="G3226" s="8">
        <v>40665</v>
      </c>
      <c r="Y3226" s="8"/>
    </row>
    <row r="3227" spans="1:25" x14ac:dyDescent="0.25">
      <c r="A3227" t="str">
        <f>"11-0284"</f>
        <v>11-0284</v>
      </c>
      <c r="D3227" s="8">
        <v>40665</v>
      </c>
      <c r="F3227" s="8">
        <v>41610</v>
      </c>
      <c r="G3227" s="8">
        <v>40665</v>
      </c>
      <c r="Y3227" s="8"/>
    </row>
    <row r="3228" spans="1:25" x14ac:dyDescent="0.25">
      <c r="A3228" t="str">
        <f>"11-0285"</f>
        <v>11-0285</v>
      </c>
      <c r="D3228" s="8">
        <v>40665</v>
      </c>
      <c r="F3228" s="8">
        <v>40680</v>
      </c>
      <c r="G3228" s="8">
        <v>40669</v>
      </c>
      <c r="Y3228" s="8"/>
    </row>
    <row r="3229" spans="1:25" x14ac:dyDescent="0.25">
      <c r="A3229" t="str">
        <f>"11-0286"</f>
        <v>11-0286</v>
      </c>
      <c r="D3229" s="8">
        <v>40665</v>
      </c>
      <c r="F3229" s="8">
        <v>40681</v>
      </c>
      <c r="G3229" s="8">
        <v>40669</v>
      </c>
      <c r="Y3229" s="8"/>
    </row>
    <row r="3230" spans="1:25" x14ac:dyDescent="0.25">
      <c r="A3230" t="str">
        <f>"11-0287"</f>
        <v>11-0287</v>
      </c>
      <c r="D3230" s="8">
        <v>40665</v>
      </c>
      <c r="F3230" s="8">
        <v>40668</v>
      </c>
      <c r="G3230" s="8">
        <v>40669</v>
      </c>
      <c r="Y3230" s="8"/>
    </row>
    <row r="3231" spans="1:25" x14ac:dyDescent="0.25">
      <c r="A3231" t="str">
        <f>"11-0288"</f>
        <v>11-0288</v>
      </c>
      <c r="D3231" s="8">
        <v>40665</v>
      </c>
      <c r="F3231" s="8">
        <v>41654</v>
      </c>
      <c r="G3231" s="8">
        <v>40665</v>
      </c>
      <c r="Y3231" s="8"/>
    </row>
    <row r="3232" spans="1:25" x14ac:dyDescent="0.25">
      <c r="A3232" t="str">
        <f>"11-0289"</f>
        <v>11-0289</v>
      </c>
      <c r="D3232" s="8">
        <v>40665</v>
      </c>
      <c r="F3232" s="8">
        <v>40665</v>
      </c>
      <c r="G3232" s="8">
        <v>40665</v>
      </c>
      <c r="Y3232" s="8"/>
    </row>
    <row r="3233" spans="1:25" x14ac:dyDescent="0.25">
      <c r="A3233" t="str">
        <f>"11-0290"</f>
        <v>11-0290</v>
      </c>
      <c r="D3233" s="8">
        <v>40665</v>
      </c>
      <c r="F3233" s="8">
        <v>40665</v>
      </c>
      <c r="G3233" s="8">
        <v>40665</v>
      </c>
      <c r="Y3233" s="8"/>
    </row>
    <row r="3234" spans="1:25" x14ac:dyDescent="0.25">
      <c r="A3234" t="str">
        <f>"11-0274B"</f>
        <v>11-0274B</v>
      </c>
      <c r="D3234" s="8">
        <v>40662</v>
      </c>
      <c r="F3234" s="8">
        <v>40662</v>
      </c>
      <c r="G3234" s="8">
        <v>40662</v>
      </c>
      <c r="Y3234" s="8"/>
    </row>
    <row r="3235" spans="1:25" x14ac:dyDescent="0.25">
      <c r="A3235" t="str">
        <f>"11-0281"</f>
        <v>11-0281</v>
      </c>
      <c r="D3235" s="8">
        <v>40662</v>
      </c>
      <c r="F3235" s="8">
        <v>40675</v>
      </c>
      <c r="G3235" s="8">
        <v>40662</v>
      </c>
      <c r="Y3235" s="8"/>
    </row>
    <row r="3236" spans="1:25" x14ac:dyDescent="0.25">
      <c r="A3236" t="str">
        <f>"11-0282"</f>
        <v>11-0282</v>
      </c>
      <c r="D3236" s="8">
        <v>40662</v>
      </c>
      <c r="F3236" s="8">
        <v>40662</v>
      </c>
      <c r="G3236" s="8">
        <v>40662</v>
      </c>
      <c r="Y3236" s="8"/>
    </row>
    <row r="3237" spans="1:25" x14ac:dyDescent="0.25">
      <c r="A3237" t="str">
        <f>"11-0272"</f>
        <v>11-0272</v>
      </c>
      <c r="D3237" s="8">
        <v>40661</v>
      </c>
      <c r="F3237" s="8">
        <v>40661</v>
      </c>
      <c r="G3237" s="8">
        <v>40661</v>
      </c>
      <c r="Y3237" s="8"/>
    </row>
    <row r="3238" spans="1:25" x14ac:dyDescent="0.25">
      <c r="A3238" t="str">
        <f>"11-0273"</f>
        <v>11-0273</v>
      </c>
      <c r="D3238" s="8">
        <v>40661</v>
      </c>
      <c r="F3238" s="8">
        <v>40666</v>
      </c>
      <c r="G3238" s="8">
        <v>40665</v>
      </c>
      <c r="Y3238" s="8"/>
    </row>
    <row r="3239" spans="1:25" x14ac:dyDescent="0.25">
      <c r="A3239" t="str">
        <f>"11-0274"</f>
        <v>11-0274</v>
      </c>
      <c r="D3239" s="8">
        <v>40661</v>
      </c>
      <c r="F3239" s="8">
        <v>40661</v>
      </c>
      <c r="G3239" s="8">
        <v>40661</v>
      </c>
      <c r="Y3239" s="8"/>
    </row>
    <row r="3240" spans="1:25" x14ac:dyDescent="0.25">
      <c r="A3240" t="str">
        <f>"11-0275"</f>
        <v>11-0275</v>
      </c>
      <c r="D3240" s="8">
        <v>40661</v>
      </c>
      <c r="F3240" s="8">
        <v>40661</v>
      </c>
      <c r="G3240" s="8">
        <v>40661</v>
      </c>
      <c r="Y3240" s="8"/>
    </row>
    <row r="3241" spans="1:25" x14ac:dyDescent="0.25">
      <c r="A3241" t="str">
        <f>"11-0276"</f>
        <v>11-0276</v>
      </c>
      <c r="D3241" s="8">
        <v>40661</v>
      </c>
      <c r="F3241" s="8">
        <v>40661</v>
      </c>
      <c r="G3241" s="8">
        <v>40661</v>
      </c>
      <c r="Y3241" s="8"/>
    </row>
    <row r="3242" spans="1:25" x14ac:dyDescent="0.25">
      <c r="A3242" t="str">
        <f>"11-0277"</f>
        <v>11-0277</v>
      </c>
      <c r="D3242" s="8">
        <v>40661</v>
      </c>
      <c r="F3242" s="8">
        <v>40661</v>
      </c>
      <c r="G3242" s="8">
        <v>40661</v>
      </c>
      <c r="Y3242" s="8"/>
    </row>
    <row r="3243" spans="1:25" x14ac:dyDescent="0.25">
      <c r="A3243" t="str">
        <f>"11-0278"</f>
        <v>11-0278</v>
      </c>
      <c r="D3243" s="8">
        <v>40661</v>
      </c>
      <c r="F3243" s="8">
        <v>40661</v>
      </c>
      <c r="G3243" s="8">
        <v>40661</v>
      </c>
      <c r="Y3243" s="8"/>
    </row>
    <row r="3244" spans="1:25" x14ac:dyDescent="0.25">
      <c r="A3244" t="str">
        <f>"11-0279"</f>
        <v>11-0279</v>
      </c>
      <c r="D3244" s="8">
        <v>40661</v>
      </c>
      <c r="F3244" s="8">
        <v>40686</v>
      </c>
      <c r="G3244" s="8">
        <v>40668</v>
      </c>
      <c r="Y3244" s="8"/>
    </row>
    <row r="3245" spans="1:25" x14ac:dyDescent="0.25">
      <c r="A3245" t="str">
        <f>"11-0280"</f>
        <v>11-0280</v>
      </c>
      <c r="D3245" s="8">
        <v>40661</v>
      </c>
      <c r="F3245" s="8">
        <v>40683</v>
      </c>
      <c r="G3245" s="8">
        <v>40668</v>
      </c>
      <c r="Y3245" s="8"/>
    </row>
    <row r="3246" spans="1:25" x14ac:dyDescent="0.25">
      <c r="A3246" t="str">
        <f>"11-0267"</f>
        <v>11-0267</v>
      </c>
      <c r="D3246" s="8">
        <v>40660</v>
      </c>
      <c r="F3246" s="8">
        <v>40660</v>
      </c>
      <c r="G3246" s="8">
        <v>40660</v>
      </c>
      <c r="Y3246" s="8"/>
    </row>
    <row r="3247" spans="1:25" x14ac:dyDescent="0.25">
      <c r="A3247" t="str">
        <f>"11-0268"</f>
        <v>11-0268</v>
      </c>
      <c r="D3247" s="8">
        <v>40660</v>
      </c>
      <c r="F3247" s="8">
        <v>40660</v>
      </c>
      <c r="G3247" s="8">
        <v>40660</v>
      </c>
      <c r="Y3247" s="8"/>
    </row>
    <row r="3248" spans="1:25" x14ac:dyDescent="0.25">
      <c r="A3248" t="str">
        <f>"11-0269"</f>
        <v>11-0269</v>
      </c>
      <c r="D3248" s="8">
        <v>40660</v>
      </c>
      <c r="F3248" s="8">
        <v>40667</v>
      </c>
      <c r="G3248" s="8">
        <v>40668</v>
      </c>
      <c r="Y3248" s="8"/>
    </row>
    <row r="3249" spans="1:25" x14ac:dyDescent="0.25">
      <c r="A3249" t="str">
        <f>"11-0270"</f>
        <v>11-0270</v>
      </c>
      <c r="D3249" s="8">
        <v>40660</v>
      </c>
      <c r="F3249" s="8">
        <v>40660</v>
      </c>
      <c r="G3249" s="8">
        <v>40660</v>
      </c>
      <c r="Y3249" s="8"/>
    </row>
    <row r="3250" spans="1:25" x14ac:dyDescent="0.25">
      <c r="A3250" t="str">
        <f>"11-0271"</f>
        <v>11-0271</v>
      </c>
      <c r="D3250" s="8">
        <v>40660</v>
      </c>
      <c r="F3250" s="8">
        <v>40660</v>
      </c>
      <c r="G3250" s="8">
        <v>40660</v>
      </c>
      <c r="Y3250" s="8"/>
    </row>
    <row r="3251" spans="1:25" x14ac:dyDescent="0.25">
      <c r="A3251" t="str">
        <f>"11-0263"</f>
        <v>11-0263</v>
      </c>
      <c r="D3251" s="8">
        <v>40659</v>
      </c>
      <c r="F3251" s="8">
        <v>40659</v>
      </c>
      <c r="G3251" s="8">
        <v>40659</v>
      </c>
      <c r="Y3251" s="8"/>
    </row>
    <row r="3252" spans="1:25" x14ac:dyDescent="0.25">
      <c r="A3252" t="str">
        <f>"11-0264"</f>
        <v>11-0264</v>
      </c>
      <c r="D3252" s="8">
        <v>40659</v>
      </c>
      <c r="F3252" s="8">
        <v>40659</v>
      </c>
      <c r="G3252" s="8">
        <v>40659</v>
      </c>
      <c r="Y3252" s="8"/>
    </row>
    <row r="3253" spans="1:25" x14ac:dyDescent="0.25">
      <c r="A3253" t="str">
        <f>"11-0265"</f>
        <v>11-0265</v>
      </c>
      <c r="D3253" s="8">
        <v>40659</v>
      </c>
      <c r="F3253" s="8">
        <v>40659</v>
      </c>
      <c r="G3253" s="8">
        <v>40640</v>
      </c>
      <c r="Y3253" s="8"/>
    </row>
    <row r="3254" spans="1:25" x14ac:dyDescent="0.25">
      <c r="A3254" t="str">
        <f>"11-0266"</f>
        <v>11-0266</v>
      </c>
      <c r="D3254" s="8">
        <v>40659</v>
      </c>
      <c r="F3254" s="8">
        <v>40659</v>
      </c>
      <c r="G3254" s="8">
        <v>40653</v>
      </c>
      <c r="Y3254" s="8"/>
    </row>
    <row r="3255" spans="1:25" x14ac:dyDescent="0.25">
      <c r="A3255" t="str">
        <f>"11-0259"</f>
        <v>11-0259</v>
      </c>
      <c r="D3255" s="8">
        <v>40655</v>
      </c>
      <c r="F3255" s="8">
        <v>40655</v>
      </c>
      <c r="G3255" s="8">
        <v>40655</v>
      </c>
      <c r="Y3255" s="8"/>
    </row>
    <row r="3256" spans="1:25" x14ac:dyDescent="0.25">
      <c r="A3256" t="str">
        <f>"11-0260"</f>
        <v>11-0260</v>
      </c>
      <c r="D3256" s="8">
        <v>40655</v>
      </c>
      <c r="F3256" s="8">
        <v>40655</v>
      </c>
      <c r="G3256" s="8">
        <v>40655</v>
      </c>
      <c r="Y3256" s="8"/>
    </row>
    <row r="3257" spans="1:25" x14ac:dyDescent="0.25">
      <c r="A3257" t="str">
        <f>"11-0261"</f>
        <v>11-0261</v>
      </c>
      <c r="D3257" s="8">
        <v>40655</v>
      </c>
      <c r="F3257" s="8">
        <v>40655</v>
      </c>
      <c r="G3257" s="8">
        <v>40655</v>
      </c>
      <c r="Y3257" s="8"/>
    </row>
    <row r="3258" spans="1:25" x14ac:dyDescent="0.25">
      <c r="A3258" t="str">
        <f>"11-0255"</f>
        <v>11-0255</v>
      </c>
      <c r="D3258" s="8">
        <v>40654</v>
      </c>
      <c r="F3258" s="8">
        <v>40654</v>
      </c>
      <c r="G3258" s="8">
        <v>40654</v>
      </c>
      <c r="Y3258" s="8"/>
    </row>
    <row r="3259" spans="1:25" x14ac:dyDescent="0.25">
      <c r="A3259" t="str">
        <f>"11-0256"</f>
        <v>11-0256</v>
      </c>
      <c r="D3259" s="8">
        <v>40654</v>
      </c>
      <c r="F3259" s="8">
        <v>40654</v>
      </c>
      <c r="G3259" s="8">
        <v>40654</v>
      </c>
      <c r="Y3259" s="8"/>
    </row>
    <row r="3260" spans="1:25" x14ac:dyDescent="0.25">
      <c r="A3260" t="str">
        <f>"11-0257"</f>
        <v>11-0257</v>
      </c>
      <c r="D3260" s="8">
        <v>40654</v>
      </c>
      <c r="F3260" s="8">
        <v>40654</v>
      </c>
      <c r="G3260" s="8">
        <v>40654</v>
      </c>
      <c r="Y3260" s="8"/>
    </row>
    <row r="3261" spans="1:25" x14ac:dyDescent="0.25">
      <c r="A3261" t="str">
        <f>"11-0258"</f>
        <v>11-0258</v>
      </c>
      <c r="D3261" s="8">
        <v>40654</v>
      </c>
      <c r="F3261" s="8">
        <v>40654</v>
      </c>
      <c r="G3261" s="8">
        <v>40654</v>
      </c>
      <c r="Y3261" s="8"/>
    </row>
    <row r="3262" spans="1:25" x14ac:dyDescent="0.25">
      <c r="A3262" t="str">
        <f>"11-0262"</f>
        <v>11-0262</v>
      </c>
      <c r="D3262" s="8">
        <v>40654</v>
      </c>
      <c r="F3262" s="8">
        <v>40659</v>
      </c>
      <c r="G3262" s="8">
        <v>40659</v>
      </c>
      <c r="Y3262" s="8"/>
    </row>
    <row r="3263" spans="1:25" x14ac:dyDescent="0.25">
      <c r="A3263" t="str">
        <f>"11-0070C"</f>
        <v>11-0070C</v>
      </c>
      <c r="D3263" s="8">
        <v>40652</v>
      </c>
      <c r="F3263" s="8">
        <v>41316</v>
      </c>
      <c r="G3263" s="8">
        <v>40651</v>
      </c>
      <c r="Y3263" s="8"/>
    </row>
    <row r="3264" spans="1:25" x14ac:dyDescent="0.25">
      <c r="A3264" t="str">
        <f>"11-0247B"</f>
        <v>11-0247B</v>
      </c>
      <c r="D3264" s="8">
        <v>40652</v>
      </c>
      <c r="F3264" s="8">
        <v>40652</v>
      </c>
      <c r="G3264" s="8">
        <v>40652</v>
      </c>
      <c r="Y3264" s="8"/>
    </row>
    <row r="3265" spans="1:25" x14ac:dyDescent="0.25">
      <c r="A3265" t="str">
        <f>"11-0251"</f>
        <v>11-0251</v>
      </c>
      <c r="D3265" s="8">
        <v>40652</v>
      </c>
      <c r="F3265" s="8">
        <v>40652</v>
      </c>
      <c r="G3265" s="8">
        <v>40653</v>
      </c>
      <c r="Y3265" s="8"/>
    </row>
    <row r="3266" spans="1:25" x14ac:dyDescent="0.25">
      <c r="A3266" t="str">
        <f>"11-0252"</f>
        <v>11-0252</v>
      </c>
      <c r="D3266" s="8">
        <v>40652</v>
      </c>
      <c r="F3266" s="8">
        <v>40652</v>
      </c>
      <c r="G3266" s="8">
        <v>40651</v>
      </c>
      <c r="Y3266" s="8"/>
    </row>
    <row r="3267" spans="1:25" x14ac:dyDescent="0.25">
      <c r="A3267" t="str">
        <f>"11-0253"</f>
        <v>11-0253</v>
      </c>
      <c r="D3267" s="8">
        <v>40652</v>
      </c>
      <c r="F3267" s="8">
        <v>40652</v>
      </c>
      <c r="G3267" s="8">
        <v>40652</v>
      </c>
      <c r="Y3267" s="8"/>
    </row>
    <row r="3268" spans="1:25" x14ac:dyDescent="0.25">
      <c r="A3268" t="str">
        <f>"11-0254"</f>
        <v>11-0254</v>
      </c>
      <c r="D3268" s="8">
        <v>40652</v>
      </c>
      <c r="F3268" s="8">
        <v>40652</v>
      </c>
      <c r="G3268" s="8">
        <v>40647</v>
      </c>
      <c r="Y3268" s="8"/>
    </row>
    <row r="3269" spans="1:25" x14ac:dyDescent="0.25">
      <c r="A3269" t="str">
        <f>"11-0248"</f>
        <v>11-0248</v>
      </c>
      <c r="D3269" s="8">
        <v>40651</v>
      </c>
      <c r="F3269" s="8">
        <v>40675</v>
      </c>
      <c r="G3269" s="8">
        <v>40654</v>
      </c>
      <c r="Y3269" s="8"/>
    </row>
    <row r="3270" spans="1:25" x14ac:dyDescent="0.25">
      <c r="A3270" t="str">
        <f>"11-0249"</f>
        <v>11-0249</v>
      </c>
      <c r="D3270" s="8">
        <v>40651</v>
      </c>
      <c r="F3270" s="8">
        <v>40651</v>
      </c>
      <c r="G3270" s="8">
        <v>40651</v>
      </c>
      <c r="Y3270" s="8"/>
    </row>
    <row r="3271" spans="1:25" x14ac:dyDescent="0.25">
      <c r="A3271" t="str">
        <f>"11-0250"</f>
        <v>11-0250</v>
      </c>
      <c r="D3271" s="8">
        <v>40651</v>
      </c>
      <c r="F3271" s="8">
        <v>40651</v>
      </c>
      <c r="G3271" s="8">
        <v>40651</v>
      </c>
      <c r="Y3271" s="8"/>
    </row>
    <row r="3272" spans="1:25" x14ac:dyDescent="0.25">
      <c r="A3272" t="str">
        <f>"09-0786B"</f>
        <v>09-0786B</v>
      </c>
      <c r="D3272" s="8">
        <v>40648</v>
      </c>
      <c r="F3272" s="8">
        <v>40648</v>
      </c>
      <c r="G3272" s="8">
        <v>40648</v>
      </c>
      <c r="Y3272" s="8"/>
    </row>
    <row r="3273" spans="1:25" x14ac:dyDescent="0.25">
      <c r="A3273" t="str">
        <f>"11-0244"</f>
        <v>11-0244</v>
      </c>
      <c r="D3273" s="8">
        <v>40648</v>
      </c>
      <c r="F3273" s="8">
        <v>40648</v>
      </c>
      <c r="G3273" s="8">
        <v>40648</v>
      </c>
      <c r="Y3273" s="8"/>
    </row>
    <row r="3274" spans="1:25" x14ac:dyDescent="0.25">
      <c r="A3274" t="str">
        <f>"11-0245"</f>
        <v>11-0245</v>
      </c>
      <c r="D3274" s="8">
        <v>40648</v>
      </c>
      <c r="F3274" s="8">
        <v>40648</v>
      </c>
      <c r="G3274" s="8">
        <v>40648</v>
      </c>
      <c r="Y3274" s="8"/>
    </row>
    <row r="3275" spans="1:25" x14ac:dyDescent="0.25">
      <c r="A3275" t="str">
        <f>"11-0246"</f>
        <v>11-0246</v>
      </c>
      <c r="D3275" s="8">
        <v>40648</v>
      </c>
      <c r="F3275" s="8">
        <v>40648</v>
      </c>
      <c r="G3275" s="8">
        <v>40648</v>
      </c>
      <c r="Y3275" s="8"/>
    </row>
    <row r="3276" spans="1:25" x14ac:dyDescent="0.25">
      <c r="A3276" t="str">
        <f>"11-0246B"</f>
        <v>11-0246B</v>
      </c>
      <c r="D3276" s="8">
        <v>40648</v>
      </c>
      <c r="F3276" s="8">
        <v>40648</v>
      </c>
      <c r="G3276" s="8">
        <v>40648</v>
      </c>
      <c r="Y3276" s="8"/>
    </row>
    <row r="3277" spans="1:25" x14ac:dyDescent="0.25">
      <c r="A3277" t="str">
        <f>"11-0247"</f>
        <v>11-0247</v>
      </c>
      <c r="D3277" s="8">
        <v>40648</v>
      </c>
      <c r="F3277" s="8">
        <v>40648</v>
      </c>
      <c r="G3277" s="8">
        <v>40648</v>
      </c>
      <c r="Y3277" s="8"/>
    </row>
    <row r="3278" spans="1:25" x14ac:dyDescent="0.25">
      <c r="A3278" t="str">
        <f>"11-0207B"</f>
        <v>11-0207B</v>
      </c>
      <c r="D3278" s="8">
        <v>40647</v>
      </c>
      <c r="F3278" s="8">
        <v>40647</v>
      </c>
      <c r="G3278" s="8">
        <v>40647</v>
      </c>
      <c r="Y3278" s="8"/>
    </row>
    <row r="3279" spans="1:25" x14ac:dyDescent="0.25">
      <c r="A3279" t="str">
        <f>"11-0239B"</f>
        <v>11-0239B</v>
      </c>
      <c r="D3279" s="8">
        <v>40647</v>
      </c>
      <c r="F3279" s="8">
        <v>40647</v>
      </c>
      <c r="G3279" s="8">
        <v>40647</v>
      </c>
      <c r="Y3279" s="8"/>
    </row>
    <row r="3280" spans="1:25" x14ac:dyDescent="0.25">
      <c r="A3280" t="str">
        <f>"11-0188B"</f>
        <v>11-0188B</v>
      </c>
      <c r="D3280" s="8">
        <v>40646</v>
      </c>
      <c r="F3280" s="8">
        <v>40646</v>
      </c>
      <c r="G3280" s="8">
        <v>40646</v>
      </c>
      <c r="Y3280" s="8"/>
    </row>
    <row r="3281" spans="1:25" x14ac:dyDescent="0.25">
      <c r="A3281" t="str">
        <f>"11-0242"</f>
        <v>11-0242</v>
      </c>
      <c r="D3281" s="8">
        <v>40646</v>
      </c>
      <c r="F3281" s="8">
        <v>40646</v>
      </c>
      <c r="G3281" s="8">
        <v>40646</v>
      </c>
      <c r="Y3281" s="8"/>
    </row>
    <row r="3282" spans="1:25" x14ac:dyDescent="0.25">
      <c r="A3282" t="str">
        <f>"11-0243"</f>
        <v>11-0243</v>
      </c>
      <c r="D3282" s="8">
        <v>40646</v>
      </c>
      <c r="F3282" s="8">
        <v>40646</v>
      </c>
      <c r="G3282" s="8">
        <v>40647</v>
      </c>
      <c r="Y3282" s="8"/>
    </row>
    <row r="3283" spans="1:25" x14ac:dyDescent="0.25">
      <c r="A3283" t="str">
        <f>"11-0229B"</f>
        <v>11-0229B</v>
      </c>
      <c r="D3283" s="8">
        <v>40645</v>
      </c>
      <c r="F3283" s="8">
        <v>40645</v>
      </c>
      <c r="G3283" s="8">
        <v>40645</v>
      </c>
      <c r="Y3283" s="8"/>
    </row>
    <row r="3284" spans="1:25" x14ac:dyDescent="0.25">
      <c r="A3284" t="str">
        <f>"11-0235B"</f>
        <v>11-0235B</v>
      </c>
      <c r="D3284" s="8">
        <v>40645</v>
      </c>
      <c r="F3284" s="8">
        <v>40645</v>
      </c>
      <c r="G3284" s="8">
        <v>40645</v>
      </c>
      <c r="Y3284" s="8"/>
    </row>
    <row r="3285" spans="1:25" x14ac:dyDescent="0.25">
      <c r="A3285" t="str">
        <f>"11-0240"</f>
        <v>11-0240</v>
      </c>
      <c r="D3285" s="8">
        <v>40645</v>
      </c>
      <c r="F3285" s="8">
        <v>40645</v>
      </c>
      <c r="G3285" s="8">
        <v>40647</v>
      </c>
      <c r="Y3285" s="8"/>
    </row>
    <row r="3286" spans="1:25" x14ac:dyDescent="0.25">
      <c r="A3286" t="str">
        <f>"11-0241"</f>
        <v>11-0241</v>
      </c>
      <c r="D3286" s="8">
        <v>40645</v>
      </c>
      <c r="F3286" s="8">
        <v>40645</v>
      </c>
      <c r="G3286" s="8">
        <v>40645</v>
      </c>
      <c r="Y3286" s="8"/>
    </row>
    <row r="3287" spans="1:25" x14ac:dyDescent="0.25">
      <c r="A3287" t="str">
        <f>"11-0185C"</f>
        <v>11-0185C</v>
      </c>
      <c r="D3287" s="8">
        <v>40644</v>
      </c>
      <c r="F3287" s="8">
        <v>40644</v>
      </c>
      <c r="G3287" s="8">
        <v>40644</v>
      </c>
      <c r="Y3287" s="8"/>
    </row>
    <row r="3288" spans="1:25" x14ac:dyDescent="0.25">
      <c r="A3288" t="str">
        <f>"11-0237"</f>
        <v>11-0237</v>
      </c>
      <c r="D3288" s="8">
        <v>40644</v>
      </c>
      <c r="F3288" s="8">
        <v>40644</v>
      </c>
      <c r="G3288" s="8">
        <v>40645</v>
      </c>
      <c r="Y3288" s="8"/>
    </row>
    <row r="3289" spans="1:25" x14ac:dyDescent="0.25">
      <c r="A3289" t="str">
        <f>"11-0238"</f>
        <v>11-0238</v>
      </c>
      <c r="D3289" s="8">
        <v>40644</v>
      </c>
      <c r="F3289" s="8">
        <v>40644</v>
      </c>
      <c r="G3289" s="8">
        <v>40645</v>
      </c>
      <c r="Y3289" s="8"/>
    </row>
    <row r="3290" spans="1:25" x14ac:dyDescent="0.25">
      <c r="A3290" t="str">
        <f>"11-0239"</f>
        <v>11-0239</v>
      </c>
      <c r="D3290" s="8">
        <v>40644</v>
      </c>
      <c r="F3290" s="8">
        <v>40644</v>
      </c>
      <c r="G3290" s="8">
        <v>40645</v>
      </c>
      <c r="Y3290" s="8"/>
    </row>
    <row r="3291" spans="1:25" x14ac:dyDescent="0.25">
      <c r="A3291" t="str">
        <f>"11-0235"</f>
        <v>11-0235</v>
      </c>
      <c r="D3291" s="8">
        <v>40641</v>
      </c>
      <c r="F3291" s="8">
        <v>40641</v>
      </c>
      <c r="G3291" s="8">
        <v>40641</v>
      </c>
      <c r="Y3291" s="8"/>
    </row>
    <row r="3292" spans="1:25" x14ac:dyDescent="0.25">
      <c r="A3292" t="str">
        <f>"11-0236"</f>
        <v>11-0236</v>
      </c>
      <c r="D3292" s="8">
        <v>40641</v>
      </c>
      <c r="F3292" s="8">
        <v>40641</v>
      </c>
      <c r="G3292" s="8">
        <v>40641</v>
      </c>
      <c r="Y3292" s="8"/>
    </row>
    <row r="3293" spans="1:25" x14ac:dyDescent="0.25">
      <c r="A3293" t="str">
        <f>"11-0231"</f>
        <v>11-0231</v>
      </c>
      <c r="D3293" s="8">
        <v>40640</v>
      </c>
      <c r="F3293" s="8">
        <v>40640</v>
      </c>
      <c r="G3293" s="8">
        <v>40640</v>
      </c>
      <c r="Y3293" s="8"/>
    </row>
    <row r="3294" spans="1:25" x14ac:dyDescent="0.25">
      <c r="A3294" t="str">
        <f>"11-0232"</f>
        <v>11-0232</v>
      </c>
      <c r="D3294" s="8">
        <v>40640</v>
      </c>
      <c r="F3294" s="8">
        <v>40640</v>
      </c>
      <c r="G3294" s="8">
        <v>40640</v>
      </c>
      <c r="Y3294" s="8"/>
    </row>
    <row r="3295" spans="1:25" x14ac:dyDescent="0.25">
      <c r="A3295" t="str">
        <f>"11-0233"</f>
        <v>11-0233</v>
      </c>
      <c r="D3295" s="8">
        <v>40640</v>
      </c>
      <c r="G3295" s="8">
        <v>40646</v>
      </c>
    </row>
    <row r="3296" spans="1:25" x14ac:dyDescent="0.25">
      <c r="A3296" t="str">
        <f>"11-0234"</f>
        <v>11-0234</v>
      </c>
      <c r="D3296" s="8">
        <v>40640</v>
      </c>
      <c r="F3296" s="8">
        <v>40640</v>
      </c>
      <c r="G3296" s="8">
        <v>40640</v>
      </c>
      <c r="Y3296" s="8"/>
    </row>
    <row r="3297" spans="1:25" x14ac:dyDescent="0.25">
      <c r="A3297" t="str">
        <f>"11-0227"</f>
        <v>11-0227</v>
      </c>
      <c r="D3297" s="8">
        <v>40639</v>
      </c>
      <c r="F3297" s="8">
        <v>40639</v>
      </c>
      <c r="G3297" s="8">
        <v>40639</v>
      </c>
      <c r="Y3297" s="8"/>
    </row>
    <row r="3298" spans="1:25" x14ac:dyDescent="0.25">
      <c r="A3298" t="str">
        <f>"11-0228"</f>
        <v>11-0228</v>
      </c>
      <c r="D3298" s="8">
        <v>40639</v>
      </c>
      <c r="F3298" s="8">
        <v>40639</v>
      </c>
      <c r="G3298" s="8">
        <v>40639</v>
      </c>
      <c r="Y3298" s="8"/>
    </row>
    <row r="3299" spans="1:25" x14ac:dyDescent="0.25">
      <c r="A3299" t="str">
        <f>"11-0229"</f>
        <v>11-0229</v>
      </c>
      <c r="D3299" s="8">
        <v>40639</v>
      </c>
      <c r="F3299" s="8">
        <v>40639</v>
      </c>
      <c r="G3299" s="8">
        <v>40639</v>
      </c>
      <c r="Y3299" s="8"/>
    </row>
    <row r="3300" spans="1:25" x14ac:dyDescent="0.25">
      <c r="A3300" t="str">
        <f>"11-0230"</f>
        <v>11-0230</v>
      </c>
      <c r="D3300" s="8">
        <v>40639</v>
      </c>
      <c r="F3300" s="8">
        <v>40644</v>
      </c>
      <c r="G3300" s="8">
        <v>40641</v>
      </c>
      <c r="Y3300" s="8"/>
    </row>
    <row r="3301" spans="1:25" x14ac:dyDescent="0.25">
      <c r="A3301" t="str">
        <f>"11-0216"</f>
        <v>11-0216</v>
      </c>
      <c r="D3301" s="8">
        <v>40637</v>
      </c>
      <c r="F3301" s="8">
        <v>40640</v>
      </c>
      <c r="G3301" s="8">
        <v>40640</v>
      </c>
      <c r="Y3301" s="8"/>
    </row>
    <row r="3302" spans="1:25" x14ac:dyDescent="0.25">
      <c r="A3302" t="str">
        <f>"11-0217"</f>
        <v>11-0217</v>
      </c>
      <c r="D3302" s="8">
        <v>40637</v>
      </c>
      <c r="F3302" s="8">
        <v>40651</v>
      </c>
      <c r="G3302" s="8">
        <v>40640</v>
      </c>
      <c r="Y3302" s="8"/>
    </row>
    <row r="3303" spans="1:25" x14ac:dyDescent="0.25">
      <c r="A3303" t="str">
        <f>"11-0218"</f>
        <v>11-0218</v>
      </c>
      <c r="D3303" s="8">
        <v>40637</v>
      </c>
      <c r="F3303" s="8">
        <v>40640</v>
      </c>
      <c r="G3303" s="8">
        <v>40640</v>
      </c>
      <c r="Y3303" s="8"/>
    </row>
    <row r="3304" spans="1:25" x14ac:dyDescent="0.25">
      <c r="A3304" t="str">
        <f>"11-0219"</f>
        <v>11-0219</v>
      </c>
      <c r="D3304" s="8">
        <v>40637</v>
      </c>
      <c r="F3304" s="8">
        <v>40640</v>
      </c>
      <c r="G3304" s="8">
        <v>40640</v>
      </c>
      <c r="Y3304" s="8"/>
    </row>
    <row r="3305" spans="1:25" x14ac:dyDescent="0.25">
      <c r="A3305" t="str">
        <f>"11-0220"</f>
        <v>11-0220</v>
      </c>
      <c r="D3305" s="8">
        <v>40637</v>
      </c>
      <c r="F3305" s="8">
        <v>40639</v>
      </c>
      <c r="G3305" s="8">
        <v>40640</v>
      </c>
      <c r="Y3305" s="8"/>
    </row>
    <row r="3306" spans="1:25" x14ac:dyDescent="0.25">
      <c r="A3306" t="str">
        <f>"11-0221"</f>
        <v>11-0221</v>
      </c>
      <c r="D3306" s="8">
        <v>40637</v>
      </c>
      <c r="F3306" s="8">
        <v>40637</v>
      </c>
      <c r="G3306" s="8">
        <v>40637</v>
      </c>
      <c r="Y3306" s="8"/>
    </row>
    <row r="3307" spans="1:25" x14ac:dyDescent="0.25">
      <c r="A3307" t="str">
        <f>"11-0222"</f>
        <v>11-0222</v>
      </c>
      <c r="D3307" s="8">
        <v>40637</v>
      </c>
      <c r="F3307" s="8">
        <v>40640</v>
      </c>
      <c r="G3307" s="8">
        <v>40640</v>
      </c>
      <c r="Y3307" s="8"/>
    </row>
    <row r="3308" spans="1:25" x14ac:dyDescent="0.25">
      <c r="A3308" t="str">
        <f>"11-0223"</f>
        <v>11-0223</v>
      </c>
      <c r="D3308" s="8">
        <v>40637</v>
      </c>
      <c r="F3308" s="8">
        <v>40652</v>
      </c>
      <c r="G3308" s="8">
        <v>40639</v>
      </c>
      <c r="Y3308" s="8"/>
    </row>
    <row r="3309" spans="1:25" x14ac:dyDescent="0.25">
      <c r="A3309" t="str">
        <f>"11-0224"</f>
        <v>11-0224</v>
      </c>
      <c r="D3309" s="8">
        <v>40637</v>
      </c>
      <c r="F3309" s="8">
        <v>40652</v>
      </c>
      <c r="G3309" s="8">
        <v>40639</v>
      </c>
      <c r="Y3309" s="8"/>
    </row>
    <row r="3310" spans="1:25" x14ac:dyDescent="0.25">
      <c r="A3310" t="str">
        <f>"11-0225"</f>
        <v>11-0225</v>
      </c>
      <c r="D3310" s="8">
        <v>40637</v>
      </c>
      <c r="F3310" s="8">
        <v>40637</v>
      </c>
      <c r="G3310" s="8">
        <v>40637</v>
      </c>
      <c r="Y3310" s="8"/>
    </row>
    <row r="3311" spans="1:25" x14ac:dyDescent="0.25">
      <c r="A3311" t="str">
        <f>"11-0225B"</f>
        <v>11-0225B</v>
      </c>
      <c r="D3311" s="8">
        <v>40637</v>
      </c>
      <c r="F3311" s="8">
        <v>40637</v>
      </c>
      <c r="G3311" s="8">
        <v>40637</v>
      </c>
      <c r="Y3311" s="8"/>
    </row>
    <row r="3312" spans="1:25" x14ac:dyDescent="0.25">
      <c r="A3312" t="str">
        <f>"11-0226"</f>
        <v>11-0226</v>
      </c>
      <c r="D3312" s="8">
        <v>40637</v>
      </c>
      <c r="F3312" s="8">
        <v>40640</v>
      </c>
      <c r="G3312" s="8">
        <v>40641</v>
      </c>
      <c r="Y3312" s="8"/>
    </row>
    <row r="3313" spans="1:25" x14ac:dyDescent="0.25">
      <c r="A3313" t="str">
        <f>"11-0215"</f>
        <v>11-0215</v>
      </c>
      <c r="D3313" s="8">
        <v>40634</v>
      </c>
      <c r="F3313" s="8">
        <v>40634</v>
      </c>
      <c r="G3313" s="8">
        <v>40634</v>
      </c>
      <c r="Y3313" s="8"/>
    </row>
    <row r="3314" spans="1:25" x14ac:dyDescent="0.25">
      <c r="A3314" t="str">
        <f>"11-0162B"</f>
        <v>11-0162B</v>
      </c>
      <c r="D3314" s="8">
        <v>40633</v>
      </c>
      <c r="F3314" s="8">
        <v>40633</v>
      </c>
      <c r="G3314" s="8">
        <v>40633</v>
      </c>
      <c r="Y3314" s="8"/>
    </row>
    <row r="3315" spans="1:25" x14ac:dyDescent="0.25">
      <c r="A3315" t="str">
        <f>"11-0214"</f>
        <v>11-0214</v>
      </c>
      <c r="D3315" s="8">
        <v>40633</v>
      </c>
      <c r="F3315" s="8">
        <v>40633</v>
      </c>
      <c r="G3315" s="8">
        <v>40638</v>
      </c>
      <c r="Y3315" s="8"/>
    </row>
    <row r="3316" spans="1:25" x14ac:dyDescent="0.25">
      <c r="A3316" t="str">
        <f>"11-0212"</f>
        <v>11-0212</v>
      </c>
      <c r="D3316" s="8">
        <v>40632</v>
      </c>
      <c r="F3316" s="8">
        <v>40632</v>
      </c>
      <c r="G3316" s="8">
        <v>40632</v>
      </c>
      <c r="Y3316" s="8"/>
    </row>
    <row r="3317" spans="1:25" x14ac:dyDescent="0.25">
      <c r="A3317" t="str">
        <f>"11-0213"</f>
        <v>11-0213</v>
      </c>
      <c r="D3317" s="8">
        <v>40632</v>
      </c>
      <c r="F3317" s="8">
        <v>40632</v>
      </c>
      <c r="G3317" s="8">
        <v>40632</v>
      </c>
      <c r="Y3317" s="8"/>
    </row>
    <row r="3318" spans="1:25" x14ac:dyDescent="0.25">
      <c r="A3318" t="str">
        <f>"11-0211"</f>
        <v>11-0211</v>
      </c>
      <c r="D3318" s="8">
        <v>40631</v>
      </c>
      <c r="F3318" s="8">
        <v>40631</v>
      </c>
      <c r="G3318" s="8">
        <v>40624</v>
      </c>
      <c r="Y3318" s="8"/>
    </row>
    <row r="3319" spans="1:25" x14ac:dyDescent="0.25">
      <c r="A3319" t="str">
        <f>"11-0206"</f>
        <v>11-0206</v>
      </c>
      <c r="D3319" s="8">
        <v>40630</v>
      </c>
      <c r="F3319" s="8">
        <v>40633</v>
      </c>
      <c r="G3319" s="8">
        <v>40632</v>
      </c>
      <c r="Y3319" s="8"/>
    </row>
    <row r="3320" spans="1:25" x14ac:dyDescent="0.25">
      <c r="A3320" t="str">
        <f>"11-0207"</f>
        <v>11-0207</v>
      </c>
      <c r="D3320" s="8">
        <v>40630</v>
      </c>
      <c r="F3320" s="8">
        <v>40639</v>
      </c>
      <c r="G3320" s="8">
        <v>40633</v>
      </c>
      <c r="Y3320" s="8"/>
    </row>
    <row r="3321" spans="1:25" x14ac:dyDescent="0.25">
      <c r="A3321" t="str">
        <f>"11-0208"</f>
        <v>11-0208</v>
      </c>
      <c r="D3321" s="8">
        <v>40630</v>
      </c>
      <c r="F3321" s="8">
        <v>40639</v>
      </c>
      <c r="G3321" s="8">
        <v>40633</v>
      </c>
      <c r="Y3321" s="8"/>
    </row>
    <row r="3322" spans="1:25" x14ac:dyDescent="0.25">
      <c r="A3322" t="str">
        <f>"11-0209"</f>
        <v>11-0209</v>
      </c>
      <c r="D3322" s="8">
        <v>40630</v>
      </c>
      <c r="F3322" s="8">
        <v>40630</v>
      </c>
      <c r="G3322" s="8">
        <v>40630</v>
      </c>
      <c r="Y3322" s="8"/>
    </row>
    <row r="3323" spans="1:25" x14ac:dyDescent="0.25">
      <c r="A3323" t="str">
        <f>"11-0210"</f>
        <v>11-0210</v>
      </c>
      <c r="D3323" s="8">
        <v>40630</v>
      </c>
      <c r="F3323" s="8">
        <v>40630</v>
      </c>
      <c r="G3323" s="8">
        <v>40630</v>
      </c>
      <c r="Y3323" s="8"/>
    </row>
    <row r="3324" spans="1:25" x14ac:dyDescent="0.25">
      <c r="A3324" t="str">
        <f>"11-0205"</f>
        <v>11-0205</v>
      </c>
      <c r="D3324" s="8">
        <v>40627</v>
      </c>
      <c r="F3324" s="8">
        <v>40627</v>
      </c>
      <c r="G3324" s="8">
        <v>40627</v>
      </c>
      <c r="Y3324" s="8"/>
    </row>
    <row r="3325" spans="1:25" x14ac:dyDescent="0.25">
      <c r="A3325" t="str">
        <f>"10-0714B"</f>
        <v>10-0714B</v>
      </c>
      <c r="D3325" s="8">
        <v>40625</v>
      </c>
      <c r="F3325" s="8">
        <v>40625</v>
      </c>
      <c r="G3325" s="8">
        <v>40625</v>
      </c>
      <c r="Y3325" s="8"/>
    </row>
    <row r="3326" spans="1:25" x14ac:dyDescent="0.25">
      <c r="A3326" t="str">
        <f>"11-0200"</f>
        <v>11-0200</v>
      </c>
      <c r="D3326" s="8">
        <v>40625</v>
      </c>
      <c r="F3326" s="8">
        <v>40625</v>
      </c>
      <c r="G3326" s="8">
        <v>40625</v>
      </c>
      <c r="Y3326" s="8"/>
    </row>
    <row r="3327" spans="1:25" x14ac:dyDescent="0.25">
      <c r="A3327" t="str">
        <f>"11-0201"</f>
        <v>11-0201</v>
      </c>
      <c r="D3327" s="8">
        <v>40625</v>
      </c>
      <c r="F3327" s="8">
        <v>40697</v>
      </c>
      <c r="G3327" s="8">
        <v>40625</v>
      </c>
      <c r="Y3327" s="8"/>
    </row>
    <row r="3328" spans="1:25" x14ac:dyDescent="0.25">
      <c r="A3328" t="str">
        <f>"11-0202"</f>
        <v>11-0202</v>
      </c>
      <c r="D3328" s="8">
        <v>40625</v>
      </c>
      <c r="F3328" s="8">
        <v>40625</v>
      </c>
      <c r="G3328" s="8">
        <v>40625</v>
      </c>
      <c r="Y3328" s="8"/>
    </row>
    <row r="3329" spans="1:25" x14ac:dyDescent="0.25">
      <c r="A3329" t="str">
        <f>"11-0203"</f>
        <v>11-0203</v>
      </c>
      <c r="D3329" s="8">
        <v>40625</v>
      </c>
      <c r="G3329" s="8">
        <v>40627</v>
      </c>
    </row>
    <row r="3330" spans="1:25" x14ac:dyDescent="0.25">
      <c r="A3330" t="str">
        <f>"11-0204"</f>
        <v>11-0204</v>
      </c>
      <c r="D3330" s="8">
        <v>40625</v>
      </c>
      <c r="F3330" s="8">
        <v>40625</v>
      </c>
      <c r="G3330" s="8">
        <v>40625</v>
      </c>
      <c r="Y3330" s="8"/>
    </row>
    <row r="3331" spans="1:25" x14ac:dyDescent="0.25">
      <c r="A3331" t="str">
        <f>"11-0185B"</f>
        <v>11-0185B</v>
      </c>
      <c r="D3331" s="8">
        <v>40624</v>
      </c>
      <c r="F3331" s="8">
        <v>40624</v>
      </c>
      <c r="G3331" s="8">
        <v>40624</v>
      </c>
      <c r="Y3331" s="8"/>
    </row>
    <row r="3332" spans="1:25" x14ac:dyDescent="0.25">
      <c r="A3332" t="str">
        <f>"11-0199"</f>
        <v>11-0199</v>
      </c>
      <c r="D3332" s="8">
        <v>40624</v>
      </c>
      <c r="F3332" s="8">
        <v>40624</v>
      </c>
      <c r="G3332" s="8">
        <v>40624</v>
      </c>
      <c r="Y3332" s="8"/>
    </row>
    <row r="3333" spans="1:25" x14ac:dyDescent="0.25">
      <c r="A3333" t="str">
        <f>"11-0195"</f>
        <v>11-0195</v>
      </c>
      <c r="D3333" s="8">
        <v>40623</v>
      </c>
      <c r="F3333" s="8">
        <v>40623</v>
      </c>
      <c r="G3333" s="8">
        <v>40623</v>
      </c>
      <c r="Y3333" s="8"/>
    </row>
    <row r="3334" spans="1:25" x14ac:dyDescent="0.25">
      <c r="A3334" t="str">
        <f>"11-0196"</f>
        <v>11-0196</v>
      </c>
      <c r="D3334" s="8">
        <v>40623</v>
      </c>
      <c r="F3334" s="8">
        <v>40623</v>
      </c>
      <c r="G3334" s="8">
        <v>40623</v>
      </c>
      <c r="Y3334" s="8"/>
    </row>
    <row r="3335" spans="1:25" x14ac:dyDescent="0.25">
      <c r="A3335" t="str">
        <f>"11-0197"</f>
        <v>11-0197</v>
      </c>
      <c r="D3335" s="8">
        <v>40623</v>
      </c>
      <c r="F3335" s="8">
        <v>40623</v>
      </c>
      <c r="G3335" s="8">
        <v>40623</v>
      </c>
      <c r="Y3335" s="8"/>
    </row>
    <row r="3336" spans="1:25" x14ac:dyDescent="0.25">
      <c r="A3336" t="str">
        <f>"11-0198"</f>
        <v>11-0198</v>
      </c>
      <c r="D3336" s="8">
        <v>40623</v>
      </c>
      <c r="F3336" s="8">
        <v>40632</v>
      </c>
      <c r="G3336" s="8">
        <v>40626</v>
      </c>
      <c r="Y3336" s="8"/>
    </row>
    <row r="3337" spans="1:25" x14ac:dyDescent="0.25">
      <c r="A3337" t="str">
        <f>"11-0182A"</f>
        <v>11-0182A</v>
      </c>
      <c r="D3337" s="8">
        <v>40620</v>
      </c>
      <c r="F3337" s="8">
        <v>40620</v>
      </c>
      <c r="G3337" s="8">
        <v>40620</v>
      </c>
      <c r="Y3337" s="8"/>
    </row>
    <row r="3338" spans="1:25" x14ac:dyDescent="0.25">
      <c r="A3338" t="str">
        <f>"11-0193"</f>
        <v>11-0193</v>
      </c>
      <c r="D3338" s="8">
        <v>40620</v>
      </c>
      <c r="F3338" s="8">
        <v>40620</v>
      </c>
      <c r="G3338" s="8">
        <v>40619</v>
      </c>
      <c r="Y3338" s="8"/>
    </row>
    <row r="3339" spans="1:25" x14ac:dyDescent="0.25">
      <c r="A3339" t="str">
        <f>"11-0194"</f>
        <v>11-0194</v>
      </c>
      <c r="D3339" s="8">
        <v>40620</v>
      </c>
      <c r="F3339" s="8">
        <v>40821</v>
      </c>
      <c r="G3339" s="8">
        <v>40620</v>
      </c>
      <c r="Y3339" s="8"/>
    </row>
    <row r="3340" spans="1:25" x14ac:dyDescent="0.25">
      <c r="A3340" t="str">
        <f>"11-0191"</f>
        <v>11-0191</v>
      </c>
      <c r="D3340" s="8">
        <v>40619</v>
      </c>
      <c r="F3340" s="8">
        <v>40623</v>
      </c>
      <c r="G3340" s="8">
        <v>40620</v>
      </c>
      <c r="Y3340" s="8"/>
    </row>
    <row r="3341" spans="1:25" x14ac:dyDescent="0.25">
      <c r="A3341" t="str">
        <f>"11-0192"</f>
        <v>11-0192</v>
      </c>
      <c r="D3341" s="8">
        <v>40619</v>
      </c>
      <c r="F3341" s="8">
        <v>40623</v>
      </c>
      <c r="G3341" s="8">
        <v>40620</v>
      </c>
      <c r="Y3341" s="8"/>
    </row>
    <row r="3342" spans="1:25" x14ac:dyDescent="0.25">
      <c r="A3342" t="str">
        <f>"11-0190"</f>
        <v>11-0190</v>
      </c>
      <c r="D3342" s="8">
        <v>40618</v>
      </c>
      <c r="F3342" s="8">
        <v>40618</v>
      </c>
      <c r="G3342" s="8">
        <v>40620</v>
      </c>
      <c r="Y3342" s="8"/>
    </row>
    <row r="3343" spans="1:25" x14ac:dyDescent="0.25">
      <c r="A3343" t="str">
        <f>"11-0190A"</f>
        <v>11-0190A</v>
      </c>
      <c r="D3343" s="8">
        <v>40618</v>
      </c>
      <c r="F3343" s="8">
        <v>40618</v>
      </c>
      <c r="G3343" s="8">
        <v>40620</v>
      </c>
      <c r="Y3343" s="8"/>
    </row>
    <row r="3344" spans="1:25" x14ac:dyDescent="0.25">
      <c r="A3344" t="str">
        <f>"11-0131B"</f>
        <v>11-0131B</v>
      </c>
      <c r="D3344" s="8">
        <v>40617</v>
      </c>
      <c r="F3344" s="8">
        <v>40617</v>
      </c>
      <c r="G3344" s="8">
        <v>40617</v>
      </c>
      <c r="Y3344" s="8"/>
    </row>
    <row r="3345" spans="1:25" x14ac:dyDescent="0.25">
      <c r="A3345" t="str">
        <f>"11-0182"</f>
        <v>11-0182</v>
      </c>
      <c r="D3345" s="8">
        <v>40617</v>
      </c>
      <c r="F3345" s="8">
        <v>40617</v>
      </c>
      <c r="G3345" s="8">
        <v>40617</v>
      </c>
      <c r="Y3345" s="8"/>
    </row>
    <row r="3346" spans="1:25" x14ac:dyDescent="0.25">
      <c r="A3346" t="str">
        <f>"11-0183"</f>
        <v>11-0183</v>
      </c>
      <c r="D3346" s="8">
        <v>40617</v>
      </c>
      <c r="F3346" s="8">
        <v>40617</v>
      </c>
      <c r="G3346" s="8">
        <v>40617</v>
      </c>
      <c r="Y3346" s="8"/>
    </row>
    <row r="3347" spans="1:25" x14ac:dyDescent="0.25">
      <c r="A3347" t="str">
        <f>"11-0184"</f>
        <v>11-0184</v>
      </c>
      <c r="D3347" s="8">
        <v>40617</v>
      </c>
      <c r="F3347" s="8">
        <v>40617</v>
      </c>
      <c r="G3347" s="8">
        <v>40617</v>
      </c>
      <c r="Y3347" s="8"/>
    </row>
    <row r="3348" spans="1:25" x14ac:dyDescent="0.25">
      <c r="A3348" t="str">
        <f>"11-0185"</f>
        <v>11-0185</v>
      </c>
      <c r="D3348" s="8">
        <v>40617</v>
      </c>
      <c r="F3348" s="8">
        <v>40624</v>
      </c>
      <c r="G3348" s="8">
        <v>40619</v>
      </c>
      <c r="Y3348" s="8"/>
    </row>
    <row r="3349" spans="1:25" x14ac:dyDescent="0.25">
      <c r="A3349" t="str">
        <f>"11-0186"</f>
        <v>11-0186</v>
      </c>
      <c r="D3349" s="8">
        <v>40617</v>
      </c>
      <c r="G3349" s="8">
        <v>40617</v>
      </c>
    </row>
    <row r="3350" spans="1:25" x14ac:dyDescent="0.25">
      <c r="A3350" t="str">
        <f>"11-0187"</f>
        <v>11-0187</v>
      </c>
      <c r="D3350" s="8">
        <v>40617</v>
      </c>
      <c r="F3350" s="8">
        <v>40623</v>
      </c>
      <c r="G3350" s="8">
        <v>40618</v>
      </c>
      <c r="Y3350" s="8"/>
    </row>
    <row r="3351" spans="1:25" x14ac:dyDescent="0.25">
      <c r="A3351" t="str">
        <f>"11-0188"</f>
        <v>11-0188</v>
      </c>
      <c r="D3351" s="8">
        <v>40617</v>
      </c>
      <c r="F3351" s="8">
        <v>40645</v>
      </c>
      <c r="G3351" s="8">
        <v>40620</v>
      </c>
      <c r="Y3351" s="8"/>
    </row>
    <row r="3352" spans="1:25" x14ac:dyDescent="0.25">
      <c r="A3352" t="str">
        <f>"11-0189"</f>
        <v>11-0189</v>
      </c>
      <c r="D3352" s="8">
        <v>40617</v>
      </c>
      <c r="F3352" s="8">
        <v>40617</v>
      </c>
      <c r="G3352" s="8">
        <v>40617</v>
      </c>
      <c r="Y3352" s="8"/>
    </row>
    <row r="3353" spans="1:25" x14ac:dyDescent="0.25">
      <c r="A3353" t="str">
        <f>"11-0179"</f>
        <v>11-0179</v>
      </c>
      <c r="D3353" s="8">
        <v>40616</v>
      </c>
      <c r="F3353" s="8">
        <v>40616</v>
      </c>
      <c r="G3353" s="8">
        <v>40613</v>
      </c>
      <c r="Y3353" s="8"/>
    </row>
    <row r="3354" spans="1:25" x14ac:dyDescent="0.25">
      <c r="A3354" t="str">
        <f>"11-0180"</f>
        <v>11-0180</v>
      </c>
      <c r="D3354" s="8">
        <v>40616</v>
      </c>
      <c r="F3354" s="8">
        <v>40625</v>
      </c>
      <c r="G3354" s="8">
        <v>40616</v>
      </c>
      <c r="Y3354" s="8"/>
    </row>
    <row r="3355" spans="1:25" x14ac:dyDescent="0.25">
      <c r="A3355" t="str">
        <f>"11-0181"</f>
        <v>11-0181</v>
      </c>
      <c r="D3355" s="8">
        <v>40616</v>
      </c>
      <c r="F3355" s="8">
        <v>40616</v>
      </c>
      <c r="G3355" s="8">
        <v>40616</v>
      </c>
      <c r="Y3355" s="8"/>
    </row>
    <row r="3356" spans="1:25" x14ac:dyDescent="0.25">
      <c r="A3356" t="str">
        <f>"11-0172"</f>
        <v>11-0172</v>
      </c>
      <c r="D3356" s="8">
        <v>40613</v>
      </c>
      <c r="F3356" s="8">
        <v>40618</v>
      </c>
      <c r="G3356" s="8">
        <v>40618</v>
      </c>
      <c r="Y3356" s="8"/>
    </row>
    <row r="3357" spans="1:25" x14ac:dyDescent="0.25">
      <c r="A3357" t="str">
        <f>"11-0173"</f>
        <v>11-0173</v>
      </c>
      <c r="D3357" s="8">
        <v>40613</v>
      </c>
      <c r="F3357" s="8">
        <v>40617</v>
      </c>
      <c r="G3357" s="8">
        <v>40613</v>
      </c>
      <c r="Y3357" s="8"/>
    </row>
    <row r="3358" spans="1:25" x14ac:dyDescent="0.25">
      <c r="A3358" t="str">
        <f>"11-0174"</f>
        <v>11-0174</v>
      </c>
      <c r="D3358" s="8">
        <v>40613</v>
      </c>
      <c r="G3358" s="8">
        <v>40613</v>
      </c>
    </row>
    <row r="3359" spans="1:25" x14ac:dyDescent="0.25">
      <c r="A3359" t="str">
        <f>"11-0175"</f>
        <v>11-0175</v>
      </c>
      <c r="D3359" s="8">
        <v>40613</v>
      </c>
      <c r="F3359" s="8">
        <v>40613</v>
      </c>
      <c r="G3359" s="8">
        <v>40613</v>
      </c>
      <c r="Y3359" s="8"/>
    </row>
    <row r="3360" spans="1:25" x14ac:dyDescent="0.25">
      <c r="A3360" t="str">
        <f>"11-0176"</f>
        <v>11-0176</v>
      </c>
      <c r="D3360" s="8">
        <v>40613</v>
      </c>
      <c r="F3360" s="8">
        <v>40613</v>
      </c>
      <c r="G3360" s="8">
        <v>40613</v>
      </c>
      <c r="Y3360" s="8"/>
    </row>
    <row r="3361" spans="1:25" x14ac:dyDescent="0.25">
      <c r="A3361" t="str">
        <f>"11-0177"</f>
        <v>11-0177</v>
      </c>
      <c r="D3361" s="8">
        <v>40613</v>
      </c>
      <c r="F3361" s="8">
        <v>40617</v>
      </c>
      <c r="G3361" s="8">
        <v>40617</v>
      </c>
      <c r="Y3361" s="8"/>
    </row>
    <row r="3362" spans="1:25" x14ac:dyDescent="0.25">
      <c r="A3362" t="str">
        <f>"11-0178"</f>
        <v>11-0178</v>
      </c>
      <c r="D3362" s="8">
        <v>40613</v>
      </c>
      <c r="F3362" s="8">
        <v>40613</v>
      </c>
      <c r="G3362" s="8">
        <v>40613</v>
      </c>
      <c r="Y3362" s="8"/>
    </row>
    <row r="3363" spans="1:25" x14ac:dyDescent="0.25">
      <c r="A3363" t="str">
        <f>"10-0622A"</f>
        <v>10-0622A</v>
      </c>
      <c r="D3363" s="8">
        <v>40612</v>
      </c>
      <c r="F3363" s="8">
        <v>40612</v>
      </c>
      <c r="G3363" s="8">
        <v>40612</v>
      </c>
      <c r="Y3363" s="8"/>
    </row>
    <row r="3364" spans="1:25" x14ac:dyDescent="0.25">
      <c r="A3364" t="str">
        <f>"11-0005B"</f>
        <v>11-0005B</v>
      </c>
      <c r="D3364" s="8">
        <v>40612</v>
      </c>
      <c r="F3364" s="8">
        <v>40612</v>
      </c>
      <c r="G3364" s="8">
        <v>40611</v>
      </c>
      <c r="Y3364" s="8"/>
    </row>
    <row r="3365" spans="1:25" x14ac:dyDescent="0.25">
      <c r="A3365" t="str">
        <f>"11-0168"</f>
        <v>11-0168</v>
      </c>
      <c r="D3365" s="8">
        <v>40612</v>
      </c>
      <c r="F3365" s="8">
        <v>40612</v>
      </c>
      <c r="G3365" s="8">
        <v>40613</v>
      </c>
      <c r="Y3365" s="8"/>
    </row>
    <row r="3366" spans="1:25" x14ac:dyDescent="0.25">
      <c r="A3366" t="str">
        <f>"11-0169"</f>
        <v>11-0169</v>
      </c>
      <c r="D3366" s="8">
        <v>40612</v>
      </c>
      <c r="F3366" s="8">
        <v>40612</v>
      </c>
      <c r="G3366" s="8">
        <v>40609</v>
      </c>
      <c r="Y3366" s="8"/>
    </row>
    <row r="3367" spans="1:25" x14ac:dyDescent="0.25">
      <c r="A3367" t="str">
        <f>"11-0170"</f>
        <v>11-0170</v>
      </c>
      <c r="D3367" s="8">
        <v>40612</v>
      </c>
      <c r="F3367" s="8">
        <v>40612</v>
      </c>
      <c r="G3367" s="8">
        <v>40612</v>
      </c>
      <c r="Y3367" s="8"/>
    </row>
    <row r="3368" spans="1:25" x14ac:dyDescent="0.25">
      <c r="A3368" t="str">
        <f>"11-0171"</f>
        <v>11-0171</v>
      </c>
      <c r="D3368" s="8">
        <v>40612</v>
      </c>
      <c r="F3368" s="8">
        <v>40612</v>
      </c>
      <c r="G3368" s="8">
        <v>40609</v>
      </c>
      <c r="Y3368" s="8"/>
    </row>
    <row r="3369" spans="1:25" x14ac:dyDescent="0.25">
      <c r="A3369" t="str">
        <f>"11-0069B"</f>
        <v>11-0069B</v>
      </c>
      <c r="D3369" s="8">
        <v>40611</v>
      </c>
      <c r="F3369" s="8">
        <v>40612</v>
      </c>
      <c r="G3369" s="8">
        <v>40611</v>
      </c>
      <c r="Y3369" s="8"/>
    </row>
    <row r="3370" spans="1:25" x14ac:dyDescent="0.25">
      <c r="A3370" t="str">
        <f>"11-0131A"</f>
        <v>11-0131A</v>
      </c>
      <c r="D3370" s="8">
        <v>40611</v>
      </c>
      <c r="F3370" s="8">
        <v>40611</v>
      </c>
      <c r="G3370" s="8">
        <v>40611</v>
      </c>
      <c r="Y3370" s="8"/>
    </row>
    <row r="3371" spans="1:25" x14ac:dyDescent="0.25">
      <c r="A3371" t="str">
        <f>"11-0150A"</f>
        <v>11-0150A</v>
      </c>
      <c r="D3371" s="8">
        <v>40611</v>
      </c>
      <c r="F3371" s="8">
        <v>40611</v>
      </c>
      <c r="G3371" s="8">
        <v>40611</v>
      </c>
      <c r="Y3371" s="8"/>
    </row>
    <row r="3372" spans="1:25" x14ac:dyDescent="0.25">
      <c r="A3372" t="str">
        <f>"11-0166"</f>
        <v>11-0166</v>
      </c>
      <c r="D3372" s="8">
        <v>40611</v>
      </c>
      <c r="F3372" s="8">
        <v>40611</v>
      </c>
      <c r="G3372" s="8">
        <v>40612</v>
      </c>
      <c r="Y3372" s="8"/>
    </row>
    <row r="3373" spans="1:25" x14ac:dyDescent="0.25">
      <c r="A3373" t="str">
        <f>"11-0167"</f>
        <v>11-0167</v>
      </c>
      <c r="D3373" s="8">
        <v>40611</v>
      </c>
      <c r="F3373" s="8">
        <v>40611</v>
      </c>
      <c r="G3373" s="8">
        <v>40613</v>
      </c>
      <c r="Y3373" s="8"/>
    </row>
    <row r="3374" spans="1:25" x14ac:dyDescent="0.25">
      <c r="A3374" t="str">
        <f>"11-0164"</f>
        <v>11-0164</v>
      </c>
      <c r="D3374" s="8">
        <v>40610</v>
      </c>
      <c r="F3374" s="8">
        <v>40624</v>
      </c>
      <c r="G3374" s="8">
        <v>40624</v>
      </c>
      <c r="Y3374" s="8"/>
    </row>
    <row r="3375" spans="1:25" x14ac:dyDescent="0.25">
      <c r="A3375" t="str">
        <f>"11-0165"</f>
        <v>11-0165</v>
      </c>
      <c r="D3375" s="8">
        <v>40610</v>
      </c>
      <c r="F3375" s="8">
        <v>40610</v>
      </c>
      <c r="G3375" s="8">
        <v>40612</v>
      </c>
      <c r="Y3375" s="8"/>
    </row>
    <row r="3376" spans="1:25" x14ac:dyDescent="0.25">
      <c r="A3376" t="str">
        <f>"11-0161"</f>
        <v>11-0161</v>
      </c>
      <c r="D3376" s="8">
        <v>40609</v>
      </c>
      <c r="F3376" s="8">
        <v>40609</v>
      </c>
      <c r="G3376" s="8">
        <v>40609</v>
      </c>
      <c r="Y3376" s="8"/>
    </row>
    <row r="3377" spans="1:25" x14ac:dyDescent="0.25">
      <c r="A3377" t="str">
        <f>"11-0162"</f>
        <v>11-0162</v>
      </c>
      <c r="D3377" s="8">
        <v>40609</v>
      </c>
      <c r="F3377" s="8">
        <v>40609</v>
      </c>
      <c r="G3377" s="8">
        <v>40609</v>
      </c>
      <c r="Y3377" s="8"/>
    </row>
    <row r="3378" spans="1:25" x14ac:dyDescent="0.25">
      <c r="A3378" t="str">
        <f>"11-0163"</f>
        <v>11-0163</v>
      </c>
      <c r="D3378" s="8">
        <v>40609</v>
      </c>
      <c r="F3378" s="8">
        <v>40609</v>
      </c>
      <c r="G3378" s="8">
        <v>40609</v>
      </c>
      <c r="Y3378" s="8"/>
    </row>
    <row r="3379" spans="1:25" x14ac:dyDescent="0.25">
      <c r="A3379" t="str">
        <f>"11-0156B"</f>
        <v>11-0156B</v>
      </c>
      <c r="D3379" s="8">
        <v>40606</v>
      </c>
      <c r="F3379" s="8">
        <v>40606</v>
      </c>
      <c r="G3379" s="8">
        <v>40606</v>
      </c>
      <c r="Y3379" s="8"/>
    </row>
    <row r="3380" spans="1:25" x14ac:dyDescent="0.25">
      <c r="A3380" t="str">
        <f>"11-0158"</f>
        <v>11-0158</v>
      </c>
      <c r="D3380" s="8">
        <v>40606</v>
      </c>
      <c r="F3380" s="8">
        <v>40606</v>
      </c>
      <c r="G3380" s="8">
        <v>40636</v>
      </c>
      <c r="Y3380" s="8"/>
    </row>
    <row r="3381" spans="1:25" x14ac:dyDescent="0.25">
      <c r="A3381" t="str">
        <f>"11-0159"</f>
        <v>11-0159</v>
      </c>
      <c r="D3381" s="8">
        <v>40606</v>
      </c>
      <c r="F3381" s="8">
        <v>40606</v>
      </c>
      <c r="G3381" s="8">
        <v>40606</v>
      </c>
      <c r="Y3381" s="8"/>
    </row>
    <row r="3382" spans="1:25" x14ac:dyDescent="0.25">
      <c r="A3382" t="str">
        <f>"11-0160"</f>
        <v>11-0160</v>
      </c>
      <c r="D3382" s="8">
        <v>40606</v>
      </c>
      <c r="F3382" s="8">
        <v>40606</v>
      </c>
      <c r="G3382" s="8">
        <v>40606</v>
      </c>
      <c r="Y3382" s="8"/>
    </row>
    <row r="3383" spans="1:25" x14ac:dyDescent="0.25">
      <c r="A3383" t="str">
        <f>"11-0155"</f>
        <v>11-0155</v>
      </c>
      <c r="D3383" s="8">
        <v>40605</v>
      </c>
      <c r="F3383" s="8">
        <v>40975</v>
      </c>
      <c r="G3383" s="8">
        <v>40605</v>
      </c>
      <c r="Y3383" s="8"/>
    </row>
    <row r="3384" spans="1:25" x14ac:dyDescent="0.25">
      <c r="A3384" t="str">
        <f>"11-0156"</f>
        <v>11-0156</v>
      </c>
      <c r="D3384" s="8">
        <v>40605</v>
      </c>
      <c r="F3384" s="8">
        <v>40605</v>
      </c>
      <c r="G3384" s="8">
        <v>40604</v>
      </c>
      <c r="Y3384" s="8"/>
    </row>
    <row r="3385" spans="1:25" x14ac:dyDescent="0.25">
      <c r="A3385" t="str">
        <f>"11-0157"</f>
        <v>11-0157</v>
      </c>
      <c r="D3385" s="8">
        <v>40605</v>
      </c>
      <c r="F3385" s="8">
        <v>40605</v>
      </c>
      <c r="G3385" s="8">
        <v>40605</v>
      </c>
      <c r="Y3385" s="8"/>
    </row>
    <row r="3386" spans="1:25" x14ac:dyDescent="0.25">
      <c r="A3386" t="str">
        <f>"11-0152"</f>
        <v>11-0152</v>
      </c>
      <c r="D3386" s="8">
        <v>40604</v>
      </c>
      <c r="F3386" s="8">
        <v>40604</v>
      </c>
      <c r="G3386" s="8">
        <v>40604</v>
      </c>
      <c r="Y3386" s="8"/>
    </row>
    <row r="3387" spans="1:25" x14ac:dyDescent="0.25">
      <c r="A3387" t="str">
        <f>"11-0152B"</f>
        <v>11-0152B</v>
      </c>
      <c r="D3387" s="8">
        <v>40604</v>
      </c>
      <c r="F3387" s="8">
        <v>40604</v>
      </c>
      <c r="G3387" s="8">
        <v>40604</v>
      </c>
      <c r="Y3387" s="8"/>
    </row>
    <row r="3388" spans="1:25" x14ac:dyDescent="0.25">
      <c r="A3388" t="str">
        <f>"11-0153"</f>
        <v>11-0153</v>
      </c>
      <c r="D3388" s="8">
        <v>40604</v>
      </c>
      <c r="F3388" s="8">
        <v>40605</v>
      </c>
      <c r="G3388" s="8">
        <v>40604</v>
      </c>
      <c r="Y3388" s="8"/>
    </row>
    <row r="3389" spans="1:25" x14ac:dyDescent="0.25">
      <c r="A3389" t="str">
        <f>"11-0154"</f>
        <v>11-0154</v>
      </c>
      <c r="D3389" s="8">
        <v>40604</v>
      </c>
      <c r="F3389" s="8">
        <v>40604</v>
      </c>
      <c r="G3389" s="8">
        <v>40604</v>
      </c>
      <c r="Y3389" s="8"/>
    </row>
    <row r="3390" spans="1:25" x14ac:dyDescent="0.25">
      <c r="A3390" t="str">
        <f>"11-0087B"</f>
        <v>11-0087B</v>
      </c>
      <c r="D3390" s="8">
        <v>40603</v>
      </c>
      <c r="F3390" s="8">
        <v>40603</v>
      </c>
      <c r="G3390" s="8">
        <v>40603</v>
      </c>
      <c r="Y3390" s="8"/>
    </row>
    <row r="3391" spans="1:25" x14ac:dyDescent="0.25">
      <c r="A3391" t="str">
        <f>"11-0095B"</f>
        <v>11-0095B</v>
      </c>
      <c r="D3391" s="8">
        <v>40603</v>
      </c>
      <c r="F3391" s="8">
        <v>40603</v>
      </c>
      <c r="G3391" s="8">
        <v>40603</v>
      </c>
      <c r="Y3391" s="8"/>
    </row>
    <row r="3392" spans="1:25" x14ac:dyDescent="0.25">
      <c r="A3392" t="str">
        <f>"11-0146"</f>
        <v>11-0146</v>
      </c>
      <c r="D3392" s="8">
        <v>40603</v>
      </c>
      <c r="F3392" s="8">
        <v>40603</v>
      </c>
      <c r="G3392" s="8">
        <v>40598</v>
      </c>
      <c r="Y3392" s="8"/>
    </row>
    <row r="3393" spans="1:25" x14ac:dyDescent="0.25">
      <c r="A3393" t="str">
        <f>"11-0147"</f>
        <v>11-0147</v>
      </c>
      <c r="D3393" s="8">
        <v>40603</v>
      </c>
      <c r="F3393" s="8">
        <v>40603</v>
      </c>
      <c r="G3393" s="8">
        <v>40603</v>
      </c>
      <c r="Y3393" s="8"/>
    </row>
    <row r="3394" spans="1:25" x14ac:dyDescent="0.25">
      <c r="A3394" t="str">
        <f>"11-0148"</f>
        <v>11-0148</v>
      </c>
      <c r="D3394" s="8">
        <v>40603</v>
      </c>
      <c r="F3394" s="8">
        <v>40604</v>
      </c>
      <c r="G3394" s="8">
        <v>40603</v>
      </c>
      <c r="Y3394" s="8"/>
    </row>
    <row r="3395" spans="1:25" x14ac:dyDescent="0.25">
      <c r="A3395" t="str">
        <f>"11-0149"</f>
        <v>11-0149</v>
      </c>
      <c r="D3395" s="8">
        <v>40603</v>
      </c>
      <c r="F3395" s="8">
        <v>40668</v>
      </c>
      <c r="G3395" s="8">
        <v>40604</v>
      </c>
      <c r="Y3395" s="8"/>
    </row>
    <row r="3396" spans="1:25" x14ac:dyDescent="0.25">
      <c r="A3396" t="str">
        <f>"11-0150"</f>
        <v>11-0150</v>
      </c>
      <c r="D3396" s="8">
        <v>40603</v>
      </c>
      <c r="F3396" s="8">
        <v>40604</v>
      </c>
      <c r="G3396" s="8">
        <v>40596</v>
      </c>
      <c r="Y3396" s="8"/>
    </row>
    <row r="3397" spans="1:25" x14ac:dyDescent="0.25">
      <c r="A3397" t="str">
        <f>"11-0151"</f>
        <v>11-0151</v>
      </c>
      <c r="D3397" s="8">
        <v>40603</v>
      </c>
      <c r="F3397" s="8">
        <v>40905</v>
      </c>
      <c r="G3397" s="8">
        <v>40599</v>
      </c>
      <c r="Y3397" s="8"/>
    </row>
    <row r="3398" spans="1:25" x14ac:dyDescent="0.25">
      <c r="A3398" t="str">
        <f>"11-0070B"</f>
        <v>11-0070B</v>
      </c>
      <c r="D3398" s="8">
        <v>40602</v>
      </c>
      <c r="F3398" s="8">
        <v>40645</v>
      </c>
      <c r="G3398" s="8">
        <v>40602</v>
      </c>
      <c r="Y3398" s="8"/>
    </row>
    <row r="3399" spans="1:25" x14ac:dyDescent="0.25">
      <c r="A3399" t="str">
        <f>"11-0143"</f>
        <v>11-0143</v>
      </c>
      <c r="D3399" s="8">
        <v>40602</v>
      </c>
      <c r="F3399" s="8">
        <v>40602</v>
      </c>
      <c r="G3399" s="8">
        <v>40602</v>
      </c>
      <c r="Y3399" s="8"/>
    </row>
    <row r="3400" spans="1:25" x14ac:dyDescent="0.25">
      <c r="A3400" t="str">
        <f>"11-0144"</f>
        <v>11-0144</v>
      </c>
      <c r="D3400" s="8">
        <v>40602</v>
      </c>
      <c r="F3400" s="8">
        <v>40602</v>
      </c>
      <c r="G3400" s="8">
        <v>40602</v>
      </c>
      <c r="Y3400" s="8"/>
    </row>
    <row r="3401" spans="1:25" x14ac:dyDescent="0.25">
      <c r="A3401" t="str">
        <f>"11-0145"</f>
        <v>11-0145</v>
      </c>
      <c r="D3401" s="8">
        <v>40602</v>
      </c>
      <c r="F3401" s="8">
        <v>40602</v>
      </c>
      <c r="G3401" s="8">
        <v>40602</v>
      </c>
      <c r="Y3401" s="8"/>
    </row>
    <row r="3402" spans="1:25" x14ac:dyDescent="0.25">
      <c r="A3402" t="str">
        <f>"11-0106B"</f>
        <v>11-0106B</v>
      </c>
      <c r="D3402" s="8">
        <v>40599</v>
      </c>
      <c r="F3402" s="8">
        <v>40599</v>
      </c>
      <c r="G3402" s="8">
        <v>40599</v>
      </c>
      <c r="Y3402" s="8"/>
    </row>
    <row r="3403" spans="1:25" x14ac:dyDescent="0.25">
      <c r="A3403" t="str">
        <f>"11-0142"</f>
        <v>11-0142</v>
      </c>
      <c r="D3403" s="8">
        <v>40599</v>
      </c>
      <c r="F3403" s="8">
        <v>40604</v>
      </c>
      <c r="G3403" s="8">
        <v>40624</v>
      </c>
      <c r="Y3403" s="8"/>
    </row>
    <row r="3404" spans="1:25" x14ac:dyDescent="0.25">
      <c r="A3404" t="str">
        <f>"11-0131"</f>
        <v>11-0131</v>
      </c>
      <c r="D3404" s="8">
        <v>40598</v>
      </c>
      <c r="F3404" s="8">
        <v>40598</v>
      </c>
      <c r="G3404" s="8">
        <v>40589</v>
      </c>
      <c r="Y3404" s="8"/>
    </row>
    <row r="3405" spans="1:25" x14ac:dyDescent="0.25">
      <c r="A3405" t="str">
        <f>"11-0132"</f>
        <v>11-0132</v>
      </c>
      <c r="D3405" s="8">
        <v>40598</v>
      </c>
      <c r="F3405" s="8">
        <v>40598</v>
      </c>
      <c r="G3405" s="8">
        <v>40598</v>
      </c>
      <c r="Y3405" s="8"/>
    </row>
    <row r="3406" spans="1:25" x14ac:dyDescent="0.25">
      <c r="A3406" t="str">
        <f>"11-0133"</f>
        <v>11-0133</v>
      </c>
      <c r="D3406" s="8">
        <v>40598</v>
      </c>
      <c r="F3406" s="8">
        <v>40598</v>
      </c>
      <c r="G3406" s="8">
        <v>40598</v>
      </c>
      <c r="Y3406" s="8"/>
    </row>
    <row r="3407" spans="1:25" x14ac:dyDescent="0.25">
      <c r="A3407" t="str">
        <f>"11-0134"</f>
        <v>11-0134</v>
      </c>
      <c r="D3407" s="8">
        <v>40598</v>
      </c>
      <c r="F3407" s="8">
        <v>40599</v>
      </c>
      <c r="G3407" s="8">
        <v>40599</v>
      </c>
      <c r="Y3407" s="8"/>
    </row>
    <row r="3408" spans="1:25" x14ac:dyDescent="0.25">
      <c r="A3408" t="str">
        <f>"11-0135"</f>
        <v>11-0135</v>
      </c>
      <c r="D3408" s="8">
        <v>40598</v>
      </c>
      <c r="F3408" s="8">
        <v>40599</v>
      </c>
      <c r="G3408" s="8">
        <v>40602</v>
      </c>
      <c r="Y3408" s="8"/>
    </row>
    <row r="3409" spans="1:25" x14ac:dyDescent="0.25">
      <c r="A3409" t="str">
        <f>"11-0136"</f>
        <v>11-0136</v>
      </c>
      <c r="D3409" s="8">
        <v>40598</v>
      </c>
      <c r="F3409" s="8">
        <v>40616</v>
      </c>
      <c r="G3409" s="8">
        <v>40599</v>
      </c>
      <c r="Y3409" s="8"/>
    </row>
    <row r="3410" spans="1:25" x14ac:dyDescent="0.25">
      <c r="A3410" t="str">
        <f>"11-0137"</f>
        <v>11-0137</v>
      </c>
      <c r="D3410" s="8">
        <v>40598</v>
      </c>
      <c r="F3410" s="8">
        <v>40602</v>
      </c>
      <c r="G3410" s="8">
        <v>40599</v>
      </c>
      <c r="Y3410" s="8"/>
    </row>
    <row r="3411" spans="1:25" x14ac:dyDescent="0.25">
      <c r="A3411" t="str">
        <f>"11-0138"</f>
        <v>11-0138</v>
      </c>
      <c r="D3411" s="8">
        <v>40598</v>
      </c>
      <c r="F3411" s="8">
        <v>40599</v>
      </c>
      <c r="G3411" s="8">
        <v>40603</v>
      </c>
      <c r="Y3411" s="8"/>
    </row>
    <row r="3412" spans="1:25" x14ac:dyDescent="0.25">
      <c r="A3412" t="str">
        <f>"11-0139"</f>
        <v>11-0139</v>
      </c>
      <c r="D3412" s="8">
        <v>40598</v>
      </c>
      <c r="F3412" s="8">
        <v>40604</v>
      </c>
      <c r="G3412" s="8">
        <v>40599</v>
      </c>
      <c r="Y3412" s="8"/>
    </row>
    <row r="3413" spans="1:25" x14ac:dyDescent="0.25">
      <c r="A3413" t="str">
        <f>"11-0140"</f>
        <v>11-0140</v>
      </c>
      <c r="D3413" s="8">
        <v>40598</v>
      </c>
      <c r="F3413" s="8">
        <v>40599</v>
      </c>
      <c r="G3413" s="8">
        <v>40585</v>
      </c>
      <c r="Y3413" s="8"/>
    </row>
    <row r="3414" spans="1:25" x14ac:dyDescent="0.25">
      <c r="A3414" t="str">
        <f>"11-0141"</f>
        <v>11-0141</v>
      </c>
      <c r="D3414" s="8">
        <v>40598</v>
      </c>
      <c r="F3414" s="8">
        <v>40606</v>
      </c>
      <c r="G3414" s="8">
        <v>40599</v>
      </c>
      <c r="Y3414" s="8"/>
    </row>
    <row r="3415" spans="1:25" x14ac:dyDescent="0.25">
      <c r="A3415" t="str">
        <f>"11-0116B"</f>
        <v>11-0116B</v>
      </c>
      <c r="D3415" s="8">
        <v>40597</v>
      </c>
      <c r="F3415" s="8">
        <v>41043</v>
      </c>
      <c r="G3415" s="8">
        <v>40597</v>
      </c>
      <c r="Y3415" s="8"/>
    </row>
    <row r="3416" spans="1:25" x14ac:dyDescent="0.25">
      <c r="A3416" t="str">
        <f>"11-0127"</f>
        <v>11-0127</v>
      </c>
      <c r="D3416" s="8">
        <v>40597</v>
      </c>
      <c r="F3416" s="8">
        <v>40597</v>
      </c>
      <c r="G3416" s="8">
        <v>40597</v>
      </c>
      <c r="Y3416" s="8"/>
    </row>
    <row r="3417" spans="1:25" x14ac:dyDescent="0.25">
      <c r="A3417" t="str">
        <f>"11-0128"</f>
        <v>11-0128</v>
      </c>
      <c r="D3417" s="8">
        <v>40597</v>
      </c>
      <c r="F3417" s="8">
        <v>40597</v>
      </c>
      <c r="G3417" s="8">
        <v>40599</v>
      </c>
      <c r="Y3417" s="8"/>
    </row>
    <row r="3418" spans="1:25" x14ac:dyDescent="0.25">
      <c r="A3418" t="str">
        <f>"11-0129"</f>
        <v>11-0129</v>
      </c>
      <c r="D3418" s="8">
        <v>40597</v>
      </c>
      <c r="F3418" s="8">
        <v>40597</v>
      </c>
      <c r="G3418" s="8">
        <v>40598</v>
      </c>
      <c r="Y3418" s="8"/>
    </row>
    <row r="3419" spans="1:25" x14ac:dyDescent="0.25">
      <c r="A3419" t="str">
        <f>"11-0130"</f>
        <v>11-0130</v>
      </c>
      <c r="D3419" s="8">
        <v>40597</v>
      </c>
      <c r="F3419" s="8">
        <v>40604</v>
      </c>
      <c r="G3419" s="8">
        <v>40604</v>
      </c>
      <c r="Y3419" s="8"/>
    </row>
    <row r="3420" spans="1:25" x14ac:dyDescent="0.25">
      <c r="A3420" t="str">
        <f>"11-0121"</f>
        <v>11-0121</v>
      </c>
      <c r="D3420" s="8">
        <v>40596</v>
      </c>
      <c r="F3420" s="8">
        <v>40596</v>
      </c>
      <c r="G3420" s="8">
        <v>40597</v>
      </c>
      <c r="Y3420" s="8"/>
    </row>
    <row r="3421" spans="1:25" x14ac:dyDescent="0.25">
      <c r="A3421" t="str">
        <f>"11-0122"</f>
        <v>11-0122</v>
      </c>
      <c r="D3421" s="8">
        <v>40596</v>
      </c>
      <c r="F3421" s="8">
        <v>40596</v>
      </c>
      <c r="G3421" s="8">
        <v>40597</v>
      </c>
      <c r="Y3421" s="8"/>
    </row>
    <row r="3422" spans="1:25" x14ac:dyDescent="0.25">
      <c r="A3422" t="str">
        <f>"11-0123"</f>
        <v>11-0123</v>
      </c>
      <c r="D3422" s="8">
        <v>40596</v>
      </c>
      <c r="F3422" s="8">
        <v>40962</v>
      </c>
      <c r="G3422" s="8">
        <v>40592</v>
      </c>
      <c r="Y3422" s="8"/>
    </row>
    <row r="3423" spans="1:25" x14ac:dyDescent="0.25">
      <c r="A3423" t="str">
        <f>"11-0124"</f>
        <v>11-0124</v>
      </c>
      <c r="D3423" s="8">
        <v>40596</v>
      </c>
      <c r="F3423" s="8">
        <v>40596</v>
      </c>
      <c r="G3423" s="8">
        <v>40597</v>
      </c>
      <c r="Y3423" s="8"/>
    </row>
    <row r="3424" spans="1:25" x14ac:dyDescent="0.25">
      <c r="A3424" t="str">
        <f>"11-0125"</f>
        <v>11-0125</v>
      </c>
      <c r="D3424" s="8">
        <v>40596</v>
      </c>
      <c r="G3424" s="8">
        <v>40598</v>
      </c>
      <c r="Y3424" s="8"/>
    </row>
    <row r="3425" spans="1:25" x14ac:dyDescent="0.25">
      <c r="A3425" t="str">
        <f>"11-0126"</f>
        <v>11-0126</v>
      </c>
      <c r="D3425" s="8">
        <v>40596</v>
      </c>
      <c r="F3425" s="8">
        <v>40596</v>
      </c>
      <c r="G3425" s="8">
        <v>40596</v>
      </c>
      <c r="Y3425" s="8"/>
    </row>
    <row r="3426" spans="1:25" x14ac:dyDescent="0.25">
      <c r="A3426" t="str">
        <f>"11-0056C"</f>
        <v>11-0056C</v>
      </c>
      <c r="D3426" s="8">
        <v>40595</v>
      </c>
      <c r="F3426" s="8">
        <v>40724</v>
      </c>
      <c r="G3426" s="8">
        <v>40595</v>
      </c>
      <c r="Y3426" s="8"/>
    </row>
    <row r="3427" spans="1:25" x14ac:dyDescent="0.25">
      <c r="A3427" t="str">
        <f>"11-0119"</f>
        <v>11-0119</v>
      </c>
      <c r="D3427" s="8">
        <v>40595</v>
      </c>
      <c r="F3427" s="8">
        <v>40595</v>
      </c>
      <c r="G3427" s="8">
        <v>40589</v>
      </c>
      <c r="Y3427" s="8"/>
    </row>
    <row r="3428" spans="1:25" x14ac:dyDescent="0.25">
      <c r="A3428" t="str">
        <f>"11-0120"</f>
        <v>11-0120</v>
      </c>
      <c r="D3428" s="8">
        <v>40595</v>
      </c>
      <c r="F3428" s="8">
        <v>40595</v>
      </c>
      <c r="G3428" s="8">
        <v>40592</v>
      </c>
      <c r="Y3428" s="8"/>
    </row>
    <row r="3429" spans="1:25" x14ac:dyDescent="0.25">
      <c r="A3429" t="str">
        <f>"11-0115"</f>
        <v>11-0115</v>
      </c>
      <c r="D3429" s="8">
        <v>40592</v>
      </c>
      <c r="F3429" s="8">
        <v>40592</v>
      </c>
      <c r="G3429" s="8">
        <v>40592</v>
      </c>
      <c r="Y3429" s="8"/>
    </row>
    <row r="3430" spans="1:25" x14ac:dyDescent="0.25">
      <c r="A3430" t="str">
        <f>"11-0116"</f>
        <v>11-0116</v>
      </c>
      <c r="D3430" s="8">
        <v>40592</v>
      </c>
      <c r="F3430" s="8">
        <v>40592</v>
      </c>
      <c r="G3430" s="8">
        <v>40592</v>
      </c>
      <c r="Y3430" s="8"/>
    </row>
    <row r="3431" spans="1:25" x14ac:dyDescent="0.25">
      <c r="A3431" t="str">
        <f>"11-0117"</f>
        <v>11-0117</v>
      </c>
      <c r="D3431" s="8">
        <v>40592</v>
      </c>
      <c r="F3431" s="8">
        <v>40592</v>
      </c>
      <c r="G3431" s="8">
        <v>40592</v>
      </c>
      <c r="Y3431" s="8"/>
    </row>
    <row r="3432" spans="1:25" x14ac:dyDescent="0.25">
      <c r="A3432" t="str">
        <f>"11-0118"</f>
        <v>11-0118</v>
      </c>
      <c r="D3432" s="8">
        <v>40592</v>
      </c>
      <c r="F3432" s="8">
        <v>40592</v>
      </c>
      <c r="G3432" s="8">
        <v>40596</v>
      </c>
      <c r="Y3432" s="8"/>
    </row>
    <row r="3433" spans="1:25" x14ac:dyDescent="0.25">
      <c r="A3433" t="str">
        <f>"11-0085B"</f>
        <v>11-0085B</v>
      </c>
      <c r="D3433" s="8">
        <v>40591</v>
      </c>
      <c r="F3433" s="8">
        <v>40591</v>
      </c>
      <c r="G3433" s="8">
        <v>40591</v>
      </c>
      <c r="Y3433" s="8"/>
    </row>
    <row r="3434" spans="1:25" x14ac:dyDescent="0.25">
      <c r="A3434" t="str">
        <f>"11-0086B"</f>
        <v>11-0086B</v>
      </c>
      <c r="D3434" s="8">
        <v>40591</v>
      </c>
      <c r="F3434" s="8">
        <v>40591</v>
      </c>
      <c r="G3434" s="8">
        <v>40591</v>
      </c>
      <c r="Y3434" s="8"/>
    </row>
    <row r="3435" spans="1:25" x14ac:dyDescent="0.25">
      <c r="A3435" t="str">
        <f>"11-0113"</f>
        <v>11-0113</v>
      </c>
      <c r="D3435" s="8">
        <v>40591</v>
      </c>
      <c r="F3435" s="8">
        <v>40591</v>
      </c>
      <c r="G3435" s="8">
        <v>40592</v>
      </c>
      <c r="Y3435" s="8"/>
    </row>
    <row r="3436" spans="1:25" x14ac:dyDescent="0.25">
      <c r="A3436" t="str">
        <f>"11-0114"</f>
        <v>11-0114</v>
      </c>
      <c r="D3436" s="8">
        <v>40591</v>
      </c>
      <c r="F3436" s="8">
        <v>40595</v>
      </c>
      <c r="G3436" s="8">
        <v>40592</v>
      </c>
      <c r="Y3436" s="8"/>
    </row>
    <row r="3437" spans="1:25" x14ac:dyDescent="0.25">
      <c r="A3437" t="str">
        <f>"11-0111"</f>
        <v>11-0111</v>
      </c>
      <c r="D3437" s="8">
        <v>40590</v>
      </c>
      <c r="F3437" s="8">
        <v>40598</v>
      </c>
      <c r="G3437" s="8">
        <v>40590</v>
      </c>
      <c r="Y3437" s="8"/>
    </row>
    <row r="3438" spans="1:25" x14ac:dyDescent="0.25">
      <c r="A3438" t="str">
        <f>"11-0112"</f>
        <v>11-0112</v>
      </c>
      <c r="D3438" s="8">
        <v>40590</v>
      </c>
      <c r="F3438" s="8">
        <v>40590</v>
      </c>
      <c r="G3438" s="8">
        <v>40590</v>
      </c>
      <c r="Y3438" s="8"/>
    </row>
    <row r="3439" spans="1:25" x14ac:dyDescent="0.25">
      <c r="A3439" t="str">
        <f>"11-0103"</f>
        <v>11-0103</v>
      </c>
      <c r="D3439" s="8">
        <v>40589</v>
      </c>
      <c r="F3439" s="8">
        <v>40589</v>
      </c>
      <c r="G3439" s="8">
        <v>40590</v>
      </c>
      <c r="Y3439" s="8"/>
    </row>
    <row r="3440" spans="1:25" x14ac:dyDescent="0.25">
      <c r="A3440" t="str">
        <f>"11-0104"</f>
        <v>11-0104</v>
      </c>
      <c r="D3440" s="8">
        <v>40589</v>
      </c>
      <c r="F3440" s="8">
        <v>40596</v>
      </c>
      <c r="G3440" s="8">
        <v>40592</v>
      </c>
      <c r="Y3440" s="8"/>
    </row>
    <row r="3441" spans="1:25" x14ac:dyDescent="0.25">
      <c r="A3441" t="str">
        <f>"11-0105"</f>
        <v>11-0105</v>
      </c>
      <c r="D3441" s="8">
        <v>40589</v>
      </c>
      <c r="F3441" s="8">
        <v>40592</v>
      </c>
      <c r="G3441" s="8">
        <v>40592</v>
      </c>
      <c r="Y3441" s="8"/>
    </row>
    <row r="3442" spans="1:25" x14ac:dyDescent="0.25">
      <c r="A3442" t="str">
        <f>"11-0106"</f>
        <v>11-0106</v>
      </c>
      <c r="D3442" s="8">
        <v>40589</v>
      </c>
      <c r="F3442" s="8">
        <v>40589</v>
      </c>
      <c r="G3442" s="8">
        <v>40589</v>
      </c>
      <c r="Y3442" s="8"/>
    </row>
    <row r="3443" spans="1:25" x14ac:dyDescent="0.25">
      <c r="A3443" t="str">
        <f>"11-0107"</f>
        <v>11-0107</v>
      </c>
      <c r="D3443" s="8">
        <v>40589</v>
      </c>
      <c r="F3443" s="8">
        <v>40592</v>
      </c>
      <c r="G3443" s="8">
        <v>40592</v>
      </c>
      <c r="Y3443" s="8"/>
    </row>
    <row r="3444" spans="1:25" x14ac:dyDescent="0.25">
      <c r="A3444" t="str">
        <f>"11-0108"</f>
        <v>11-0108</v>
      </c>
      <c r="D3444" s="8">
        <v>40589</v>
      </c>
      <c r="F3444" s="8">
        <v>40598</v>
      </c>
      <c r="G3444" s="8">
        <v>40592</v>
      </c>
      <c r="Y3444" s="8"/>
    </row>
    <row r="3445" spans="1:25" x14ac:dyDescent="0.25">
      <c r="A3445" t="str">
        <f>"11-0109"</f>
        <v>11-0109</v>
      </c>
      <c r="D3445" s="8">
        <v>40589</v>
      </c>
      <c r="F3445" s="8">
        <v>40598</v>
      </c>
      <c r="G3445" s="8">
        <v>40592</v>
      </c>
      <c r="Y3445" s="8"/>
    </row>
    <row r="3446" spans="1:25" x14ac:dyDescent="0.25">
      <c r="A3446" t="str">
        <f>"11-0110"</f>
        <v>11-0110</v>
      </c>
      <c r="D3446" s="8">
        <v>40589</v>
      </c>
      <c r="F3446" s="8">
        <v>40597</v>
      </c>
      <c r="G3446" s="8">
        <v>40592</v>
      </c>
      <c r="Y3446" s="8"/>
    </row>
    <row r="3447" spans="1:25" x14ac:dyDescent="0.25">
      <c r="A3447" t="str">
        <f>"11-0011B"</f>
        <v>11-0011B</v>
      </c>
      <c r="D3447" s="8">
        <v>40588</v>
      </c>
      <c r="F3447" s="8">
        <v>40588</v>
      </c>
      <c r="G3447" s="8">
        <v>40575</v>
      </c>
      <c r="Y3447" s="8"/>
    </row>
    <row r="3448" spans="1:25" x14ac:dyDescent="0.25">
      <c r="A3448" t="str">
        <f>"11-0052B"</f>
        <v>11-0052B</v>
      </c>
      <c r="D3448" s="8">
        <v>40588</v>
      </c>
      <c r="F3448" s="8">
        <v>40588</v>
      </c>
      <c r="G3448" s="8">
        <v>40588</v>
      </c>
      <c r="Y3448" s="8"/>
    </row>
    <row r="3449" spans="1:25" x14ac:dyDescent="0.25">
      <c r="A3449" t="str">
        <f>"11-0071B"</f>
        <v>11-0071B</v>
      </c>
      <c r="D3449" s="8">
        <v>40588</v>
      </c>
      <c r="F3449" s="8">
        <v>40809</v>
      </c>
      <c r="G3449" s="8">
        <v>40588</v>
      </c>
      <c r="Y3449" s="8"/>
    </row>
    <row r="3450" spans="1:25" x14ac:dyDescent="0.25">
      <c r="A3450" t="str">
        <f>"11-0093"</f>
        <v>11-0093</v>
      </c>
      <c r="D3450" s="8">
        <v>40588</v>
      </c>
      <c r="F3450" s="8">
        <v>40588</v>
      </c>
      <c r="G3450" s="8">
        <v>40592</v>
      </c>
      <c r="Y3450" s="8"/>
    </row>
    <row r="3451" spans="1:25" x14ac:dyDescent="0.25">
      <c r="A3451" t="str">
        <f>"11-0094"</f>
        <v>11-0094</v>
      </c>
      <c r="D3451" s="8">
        <v>40588</v>
      </c>
      <c r="F3451" s="8">
        <v>40588</v>
      </c>
      <c r="G3451" s="8">
        <v>40592</v>
      </c>
      <c r="Y3451" s="8"/>
    </row>
    <row r="3452" spans="1:25" x14ac:dyDescent="0.25">
      <c r="A3452" t="str">
        <f>"11-0095"</f>
        <v>11-0095</v>
      </c>
      <c r="D3452" s="8">
        <v>40588</v>
      </c>
      <c r="F3452" s="8">
        <v>40603</v>
      </c>
      <c r="G3452" s="8">
        <v>40592</v>
      </c>
      <c r="Y3452" s="8"/>
    </row>
    <row r="3453" spans="1:25" x14ac:dyDescent="0.25">
      <c r="A3453" t="str">
        <f>"11-0096"</f>
        <v>11-0096</v>
      </c>
      <c r="D3453" s="8">
        <v>40588</v>
      </c>
      <c r="F3453" s="8">
        <v>40589</v>
      </c>
      <c r="G3453" s="8">
        <v>40592</v>
      </c>
      <c r="Y3453" s="8"/>
    </row>
    <row r="3454" spans="1:25" x14ac:dyDescent="0.25">
      <c r="A3454" t="str">
        <f>"11-0097"</f>
        <v>11-0097</v>
      </c>
      <c r="D3454" s="8">
        <v>40588</v>
      </c>
      <c r="F3454" s="8">
        <v>40590</v>
      </c>
      <c r="G3454" s="8">
        <v>40592</v>
      </c>
      <c r="Y3454" s="8"/>
    </row>
    <row r="3455" spans="1:25" x14ac:dyDescent="0.25">
      <c r="A3455" t="str">
        <f>"11-0098"</f>
        <v>11-0098</v>
      </c>
      <c r="D3455" s="8">
        <v>40588</v>
      </c>
      <c r="F3455" s="8">
        <v>40596</v>
      </c>
      <c r="G3455" s="8">
        <v>40592</v>
      </c>
      <c r="Y3455" s="8"/>
    </row>
    <row r="3456" spans="1:25" x14ac:dyDescent="0.25">
      <c r="A3456" t="str">
        <f>"11-0099"</f>
        <v>11-0099</v>
      </c>
      <c r="D3456" s="8">
        <v>40588</v>
      </c>
      <c r="F3456" s="8">
        <v>40588</v>
      </c>
      <c r="G3456" s="8">
        <v>40588</v>
      </c>
      <c r="Y3456" s="8"/>
    </row>
    <row r="3457" spans="1:25" x14ac:dyDescent="0.25">
      <c r="A3457" t="str">
        <f>"11-0100"</f>
        <v>11-0100</v>
      </c>
      <c r="D3457" s="8">
        <v>40588</v>
      </c>
      <c r="F3457" s="8">
        <v>40588</v>
      </c>
      <c r="G3457" s="8">
        <v>40590</v>
      </c>
      <c r="Y3457" s="8"/>
    </row>
    <row r="3458" spans="1:25" x14ac:dyDescent="0.25">
      <c r="A3458" t="str">
        <f>"11-0101"</f>
        <v>11-0101</v>
      </c>
      <c r="D3458" s="8">
        <v>40588</v>
      </c>
      <c r="F3458" s="8">
        <v>40588</v>
      </c>
      <c r="G3458" s="8">
        <v>40588</v>
      </c>
      <c r="Y3458" s="8"/>
    </row>
    <row r="3459" spans="1:25" x14ac:dyDescent="0.25">
      <c r="A3459" t="str">
        <f>"11-0102"</f>
        <v>11-0102</v>
      </c>
      <c r="D3459" s="8">
        <v>40588</v>
      </c>
      <c r="F3459" s="8">
        <v>40588</v>
      </c>
      <c r="G3459" s="8">
        <v>40590</v>
      </c>
      <c r="Y3459" s="8"/>
    </row>
    <row r="3460" spans="1:25" x14ac:dyDescent="0.25">
      <c r="A3460" t="str">
        <f>"11-0089B"</f>
        <v>11-0089B</v>
      </c>
      <c r="D3460" s="8">
        <v>40584</v>
      </c>
      <c r="F3460" s="8">
        <v>40584</v>
      </c>
      <c r="G3460" s="8">
        <v>40584</v>
      </c>
      <c r="Y3460" s="8"/>
    </row>
    <row r="3461" spans="1:25" x14ac:dyDescent="0.25">
      <c r="A3461" t="str">
        <f>"11-0091"</f>
        <v>11-0091</v>
      </c>
      <c r="D3461" s="8">
        <v>40584</v>
      </c>
      <c r="F3461" s="8">
        <v>40585</v>
      </c>
      <c r="G3461" s="8">
        <v>40586</v>
      </c>
      <c r="Y3461" s="8"/>
    </row>
    <row r="3462" spans="1:25" x14ac:dyDescent="0.25">
      <c r="A3462" t="str">
        <f>"11-0092"</f>
        <v>11-0092</v>
      </c>
      <c r="D3462" s="8">
        <v>40584</v>
      </c>
      <c r="F3462" s="8">
        <v>40584</v>
      </c>
      <c r="G3462" s="8">
        <v>40584</v>
      </c>
      <c r="Y3462" s="8"/>
    </row>
    <row r="3463" spans="1:25" x14ac:dyDescent="0.25">
      <c r="A3463" t="str">
        <f>"11-0084"</f>
        <v>11-0084</v>
      </c>
      <c r="D3463" s="8">
        <v>40583</v>
      </c>
      <c r="F3463" s="8">
        <v>40591</v>
      </c>
      <c r="G3463" s="8">
        <v>40590</v>
      </c>
      <c r="Y3463" s="8"/>
    </row>
    <row r="3464" spans="1:25" x14ac:dyDescent="0.25">
      <c r="A3464" t="str">
        <f>"11-0085"</f>
        <v>11-0085</v>
      </c>
      <c r="D3464" s="8">
        <v>40583</v>
      </c>
      <c r="F3464" s="8">
        <v>40591</v>
      </c>
      <c r="G3464" s="8">
        <v>40590</v>
      </c>
      <c r="Y3464" s="8"/>
    </row>
    <row r="3465" spans="1:25" x14ac:dyDescent="0.25">
      <c r="A3465" t="str">
        <f>"11-0086"</f>
        <v>11-0086</v>
      </c>
      <c r="D3465" s="8">
        <v>40583</v>
      </c>
      <c r="F3465" s="8">
        <v>40591</v>
      </c>
      <c r="G3465" s="8">
        <v>40590</v>
      </c>
      <c r="Y3465" s="8"/>
    </row>
    <row r="3466" spans="1:25" x14ac:dyDescent="0.25">
      <c r="A3466" t="str">
        <f>"11-0087"</f>
        <v>11-0087</v>
      </c>
      <c r="D3466" s="8">
        <v>40583</v>
      </c>
      <c r="F3466" s="8">
        <v>40588</v>
      </c>
      <c r="G3466" s="8">
        <v>40590</v>
      </c>
      <c r="Y3466" s="8"/>
    </row>
    <row r="3467" spans="1:25" x14ac:dyDescent="0.25">
      <c r="A3467" t="str">
        <f>"11-0088"</f>
        <v>11-0088</v>
      </c>
      <c r="D3467" s="8">
        <v>40583</v>
      </c>
      <c r="F3467" s="8">
        <v>40583</v>
      </c>
      <c r="G3467" s="8">
        <v>40590</v>
      </c>
      <c r="Y3467" s="8"/>
    </row>
    <row r="3468" spans="1:25" x14ac:dyDescent="0.25">
      <c r="A3468" t="str">
        <f>"11-0089"</f>
        <v>11-0089</v>
      </c>
      <c r="D3468" s="8">
        <v>40583</v>
      </c>
      <c r="F3468" s="8">
        <v>40583</v>
      </c>
      <c r="G3468" s="8">
        <v>40583</v>
      </c>
      <c r="Y3468" s="8"/>
    </row>
    <row r="3469" spans="1:25" x14ac:dyDescent="0.25">
      <c r="A3469" t="str">
        <f>"11-0090"</f>
        <v>11-0090</v>
      </c>
      <c r="D3469" s="8">
        <v>40583</v>
      </c>
      <c r="F3469" s="8">
        <v>40583</v>
      </c>
      <c r="G3469" s="8">
        <v>40583</v>
      </c>
      <c r="Y3469" s="8"/>
    </row>
    <row r="3470" spans="1:25" x14ac:dyDescent="0.25">
      <c r="A3470" t="str">
        <f>"10-0657B"</f>
        <v>10-0657B</v>
      </c>
      <c r="D3470" s="8">
        <v>40582</v>
      </c>
      <c r="F3470" s="8">
        <v>40582</v>
      </c>
      <c r="G3470" s="8">
        <v>40583</v>
      </c>
      <c r="Y3470" s="8"/>
    </row>
    <row r="3471" spans="1:25" x14ac:dyDescent="0.25">
      <c r="A3471" t="str">
        <f>"11-0077"</f>
        <v>11-0077</v>
      </c>
      <c r="D3471" s="8">
        <v>40582</v>
      </c>
      <c r="F3471" s="8">
        <v>40582</v>
      </c>
      <c r="G3471" s="8">
        <v>40582</v>
      </c>
      <c r="Y3471" s="8"/>
    </row>
    <row r="3472" spans="1:25" x14ac:dyDescent="0.25">
      <c r="A3472" t="str">
        <f>"11-0078"</f>
        <v>11-0078</v>
      </c>
      <c r="D3472" s="8">
        <v>40582</v>
      </c>
      <c r="F3472" s="8">
        <v>40582</v>
      </c>
      <c r="G3472" s="8">
        <v>40583</v>
      </c>
      <c r="Y3472" s="8"/>
    </row>
    <row r="3473" spans="1:25" x14ac:dyDescent="0.25">
      <c r="A3473" t="str">
        <f>"11-0079"</f>
        <v>11-0079</v>
      </c>
      <c r="D3473" s="8">
        <v>40582</v>
      </c>
      <c r="F3473" s="8">
        <v>40582</v>
      </c>
      <c r="G3473" s="8">
        <v>40582</v>
      </c>
      <c r="Y3473" s="8"/>
    </row>
    <row r="3474" spans="1:25" x14ac:dyDescent="0.25">
      <c r="A3474" t="str">
        <f>"11-0080"</f>
        <v>11-0080</v>
      </c>
      <c r="D3474" s="8">
        <v>40582</v>
      </c>
      <c r="F3474" s="8">
        <v>40582</v>
      </c>
      <c r="G3474" s="8">
        <v>40582</v>
      </c>
      <c r="Y3474" s="8"/>
    </row>
    <row r="3475" spans="1:25" x14ac:dyDescent="0.25">
      <c r="A3475" t="str">
        <f>"11-0081"</f>
        <v>11-0081</v>
      </c>
      <c r="D3475" s="8">
        <v>40582</v>
      </c>
      <c r="F3475" s="8">
        <v>40582</v>
      </c>
      <c r="G3475" s="8">
        <v>40582</v>
      </c>
      <c r="Y3475" s="8"/>
    </row>
    <row r="3476" spans="1:25" x14ac:dyDescent="0.25">
      <c r="A3476" t="str">
        <f>"11-0082"</f>
        <v>11-0082</v>
      </c>
      <c r="D3476" s="8">
        <v>40582</v>
      </c>
      <c r="F3476" s="8">
        <v>40583</v>
      </c>
      <c r="G3476" s="8">
        <v>40583</v>
      </c>
      <c r="Y3476" s="8"/>
    </row>
    <row r="3477" spans="1:25" x14ac:dyDescent="0.25">
      <c r="A3477" t="str">
        <f>"11-0083"</f>
        <v>11-0083</v>
      </c>
      <c r="D3477" s="8">
        <v>40582</v>
      </c>
      <c r="F3477" s="8">
        <v>40582</v>
      </c>
      <c r="G3477" s="8">
        <v>40582</v>
      </c>
      <c r="Y3477" s="8"/>
    </row>
    <row r="3478" spans="1:25" x14ac:dyDescent="0.25">
      <c r="A3478" t="str">
        <f>"11-0056B"</f>
        <v>11-0056B</v>
      </c>
      <c r="D3478" s="8">
        <v>40581</v>
      </c>
      <c r="F3478" s="8">
        <v>40581</v>
      </c>
      <c r="G3478" s="8">
        <v>40581</v>
      </c>
      <c r="Y3478" s="8"/>
    </row>
    <row r="3479" spans="1:25" x14ac:dyDescent="0.25">
      <c r="A3479" t="str">
        <f>"11-0068"</f>
        <v>11-0068</v>
      </c>
      <c r="D3479" s="8">
        <v>40578</v>
      </c>
      <c r="F3479" s="8">
        <v>40578</v>
      </c>
      <c r="G3479" s="8">
        <v>40578</v>
      </c>
      <c r="Y3479" s="8"/>
    </row>
    <row r="3480" spans="1:25" x14ac:dyDescent="0.25">
      <c r="A3480" t="str">
        <f>"11-0069"</f>
        <v>11-0069</v>
      </c>
      <c r="D3480" s="8">
        <v>40578</v>
      </c>
      <c r="F3480" s="8">
        <v>40583</v>
      </c>
      <c r="G3480" s="8">
        <v>40585</v>
      </c>
      <c r="Y3480" s="8"/>
    </row>
    <row r="3481" spans="1:25" x14ac:dyDescent="0.25">
      <c r="A3481" t="str">
        <f>"11-0070"</f>
        <v>11-0070</v>
      </c>
      <c r="D3481" s="8">
        <v>40578</v>
      </c>
      <c r="F3481" s="8">
        <v>40595</v>
      </c>
      <c r="G3481" s="8">
        <v>40592</v>
      </c>
      <c r="Y3481" s="8"/>
    </row>
    <row r="3482" spans="1:25" x14ac:dyDescent="0.25">
      <c r="A3482" t="str">
        <f>"11-0071"</f>
        <v>11-0071</v>
      </c>
      <c r="D3482" s="8">
        <v>40578</v>
      </c>
      <c r="F3482" s="8">
        <v>40583</v>
      </c>
      <c r="G3482" s="8">
        <v>40583</v>
      </c>
      <c r="Y3482" s="8"/>
    </row>
    <row r="3483" spans="1:25" x14ac:dyDescent="0.25">
      <c r="A3483" t="str">
        <f>"11-0072"</f>
        <v>11-0072</v>
      </c>
      <c r="D3483" s="8">
        <v>40578</v>
      </c>
      <c r="F3483" s="8">
        <v>40582</v>
      </c>
      <c r="G3483" s="8">
        <v>40582</v>
      </c>
      <c r="Y3483" s="8"/>
    </row>
    <row r="3484" spans="1:25" x14ac:dyDescent="0.25">
      <c r="A3484" t="str">
        <f>"11-0073"</f>
        <v>11-0073</v>
      </c>
      <c r="D3484" s="8">
        <v>40578</v>
      </c>
      <c r="F3484" s="8">
        <v>40582</v>
      </c>
      <c r="G3484" s="8">
        <v>40582</v>
      </c>
      <c r="Y3484" s="8"/>
    </row>
    <row r="3485" spans="1:25" x14ac:dyDescent="0.25">
      <c r="A3485" t="str">
        <f>"11-0074"</f>
        <v>11-0074</v>
      </c>
      <c r="D3485" s="8">
        <v>40578</v>
      </c>
      <c r="F3485" s="8">
        <v>40583</v>
      </c>
      <c r="G3485" s="8">
        <v>40582</v>
      </c>
      <c r="Y3485" s="8"/>
    </row>
    <row r="3486" spans="1:25" x14ac:dyDescent="0.25">
      <c r="A3486" t="str">
        <f>"11-0075"</f>
        <v>11-0075</v>
      </c>
      <c r="D3486" s="8">
        <v>40578</v>
      </c>
      <c r="F3486" s="8">
        <v>40582</v>
      </c>
      <c r="G3486" s="8">
        <v>40582</v>
      </c>
      <c r="Y3486" s="8"/>
    </row>
    <row r="3487" spans="1:25" x14ac:dyDescent="0.25">
      <c r="A3487" t="str">
        <f>"11-0065"</f>
        <v>11-0065</v>
      </c>
      <c r="D3487" s="8">
        <v>40577</v>
      </c>
      <c r="F3487" s="8">
        <v>40577</v>
      </c>
      <c r="G3487" s="8">
        <v>40577</v>
      </c>
      <c r="Y3487" s="8"/>
    </row>
    <row r="3488" spans="1:25" x14ac:dyDescent="0.25">
      <c r="A3488" t="str">
        <f>"11-0066"</f>
        <v>11-0066</v>
      </c>
      <c r="D3488" s="8">
        <v>40577</v>
      </c>
      <c r="F3488" s="8">
        <v>40577</v>
      </c>
      <c r="G3488" s="8">
        <v>40578</v>
      </c>
      <c r="Y3488" s="8"/>
    </row>
    <row r="3489" spans="1:25" x14ac:dyDescent="0.25">
      <c r="A3489" t="str">
        <f>"11-0067"</f>
        <v>11-0067</v>
      </c>
      <c r="D3489" s="8">
        <v>40577</v>
      </c>
      <c r="F3489" s="8">
        <v>40577</v>
      </c>
      <c r="G3489" s="8">
        <v>40578</v>
      </c>
      <c r="Y3489" s="8"/>
    </row>
    <row r="3490" spans="1:25" x14ac:dyDescent="0.25">
      <c r="A3490" t="str">
        <f>"10-0647F"</f>
        <v>10-0647F</v>
      </c>
      <c r="D3490" s="8">
        <v>40576</v>
      </c>
      <c r="F3490" s="8">
        <v>40577</v>
      </c>
      <c r="G3490" s="8">
        <v>40578</v>
      </c>
      <c r="Y3490" s="8"/>
    </row>
    <row r="3491" spans="1:25" x14ac:dyDescent="0.25">
      <c r="A3491" t="str">
        <f>"11-0062"</f>
        <v>11-0062</v>
      </c>
      <c r="D3491" s="8">
        <v>40576</v>
      </c>
      <c r="F3491" s="8">
        <v>40576</v>
      </c>
      <c r="G3491" s="8">
        <v>40576</v>
      </c>
      <c r="Y3491" s="8"/>
    </row>
    <row r="3492" spans="1:25" x14ac:dyDescent="0.25">
      <c r="A3492" t="str">
        <f>"11-0063"</f>
        <v>11-0063</v>
      </c>
      <c r="D3492" s="8">
        <v>40576</v>
      </c>
      <c r="F3492" s="8">
        <v>40576</v>
      </c>
      <c r="G3492" s="8">
        <v>40576</v>
      </c>
      <c r="Y3492" s="8"/>
    </row>
    <row r="3493" spans="1:25" x14ac:dyDescent="0.25">
      <c r="A3493" t="str">
        <f>"11-0063B"</f>
        <v>11-0063B</v>
      </c>
      <c r="D3493" s="8">
        <v>40576</v>
      </c>
      <c r="F3493" s="8">
        <v>40576</v>
      </c>
      <c r="G3493" s="8">
        <v>40576</v>
      </c>
      <c r="Y3493" s="8"/>
    </row>
    <row r="3494" spans="1:25" x14ac:dyDescent="0.25">
      <c r="A3494" t="str">
        <f>"11-0064"</f>
        <v>11-0064</v>
      </c>
      <c r="D3494" s="8">
        <v>40576</v>
      </c>
      <c r="F3494" s="8">
        <v>40576</v>
      </c>
      <c r="G3494" s="8">
        <v>40576</v>
      </c>
      <c r="Y3494" s="8"/>
    </row>
    <row r="3495" spans="1:25" x14ac:dyDescent="0.25">
      <c r="A3495" t="str">
        <f>"11-0059"</f>
        <v>11-0059</v>
      </c>
      <c r="D3495" s="8">
        <v>40575</v>
      </c>
      <c r="F3495" s="8">
        <v>40736</v>
      </c>
      <c r="G3495" s="8">
        <v>40574</v>
      </c>
      <c r="Y3495" s="8"/>
    </row>
    <row r="3496" spans="1:25" x14ac:dyDescent="0.25">
      <c r="A3496" t="str">
        <f>"11-0060"</f>
        <v>11-0060</v>
      </c>
      <c r="D3496" s="8">
        <v>40575</v>
      </c>
      <c r="F3496" s="8">
        <v>40575</v>
      </c>
      <c r="G3496" s="8">
        <v>40575</v>
      </c>
      <c r="Y3496" s="8"/>
    </row>
    <row r="3497" spans="1:25" x14ac:dyDescent="0.25">
      <c r="A3497" t="str">
        <f>"10-0478B"</f>
        <v>10-0478B</v>
      </c>
      <c r="D3497" s="8">
        <v>40574</v>
      </c>
      <c r="F3497" s="8">
        <v>40575</v>
      </c>
      <c r="G3497" s="8">
        <v>40574</v>
      </c>
      <c r="Y3497" s="8"/>
    </row>
    <row r="3498" spans="1:25" x14ac:dyDescent="0.25">
      <c r="A3498" t="str">
        <f>"11-0057"</f>
        <v>11-0057</v>
      </c>
      <c r="D3498" s="8">
        <v>40574</v>
      </c>
      <c r="F3498" s="8">
        <v>40574</v>
      </c>
      <c r="G3498" s="8">
        <v>40574</v>
      </c>
      <c r="Y3498" s="8"/>
    </row>
    <row r="3499" spans="1:25" x14ac:dyDescent="0.25">
      <c r="A3499" t="str">
        <f>"11-0058"</f>
        <v>11-0058</v>
      </c>
      <c r="D3499" s="8">
        <v>40574</v>
      </c>
      <c r="F3499" s="8">
        <v>40574</v>
      </c>
      <c r="G3499" s="8">
        <v>40574</v>
      </c>
      <c r="Y3499" s="8"/>
    </row>
    <row r="3500" spans="1:25" x14ac:dyDescent="0.25">
      <c r="A3500" t="str">
        <f>"11-0061"</f>
        <v>11-0061</v>
      </c>
      <c r="D3500" s="8">
        <v>40574</v>
      </c>
      <c r="F3500" s="8">
        <v>40575</v>
      </c>
      <c r="G3500" s="8">
        <v>40574</v>
      </c>
      <c r="Y3500" s="8"/>
    </row>
    <row r="3501" spans="1:25" x14ac:dyDescent="0.25">
      <c r="A3501" t="str">
        <f>"11-0051"</f>
        <v>11-0051</v>
      </c>
      <c r="D3501" s="8">
        <v>40571</v>
      </c>
      <c r="F3501" s="8">
        <v>40571</v>
      </c>
      <c r="G3501" s="8">
        <v>40571</v>
      </c>
      <c r="Y3501" s="8"/>
    </row>
    <row r="3502" spans="1:25" x14ac:dyDescent="0.25">
      <c r="A3502" t="str">
        <f>"11-0052"</f>
        <v>11-0052</v>
      </c>
      <c r="D3502" s="8">
        <v>40571</v>
      </c>
      <c r="F3502" s="8">
        <v>40571</v>
      </c>
      <c r="G3502" s="8">
        <v>40574</v>
      </c>
      <c r="Y3502" s="8"/>
    </row>
    <row r="3503" spans="1:25" x14ac:dyDescent="0.25">
      <c r="A3503" t="str">
        <f>"11-0053"</f>
        <v>11-0053</v>
      </c>
      <c r="D3503" s="8">
        <v>40571</v>
      </c>
      <c r="F3503" s="8">
        <v>40576</v>
      </c>
      <c r="G3503" s="8">
        <v>40576</v>
      </c>
      <c r="Y3503" s="8"/>
    </row>
    <row r="3504" spans="1:25" x14ac:dyDescent="0.25">
      <c r="A3504" t="str">
        <f>"11-0054"</f>
        <v>11-0054</v>
      </c>
      <c r="D3504" s="8">
        <v>40571</v>
      </c>
      <c r="F3504" s="8">
        <v>40571</v>
      </c>
      <c r="G3504" s="8">
        <v>40571</v>
      </c>
      <c r="Y3504" s="8"/>
    </row>
    <row r="3505" spans="1:25" x14ac:dyDescent="0.25">
      <c r="A3505" t="str">
        <f>"11-0055"</f>
        <v>11-0055</v>
      </c>
      <c r="D3505" s="8">
        <v>40571</v>
      </c>
      <c r="F3505" s="8">
        <v>40588</v>
      </c>
      <c r="G3505" s="8">
        <v>40575</v>
      </c>
      <c r="Y3505" s="8"/>
    </row>
    <row r="3506" spans="1:25" x14ac:dyDescent="0.25">
      <c r="A3506" t="str">
        <f>"11-0056"</f>
        <v>11-0056</v>
      </c>
      <c r="D3506" s="8">
        <v>40571</v>
      </c>
      <c r="F3506" s="8">
        <v>40577</v>
      </c>
      <c r="G3506" s="8">
        <v>40578</v>
      </c>
      <c r="Y3506" s="8"/>
    </row>
    <row r="3507" spans="1:25" x14ac:dyDescent="0.25">
      <c r="A3507" t="str">
        <f>"11-0037B"</f>
        <v>11-0037B</v>
      </c>
      <c r="D3507" s="8">
        <v>40570</v>
      </c>
      <c r="F3507" s="8">
        <v>40570</v>
      </c>
      <c r="G3507" s="8">
        <v>40570</v>
      </c>
      <c r="Y3507" s="8"/>
    </row>
    <row r="3508" spans="1:25" x14ac:dyDescent="0.25">
      <c r="A3508" t="str">
        <f>"11-0047"</f>
        <v>11-0047</v>
      </c>
      <c r="D3508" s="8">
        <v>40570</v>
      </c>
      <c r="F3508" s="8">
        <v>40575</v>
      </c>
      <c r="G3508" s="8">
        <v>40571</v>
      </c>
      <c r="Y3508" s="8"/>
    </row>
    <row r="3509" spans="1:25" x14ac:dyDescent="0.25">
      <c r="A3509" t="str">
        <f>"11-0048"</f>
        <v>11-0048</v>
      </c>
      <c r="D3509" s="8">
        <v>40570</v>
      </c>
      <c r="F3509" s="8">
        <v>40570</v>
      </c>
      <c r="G3509" s="8">
        <v>40571</v>
      </c>
      <c r="Y3509" s="8"/>
    </row>
    <row r="3510" spans="1:25" x14ac:dyDescent="0.25">
      <c r="A3510" t="str">
        <f>"11-0049"</f>
        <v>11-0049</v>
      </c>
      <c r="D3510" s="8">
        <v>40570</v>
      </c>
      <c r="F3510" s="8">
        <v>40570</v>
      </c>
      <c r="G3510" s="8">
        <v>40570</v>
      </c>
      <c r="Y3510" s="8"/>
    </row>
    <row r="3511" spans="1:25" x14ac:dyDescent="0.25">
      <c r="A3511" t="str">
        <f>"11-0050"</f>
        <v>11-0050</v>
      </c>
      <c r="D3511" s="8">
        <v>40570</v>
      </c>
      <c r="F3511" s="8">
        <v>40570</v>
      </c>
      <c r="G3511" s="8">
        <v>40570</v>
      </c>
      <c r="Y3511" s="8"/>
    </row>
    <row r="3512" spans="1:25" x14ac:dyDescent="0.25">
      <c r="A3512" t="str">
        <f>"11-0044"</f>
        <v>11-0044</v>
      </c>
      <c r="D3512" s="8">
        <v>40569</v>
      </c>
      <c r="F3512" s="8">
        <v>40569</v>
      </c>
      <c r="G3512" s="8">
        <v>40571</v>
      </c>
      <c r="Y3512" s="8"/>
    </row>
    <row r="3513" spans="1:25" x14ac:dyDescent="0.25">
      <c r="A3513" t="str">
        <f>"11-0045"</f>
        <v>11-0045</v>
      </c>
      <c r="D3513" s="8">
        <v>40569</v>
      </c>
      <c r="F3513" s="8">
        <v>40569</v>
      </c>
      <c r="G3513" s="8">
        <v>40569</v>
      </c>
      <c r="Y3513" s="8"/>
    </row>
    <row r="3514" spans="1:25" x14ac:dyDescent="0.25">
      <c r="A3514" t="str">
        <f>"11-0046"</f>
        <v>11-0046</v>
      </c>
      <c r="D3514" s="8">
        <v>40569</v>
      </c>
      <c r="F3514" s="8">
        <v>40569</v>
      </c>
      <c r="G3514" s="8">
        <v>40569</v>
      </c>
      <c r="Y3514" s="8"/>
    </row>
    <row r="3515" spans="1:25" x14ac:dyDescent="0.25">
      <c r="A3515" t="str">
        <f>"11-0039"</f>
        <v>11-0039</v>
      </c>
      <c r="D3515" s="8">
        <v>40568</v>
      </c>
      <c r="F3515" s="8">
        <v>40568</v>
      </c>
      <c r="G3515" s="8">
        <v>40568</v>
      </c>
      <c r="Y3515" s="8"/>
    </row>
    <row r="3516" spans="1:25" x14ac:dyDescent="0.25">
      <c r="A3516" t="str">
        <f>"11-0040"</f>
        <v>11-0040</v>
      </c>
      <c r="D3516" s="8">
        <v>40568</v>
      </c>
      <c r="F3516" s="8">
        <v>40568</v>
      </c>
      <c r="G3516" s="8">
        <v>40568</v>
      </c>
      <c r="Y3516" s="8"/>
    </row>
    <row r="3517" spans="1:25" x14ac:dyDescent="0.25">
      <c r="A3517" t="str">
        <f>"11-0041"</f>
        <v>11-0041</v>
      </c>
      <c r="D3517" s="8">
        <v>40568</v>
      </c>
      <c r="F3517" s="8">
        <v>40568</v>
      </c>
      <c r="G3517" s="8">
        <v>40568</v>
      </c>
      <c r="Y3517" s="8"/>
    </row>
    <row r="3518" spans="1:25" x14ac:dyDescent="0.25">
      <c r="A3518" t="str">
        <f>"11-0042"</f>
        <v>11-0042</v>
      </c>
      <c r="D3518" s="8">
        <v>40568</v>
      </c>
      <c r="F3518" s="8">
        <v>40568</v>
      </c>
      <c r="G3518" s="8">
        <v>40568</v>
      </c>
      <c r="Y3518" s="8"/>
    </row>
    <row r="3519" spans="1:25" x14ac:dyDescent="0.25">
      <c r="A3519" t="str">
        <f>"11-0043"</f>
        <v>11-0043</v>
      </c>
      <c r="D3519" s="8">
        <v>40568</v>
      </c>
      <c r="F3519" s="8">
        <v>40568</v>
      </c>
      <c r="G3519" s="8">
        <v>40568</v>
      </c>
      <c r="Y3519" s="8"/>
    </row>
    <row r="3520" spans="1:25" x14ac:dyDescent="0.25">
      <c r="A3520" t="str">
        <f>"11-0037"</f>
        <v>11-0037</v>
      </c>
      <c r="D3520" s="8">
        <v>40567</v>
      </c>
      <c r="F3520" s="8">
        <v>40567</v>
      </c>
      <c r="G3520" s="8">
        <v>40567</v>
      </c>
      <c r="Y3520" s="8"/>
    </row>
    <row r="3521" spans="1:25" x14ac:dyDescent="0.25">
      <c r="A3521" t="str">
        <f>"11-0038"</f>
        <v>11-0038</v>
      </c>
      <c r="D3521" s="8">
        <v>40567</v>
      </c>
      <c r="F3521" s="8">
        <v>40567</v>
      </c>
      <c r="G3521" s="8">
        <v>40567</v>
      </c>
      <c r="Y3521" s="8"/>
    </row>
    <row r="3522" spans="1:25" x14ac:dyDescent="0.25">
      <c r="A3522" t="str">
        <f>"11-0034"</f>
        <v>11-0034</v>
      </c>
      <c r="D3522" s="8">
        <v>40564</v>
      </c>
      <c r="F3522" s="8">
        <v>40564</v>
      </c>
      <c r="G3522" s="8">
        <v>40564</v>
      </c>
      <c r="Y3522" s="8"/>
    </row>
    <row r="3523" spans="1:25" x14ac:dyDescent="0.25">
      <c r="A3523" t="str">
        <f>"11-0035"</f>
        <v>11-0035</v>
      </c>
      <c r="D3523" s="8">
        <v>40564</v>
      </c>
      <c r="F3523" s="8">
        <v>40975</v>
      </c>
      <c r="G3523" s="8">
        <v>40564</v>
      </c>
      <c r="Y3523" s="8"/>
    </row>
    <row r="3524" spans="1:25" x14ac:dyDescent="0.25">
      <c r="A3524" t="str">
        <f>"11-0035B"</f>
        <v>11-0035B</v>
      </c>
      <c r="D3524" s="8">
        <v>40564</v>
      </c>
      <c r="F3524" s="8">
        <v>40605</v>
      </c>
      <c r="G3524" s="8">
        <v>40565</v>
      </c>
      <c r="Y3524" s="8"/>
    </row>
    <row r="3525" spans="1:25" x14ac:dyDescent="0.25">
      <c r="A3525" t="str">
        <f>"11-0036"</f>
        <v>11-0036</v>
      </c>
      <c r="D3525" s="8">
        <v>40564</v>
      </c>
      <c r="F3525" s="8">
        <v>40567</v>
      </c>
      <c r="G3525" s="8">
        <v>40564</v>
      </c>
      <c r="Y3525" s="8"/>
    </row>
    <row r="3526" spans="1:25" x14ac:dyDescent="0.25">
      <c r="A3526" t="str">
        <f>"11-0022B"</f>
        <v>11-0022B</v>
      </c>
      <c r="D3526" s="8">
        <v>40563</v>
      </c>
      <c r="F3526" s="8">
        <v>40563</v>
      </c>
      <c r="G3526" s="8">
        <v>40563</v>
      </c>
      <c r="Y3526" s="8"/>
    </row>
    <row r="3527" spans="1:25" x14ac:dyDescent="0.25">
      <c r="A3527" t="str">
        <f>"11-0028"</f>
        <v>11-0028</v>
      </c>
      <c r="D3527" s="8">
        <v>40563</v>
      </c>
      <c r="F3527" s="8">
        <v>40563</v>
      </c>
      <c r="G3527" s="8">
        <v>40563</v>
      </c>
      <c r="Y3527" s="8"/>
    </row>
    <row r="3528" spans="1:25" x14ac:dyDescent="0.25">
      <c r="A3528" t="str">
        <f>"11-0029"</f>
        <v>11-0029</v>
      </c>
      <c r="D3528" s="8">
        <v>40563</v>
      </c>
      <c r="F3528" s="8">
        <v>40563</v>
      </c>
      <c r="G3528" s="8">
        <v>40563</v>
      </c>
      <c r="Y3528" s="8"/>
    </row>
    <row r="3529" spans="1:25" x14ac:dyDescent="0.25">
      <c r="A3529" t="str">
        <f>"11-0030"</f>
        <v>11-0030</v>
      </c>
      <c r="D3529" s="8">
        <v>40563</v>
      </c>
      <c r="F3529" s="8">
        <v>40563</v>
      </c>
      <c r="G3529" s="8">
        <v>40563</v>
      </c>
      <c r="Y3529" s="8"/>
    </row>
    <row r="3530" spans="1:25" x14ac:dyDescent="0.25">
      <c r="A3530" t="str">
        <f>"11-0031"</f>
        <v>11-0031</v>
      </c>
      <c r="D3530" s="8">
        <v>40563</v>
      </c>
      <c r="F3530" s="8">
        <v>40567</v>
      </c>
      <c r="G3530" s="8">
        <v>40563</v>
      </c>
      <c r="Y3530" s="8"/>
    </row>
    <row r="3531" spans="1:25" x14ac:dyDescent="0.25">
      <c r="A3531" t="str">
        <f>"11-0032"</f>
        <v>11-0032</v>
      </c>
      <c r="D3531" s="8">
        <v>40563</v>
      </c>
      <c r="F3531" s="8">
        <v>40570</v>
      </c>
      <c r="G3531" s="8">
        <v>40574</v>
      </c>
      <c r="Y3531" s="8"/>
    </row>
    <row r="3532" spans="1:25" x14ac:dyDescent="0.25">
      <c r="A3532" t="str">
        <f>"11-0033"</f>
        <v>11-0033</v>
      </c>
      <c r="D3532" s="8">
        <v>40563</v>
      </c>
      <c r="F3532" s="8">
        <v>40564</v>
      </c>
      <c r="G3532" s="8">
        <v>40564</v>
      </c>
      <c r="Y3532" s="8"/>
    </row>
    <row r="3533" spans="1:25" x14ac:dyDescent="0.25">
      <c r="A3533" t="str">
        <f>"11-0023"</f>
        <v>11-0023</v>
      </c>
      <c r="D3533" s="8">
        <v>40562</v>
      </c>
      <c r="F3533" s="8">
        <v>40562</v>
      </c>
      <c r="G3533" s="8">
        <v>40562</v>
      </c>
      <c r="Y3533" s="8"/>
    </row>
    <row r="3534" spans="1:25" x14ac:dyDescent="0.25">
      <c r="A3534" t="str">
        <f>"11-0024"</f>
        <v>11-0024</v>
      </c>
      <c r="D3534" s="8">
        <v>40562</v>
      </c>
      <c r="F3534" s="8">
        <v>40569</v>
      </c>
      <c r="G3534" s="8">
        <v>40562</v>
      </c>
      <c r="Y3534" s="8"/>
    </row>
    <row r="3535" spans="1:25" x14ac:dyDescent="0.25">
      <c r="A3535" t="str">
        <f>"11-0025"</f>
        <v>11-0025</v>
      </c>
      <c r="D3535" s="8">
        <v>40562</v>
      </c>
      <c r="G3535" s="8">
        <v>40564</v>
      </c>
    </row>
    <row r="3536" spans="1:25" x14ac:dyDescent="0.25">
      <c r="A3536" t="str">
        <f>"11-0026"</f>
        <v>11-0026</v>
      </c>
      <c r="D3536" s="8">
        <v>40562</v>
      </c>
      <c r="F3536" s="8">
        <v>40562</v>
      </c>
      <c r="G3536" s="8">
        <v>40562</v>
      </c>
      <c r="Y3536" s="8"/>
    </row>
    <row r="3537" spans="1:25" x14ac:dyDescent="0.25">
      <c r="A3537" t="str">
        <f>"11-0027"</f>
        <v>11-0027</v>
      </c>
      <c r="D3537" s="8">
        <v>40562</v>
      </c>
      <c r="F3537" s="8">
        <v>40563</v>
      </c>
      <c r="G3537" s="8">
        <v>40562</v>
      </c>
      <c r="Y3537" s="8"/>
    </row>
    <row r="3538" spans="1:25" x14ac:dyDescent="0.25">
      <c r="A3538" t="str">
        <f>"11-0019"</f>
        <v>11-0019</v>
      </c>
      <c r="D3538" s="8">
        <v>40561</v>
      </c>
      <c r="F3538" s="8">
        <v>40562</v>
      </c>
      <c r="G3538" s="8">
        <v>40562</v>
      </c>
      <c r="Y3538" s="8"/>
    </row>
    <row r="3539" spans="1:25" x14ac:dyDescent="0.25">
      <c r="A3539" t="str">
        <f>"11-0020"</f>
        <v>11-0020</v>
      </c>
      <c r="D3539" s="8">
        <v>40561</v>
      </c>
      <c r="F3539" s="8">
        <v>41914</v>
      </c>
      <c r="G3539" s="8">
        <v>40561</v>
      </c>
      <c r="Y3539" s="8"/>
    </row>
    <row r="3540" spans="1:25" x14ac:dyDescent="0.25">
      <c r="A3540" t="str">
        <f>"11-0021"</f>
        <v>11-0021</v>
      </c>
      <c r="D3540" s="8">
        <v>40561</v>
      </c>
      <c r="F3540" s="8">
        <v>40561</v>
      </c>
      <c r="G3540" s="8">
        <v>40561</v>
      </c>
      <c r="Y3540" s="8"/>
    </row>
    <row r="3541" spans="1:25" x14ac:dyDescent="0.25">
      <c r="A3541" t="str">
        <f>"11-0022"</f>
        <v>11-0022</v>
      </c>
      <c r="D3541" s="8">
        <v>40561</v>
      </c>
      <c r="F3541" s="8">
        <v>40561</v>
      </c>
      <c r="G3541" s="8">
        <v>40561</v>
      </c>
      <c r="Y3541" s="8"/>
    </row>
    <row r="3542" spans="1:25" x14ac:dyDescent="0.25">
      <c r="A3542" t="str">
        <f>"11-0015"</f>
        <v>11-0015</v>
      </c>
      <c r="D3542" s="8">
        <v>40560</v>
      </c>
      <c r="F3542" s="8">
        <v>40560</v>
      </c>
      <c r="G3542" s="8">
        <v>40560</v>
      </c>
      <c r="Y3542" s="8"/>
    </row>
    <row r="3543" spans="1:25" x14ac:dyDescent="0.25">
      <c r="A3543" t="str">
        <f>"11-0016"</f>
        <v>11-0016</v>
      </c>
      <c r="D3543" s="8">
        <v>40560</v>
      </c>
      <c r="F3543" s="8">
        <v>41380</v>
      </c>
      <c r="G3543" s="8">
        <v>40579</v>
      </c>
      <c r="Y3543" s="8"/>
    </row>
    <row r="3544" spans="1:25" x14ac:dyDescent="0.25">
      <c r="A3544" t="str">
        <f>"11-0017"</f>
        <v>11-0017</v>
      </c>
      <c r="D3544" s="8">
        <v>40560</v>
      </c>
      <c r="F3544" s="8">
        <v>40560</v>
      </c>
      <c r="G3544" s="8">
        <v>40557</v>
      </c>
      <c r="Y3544" s="8"/>
    </row>
    <row r="3545" spans="1:25" x14ac:dyDescent="0.25">
      <c r="A3545" t="str">
        <f>"11-0018"</f>
        <v>11-0018</v>
      </c>
      <c r="D3545" s="8">
        <v>40560</v>
      </c>
      <c r="F3545" s="8">
        <v>40560</v>
      </c>
      <c r="G3545" s="8">
        <v>40560</v>
      </c>
      <c r="Y3545" s="8"/>
    </row>
    <row r="3546" spans="1:25" x14ac:dyDescent="0.25">
      <c r="A3546" t="str">
        <f>"11-0010"</f>
        <v>11-0010</v>
      </c>
      <c r="D3546" s="8">
        <v>40556</v>
      </c>
      <c r="F3546" s="8">
        <v>40556</v>
      </c>
      <c r="G3546" s="8">
        <v>40556</v>
      </c>
      <c r="Y3546" s="8"/>
    </row>
    <row r="3547" spans="1:25" x14ac:dyDescent="0.25">
      <c r="A3547" t="str">
        <f>"11-0011"</f>
        <v>11-0011</v>
      </c>
      <c r="D3547" s="8">
        <v>40556</v>
      </c>
      <c r="F3547" s="8">
        <v>40556</v>
      </c>
      <c r="G3547" s="8">
        <v>40556</v>
      </c>
      <c r="Y3547" s="8"/>
    </row>
    <row r="3548" spans="1:25" x14ac:dyDescent="0.25">
      <c r="A3548" t="str">
        <f>"11-0012"</f>
        <v>11-0012</v>
      </c>
      <c r="D3548" s="8">
        <v>40556</v>
      </c>
      <c r="F3548" s="8">
        <v>40557</v>
      </c>
      <c r="G3548" s="8">
        <v>40556</v>
      </c>
      <c r="Y3548" s="8"/>
    </row>
    <row r="3549" spans="1:25" x14ac:dyDescent="0.25">
      <c r="A3549" t="str">
        <f>"11-0013"</f>
        <v>11-0013</v>
      </c>
      <c r="D3549" s="8">
        <v>40556</v>
      </c>
      <c r="F3549" s="8">
        <v>40556</v>
      </c>
      <c r="G3549" s="8">
        <v>40556</v>
      </c>
      <c r="Y3549" s="8"/>
    </row>
    <row r="3550" spans="1:25" x14ac:dyDescent="0.25">
      <c r="A3550" t="str">
        <f>"11-0014"</f>
        <v>11-0014</v>
      </c>
      <c r="D3550" s="8">
        <v>40556</v>
      </c>
      <c r="F3550" s="8">
        <v>40556</v>
      </c>
      <c r="G3550" s="8">
        <v>40556</v>
      </c>
      <c r="Y3550" s="8"/>
    </row>
    <row r="3551" spans="1:25" x14ac:dyDescent="0.25">
      <c r="A3551" t="str">
        <f>"11-0007"</f>
        <v>11-0007</v>
      </c>
      <c r="D3551" s="8">
        <v>40555</v>
      </c>
      <c r="F3551" s="8">
        <v>40556</v>
      </c>
      <c r="G3551" s="8">
        <v>40556</v>
      </c>
      <c r="Y3551" s="8"/>
    </row>
    <row r="3552" spans="1:25" x14ac:dyDescent="0.25">
      <c r="A3552" t="str">
        <f>"11-0008"</f>
        <v>11-0008</v>
      </c>
      <c r="D3552" s="8">
        <v>40555</v>
      </c>
      <c r="F3552" s="8">
        <v>40555</v>
      </c>
      <c r="G3552" s="8">
        <v>40556</v>
      </c>
      <c r="Y3552" s="8"/>
    </row>
    <row r="3553" spans="1:25" x14ac:dyDescent="0.25">
      <c r="A3553" t="str">
        <f>"11-0009"</f>
        <v>11-0009</v>
      </c>
      <c r="D3553" s="8">
        <v>40555</v>
      </c>
      <c r="F3553" s="8">
        <v>40555</v>
      </c>
      <c r="G3553" s="8">
        <v>40553</v>
      </c>
      <c r="Y3553" s="8"/>
    </row>
    <row r="3554" spans="1:25" x14ac:dyDescent="0.25">
      <c r="A3554" t="str">
        <f>"11-0002B"</f>
        <v>11-0002B</v>
      </c>
      <c r="D3554" s="8">
        <v>40554</v>
      </c>
      <c r="F3554" s="8">
        <v>40554</v>
      </c>
      <c r="G3554" s="8">
        <v>40554</v>
      </c>
      <c r="Y3554" s="8"/>
    </row>
    <row r="3555" spans="1:25" x14ac:dyDescent="0.25">
      <c r="A3555" t="str">
        <f>"11-0006"</f>
        <v>11-0006</v>
      </c>
      <c r="D3555" s="8">
        <v>40554</v>
      </c>
      <c r="F3555" s="8">
        <v>40554</v>
      </c>
      <c r="G3555" s="8">
        <v>40554</v>
      </c>
      <c r="Y3555" s="8"/>
    </row>
    <row r="3556" spans="1:25" x14ac:dyDescent="0.25">
      <c r="A3556" t="str">
        <f>"11-0003B"</f>
        <v>11-0003B</v>
      </c>
      <c r="D3556" s="8">
        <v>40553</v>
      </c>
      <c r="F3556" s="8">
        <v>40553</v>
      </c>
      <c r="G3556" s="8">
        <v>40553</v>
      </c>
      <c r="Y3556" s="8"/>
    </row>
    <row r="3557" spans="1:25" x14ac:dyDescent="0.25">
      <c r="A3557" t="str">
        <f>"11-0004"</f>
        <v>11-0004</v>
      </c>
      <c r="D3557" s="8">
        <v>40553</v>
      </c>
      <c r="F3557" s="8">
        <v>40553</v>
      </c>
      <c r="G3557" s="8">
        <v>40555</v>
      </c>
      <c r="Y3557" s="8"/>
    </row>
    <row r="3558" spans="1:25" x14ac:dyDescent="0.25">
      <c r="A3558" t="str">
        <f>"11-0005"</f>
        <v>11-0005</v>
      </c>
      <c r="D3558" s="8">
        <v>40553</v>
      </c>
      <c r="F3558" s="8">
        <v>40553</v>
      </c>
      <c r="G3558" s="8">
        <v>40553</v>
      </c>
      <c r="Y3558" s="8"/>
    </row>
    <row r="3559" spans="1:25" x14ac:dyDescent="0.25">
      <c r="A3559" t="str">
        <f>"10-0532B"</f>
        <v>10-0532B</v>
      </c>
      <c r="D3559" s="8">
        <v>40549</v>
      </c>
      <c r="F3559" s="8">
        <v>40550</v>
      </c>
      <c r="G3559" s="8">
        <v>40550</v>
      </c>
      <c r="Y3559" s="8"/>
    </row>
    <row r="3560" spans="1:25" x14ac:dyDescent="0.25">
      <c r="A3560" t="str">
        <f>"11-0002"</f>
        <v>11-0002</v>
      </c>
      <c r="D3560" s="8">
        <v>40549</v>
      </c>
      <c r="F3560" s="8">
        <v>40549</v>
      </c>
      <c r="G3560" s="8">
        <v>40549</v>
      </c>
      <c r="Y3560" s="8"/>
    </row>
    <row r="3561" spans="1:25" x14ac:dyDescent="0.25">
      <c r="A3561" t="str">
        <f>"11-0003"</f>
        <v>11-0003</v>
      </c>
      <c r="D3561" s="8">
        <v>40549</v>
      </c>
      <c r="F3561" s="8">
        <v>40553</v>
      </c>
      <c r="G3561" s="8">
        <v>40549</v>
      </c>
      <c r="Y3561" s="8"/>
    </row>
    <row r="3562" spans="1:25" x14ac:dyDescent="0.25">
      <c r="A3562" t="str">
        <f>"11-0001"</f>
        <v>11-0001</v>
      </c>
      <c r="D3562" s="8">
        <v>40548</v>
      </c>
      <c r="F3562" s="8">
        <v>40548</v>
      </c>
      <c r="G3562" s="8">
        <v>40548</v>
      </c>
      <c r="Y3562" s="8"/>
    </row>
    <row r="3563" spans="1:25" x14ac:dyDescent="0.25">
      <c r="A3563" t="str">
        <f>"10-0832"</f>
        <v>10-0832</v>
      </c>
      <c r="D3563" s="8">
        <v>40543</v>
      </c>
      <c r="F3563" s="8">
        <v>40543</v>
      </c>
      <c r="G3563" s="8">
        <v>40543</v>
      </c>
      <c r="Y3563" s="8"/>
    </row>
    <row r="3564" spans="1:25" x14ac:dyDescent="0.25">
      <c r="A3564" t="str">
        <f>"10-0827"</f>
        <v>10-0827</v>
      </c>
      <c r="D3564" s="8">
        <v>40542</v>
      </c>
      <c r="G3564" s="8">
        <v>40557</v>
      </c>
    </row>
    <row r="3565" spans="1:25" x14ac:dyDescent="0.25">
      <c r="A3565" t="str">
        <f>"10-0828"</f>
        <v>10-0828</v>
      </c>
      <c r="D3565" s="8">
        <v>40542</v>
      </c>
      <c r="F3565" s="8">
        <v>40542</v>
      </c>
      <c r="G3565" s="8">
        <v>40542</v>
      </c>
      <c r="Y3565" s="8"/>
    </row>
    <row r="3566" spans="1:25" x14ac:dyDescent="0.25">
      <c r="A3566" t="str">
        <f>"10-0829"</f>
        <v>10-0829</v>
      </c>
      <c r="D3566" s="8">
        <v>40542</v>
      </c>
      <c r="F3566" s="8">
        <v>40542</v>
      </c>
      <c r="G3566" s="8">
        <v>40543</v>
      </c>
      <c r="Y3566" s="8"/>
    </row>
    <row r="3567" spans="1:25" x14ac:dyDescent="0.25">
      <c r="A3567" t="str">
        <f>"10-0830"</f>
        <v>10-0830</v>
      </c>
      <c r="D3567" s="8">
        <v>40542</v>
      </c>
      <c r="F3567" s="8">
        <v>40542</v>
      </c>
      <c r="G3567" s="8">
        <v>40542</v>
      </c>
      <c r="Y3567" s="8"/>
    </row>
    <row r="3568" spans="1:25" x14ac:dyDescent="0.25">
      <c r="A3568" t="str">
        <f>"10-0831"</f>
        <v>10-0831</v>
      </c>
      <c r="D3568" s="8">
        <v>40542</v>
      </c>
      <c r="G3568" s="8">
        <v>40548</v>
      </c>
    </row>
    <row r="3569" spans="1:25" x14ac:dyDescent="0.25">
      <c r="A3569" t="str">
        <f>"10-0822"</f>
        <v>10-0822</v>
      </c>
      <c r="D3569" s="8">
        <v>40541</v>
      </c>
      <c r="F3569" s="8">
        <v>40543</v>
      </c>
      <c r="G3569" s="8">
        <v>40546</v>
      </c>
      <c r="Y3569" s="8"/>
    </row>
    <row r="3570" spans="1:25" x14ac:dyDescent="0.25">
      <c r="A3570" t="str">
        <f>"10-0823"</f>
        <v>10-0823</v>
      </c>
      <c r="D3570" s="8">
        <v>40541</v>
      </c>
      <c r="F3570" s="8">
        <v>40542</v>
      </c>
      <c r="G3570" s="8">
        <v>40546</v>
      </c>
      <c r="Y3570" s="8"/>
    </row>
    <row r="3571" spans="1:25" x14ac:dyDescent="0.25">
      <c r="A3571" t="str">
        <f>"10-0824"</f>
        <v>10-0824</v>
      </c>
      <c r="D3571" s="8">
        <v>40541</v>
      </c>
      <c r="G3571" s="8">
        <v>40546</v>
      </c>
    </row>
    <row r="3572" spans="1:25" x14ac:dyDescent="0.25">
      <c r="A3572" t="str">
        <f>"10-0825"</f>
        <v>10-0825</v>
      </c>
      <c r="D3572" s="8">
        <v>40541</v>
      </c>
      <c r="F3572" s="8">
        <v>40547</v>
      </c>
      <c r="G3572" s="8">
        <v>40550</v>
      </c>
    </row>
    <row r="3573" spans="1:25" x14ac:dyDescent="0.25">
      <c r="A3573" t="str">
        <f>"10-0826"</f>
        <v>10-0826</v>
      </c>
      <c r="D3573" s="8">
        <v>40541</v>
      </c>
      <c r="F3573" s="8">
        <v>40553</v>
      </c>
      <c r="G3573" s="8">
        <v>40546</v>
      </c>
      <c r="Y3573" s="8"/>
    </row>
    <row r="3574" spans="1:25" x14ac:dyDescent="0.25">
      <c r="A3574" t="str">
        <f>"10-0547C"</f>
        <v>10-0547C</v>
      </c>
      <c r="D3574" s="8">
        <v>40540</v>
      </c>
      <c r="F3574" s="8">
        <v>40540</v>
      </c>
      <c r="G3574" s="8">
        <v>40540</v>
      </c>
      <c r="Y3574" s="8"/>
    </row>
    <row r="3575" spans="1:25" x14ac:dyDescent="0.25">
      <c r="A3575" t="str">
        <f>"10-0821"</f>
        <v>10-0821</v>
      </c>
      <c r="D3575" s="8">
        <v>40540</v>
      </c>
      <c r="F3575" s="8">
        <v>40540</v>
      </c>
      <c r="G3575" s="8">
        <v>40540</v>
      </c>
      <c r="Y3575" s="8"/>
    </row>
    <row r="3576" spans="1:25" x14ac:dyDescent="0.25">
      <c r="A3576" t="str">
        <f>"10-0820"</f>
        <v>10-0820</v>
      </c>
      <c r="D3576" s="8">
        <v>40536</v>
      </c>
      <c r="F3576" s="8">
        <v>40536</v>
      </c>
      <c r="G3576" s="8">
        <v>40536</v>
      </c>
      <c r="Y3576" s="8"/>
    </row>
    <row r="3577" spans="1:25" x14ac:dyDescent="0.25">
      <c r="A3577" t="str">
        <f>"10-0819"</f>
        <v>10-0819</v>
      </c>
      <c r="D3577" s="8">
        <v>40535</v>
      </c>
      <c r="F3577" s="8">
        <v>40535</v>
      </c>
      <c r="G3577" s="8">
        <v>40535</v>
      </c>
      <c r="Y3577" s="8"/>
    </row>
    <row r="3578" spans="1:25" x14ac:dyDescent="0.25">
      <c r="A3578" t="str">
        <f>"10-0815"</f>
        <v>10-0815</v>
      </c>
      <c r="D3578" s="8">
        <v>40534</v>
      </c>
      <c r="F3578" s="8">
        <v>40534</v>
      </c>
      <c r="G3578" s="8">
        <v>40534</v>
      </c>
      <c r="Y3578" s="8"/>
    </row>
    <row r="3579" spans="1:25" x14ac:dyDescent="0.25">
      <c r="A3579" t="str">
        <f>"10-0816"</f>
        <v>10-0816</v>
      </c>
      <c r="D3579" s="8">
        <v>40534</v>
      </c>
      <c r="F3579" s="8">
        <v>40534</v>
      </c>
      <c r="G3579" s="8">
        <v>40535</v>
      </c>
      <c r="Y3579" s="8"/>
    </row>
    <row r="3580" spans="1:25" x14ac:dyDescent="0.25">
      <c r="A3580" t="str">
        <f>"10-0817"</f>
        <v>10-0817</v>
      </c>
      <c r="D3580" s="8">
        <v>40534</v>
      </c>
      <c r="F3580" s="8">
        <v>40534</v>
      </c>
      <c r="G3580" s="8">
        <v>40534</v>
      </c>
      <c r="Y3580" s="8"/>
    </row>
    <row r="3581" spans="1:25" x14ac:dyDescent="0.25">
      <c r="A3581" t="str">
        <f>"10-0818"</f>
        <v>10-0818</v>
      </c>
      <c r="D3581" s="8">
        <v>40534</v>
      </c>
      <c r="F3581" s="8">
        <v>41801</v>
      </c>
      <c r="G3581" s="8">
        <v>40534</v>
      </c>
      <c r="Y3581" s="8"/>
    </row>
    <row r="3582" spans="1:25" x14ac:dyDescent="0.25">
      <c r="A3582" t="str">
        <f>"10-0811"</f>
        <v>10-0811</v>
      </c>
      <c r="D3582" s="8">
        <v>40533</v>
      </c>
      <c r="F3582" s="8">
        <v>40536</v>
      </c>
      <c r="G3582" s="8">
        <v>40535</v>
      </c>
      <c r="Y3582" s="8"/>
    </row>
    <row r="3583" spans="1:25" x14ac:dyDescent="0.25">
      <c r="A3583" t="str">
        <f>"10-0812"</f>
        <v>10-0812</v>
      </c>
      <c r="D3583" s="8">
        <v>40533</v>
      </c>
      <c r="F3583" s="8">
        <v>40533</v>
      </c>
      <c r="G3583" s="8">
        <v>40533</v>
      </c>
      <c r="Y3583" s="8"/>
    </row>
    <row r="3584" spans="1:25" x14ac:dyDescent="0.25">
      <c r="A3584" t="str">
        <f>"10-0813"</f>
        <v>10-0813</v>
      </c>
      <c r="D3584" s="8">
        <v>40533</v>
      </c>
      <c r="F3584" s="8">
        <v>40533</v>
      </c>
      <c r="G3584" s="8">
        <v>40533</v>
      </c>
      <c r="Y3584" s="8"/>
    </row>
    <row r="3585" spans="1:25" x14ac:dyDescent="0.25">
      <c r="A3585" t="str">
        <f>"10-0814"</f>
        <v>10-0814</v>
      </c>
      <c r="D3585" s="8">
        <v>40533</v>
      </c>
      <c r="F3585" s="8">
        <v>40533</v>
      </c>
      <c r="G3585" s="8">
        <v>40533</v>
      </c>
      <c r="Y3585" s="8"/>
    </row>
    <row r="3586" spans="1:25" x14ac:dyDescent="0.25">
      <c r="A3586" t="str">
        <f>"10-0810"</f>
        <v>10-0810</v>
      </c>
      <c r="D3586" s="8">
        <v>40532</v>
      </c>
      <c r="F3586" s="8">
        <v>40632</v>
      </c>
      <c r="G3586" s="8">
        <v>40534</v>
      </c>
      <c r="Y3586" s="8"/>
    </row>
    <row r="3587" spans="1:25" x14ac:dyDescent="0.25">
      <c r="A3587" t="str">
        <f>"10-0640B"</f>
        <v>10-0640B</v>
      </c>
      <c r="D3587" s="8">
        <v>40529</v>
      </c>
      <c r="F3587" s="8">
        <v>40529</v>
      </c>
      <c r="G3587" s="8">
        <v>40529</v>
      </c>
      <c r="Y3587" s="8"/>
    </row>
    <row r="3588" spans="1:25" x14ac:dyDescent="0.25">
      <c r="A3588" t="str">
        <f>"10-0808B"</f>
        <v>10-0808B</v>
      </c>
      <c r="D3588" s="8">
        <v>40529</v>
      </c>
      <c r="F3588" s="8">
        <v>41325</v>
      </c>
      <c r="G3588" s="8">
        <v>40529</v>
      </c>
      <c r="Y3588" s="8"/>
    </row>
    <row r="3589" spans="1:25" x14ac:dyDescent="0.25">
      <c r="A3589" t="str">
        <f>"10-0809"</f>
        <v>10-0809</v>
      </c>
      <c r="D3589" s="8">
        <v>40529</v>
      </c>
      <c r="F3589" s="8">
        <v>40529</v>
      </c>
      <c r="G3589" s="8">
        <v>40529</v>
      </c>
      <c r="Y3589" s="8"/>
    </row>
    <row r="3590" spans="1:25" x14ac:dyDescent="0.25">
      <c r="A3590" t="str">
        <f>"10-0807"</f>
        <v>10-0807</v>
      </c>
      <c r="D3590" s="8">
        <v>40528</v>
      </c>
      <c r="F3590" s="8">
        <v>40528</v>
      </c>
      <c r="G3590" s="8">
        <v>40528</v>
      </c>
      <c r="Y3590" s="8"/>
    </row>
    <row r="3591" spans="1:25" x14ac:dyDescent="0.25">
      <c r="A3591" t="str">
        <f>"10-0808"</f>
        <v>10-0808</v>
      </c>
      <c r="D3591" s="8">
        <v>40528</v>
      </c>
      <c r="F3591" s="8">
        <v>40528</v>
      </c>
      <c r="G3591" s="8">
        <v>40528</v>
      </c>
      <c r="Y3591" s="8"/>
    </row>
    <row r="3592" spans="1:25" x14ac:dyDescent="0.25">
      <c r="A3592" t="str">
        <f>"10-0806"</f>
        <v>10-0806</v>
      </c>
      <c r="D3592" s="8">
        <v>40527</v>
      </c>
      <c r="F3592" s="8">
        <v>40528</v>
      </c>
      <c r="G3592" s="8">
        <v>40528</v>
      </c>
      <c r="Y3592" s="8"/>
    </row>
    <row r="3593" spans="1:25" x14ac:dyDescent="0.25">
      <c r="A3593" t="str">
        <f>"10-0801"</f>
        <v>10-0801</v>
      </c>
      <c r="D3593" s="8">
        <v>40526</v>
      </c>
      <c r="F3593" s="8">
        <v>40526</v>
      </c>
      <c r="G3593" s="8">
        <v>40526</v>
      </c>
      <c r="Y3593" s="8"/>
    </row>
    <row r="3594" spans="1:25" x14ac:dyDescent="0.25">
      <c r="A3594" t="str">
        <f>"10-0802"</f>
        <v>10-0802</v>
      </c>
      <c r="D3594" s="8">
        <v>40526</v>
      </c>
      <c r="F3594" s="8">
        <v>40526</v>
      </c>
      <c r="G3594" s="8">
        <v>40526</v>
      </c>
      <c r="Y3594" s="8"/>
    </row>
    <row r="3595" spans="1:25" x14ac:dyDescent="0.25">
      <c r="A3595" t="str">
        <f>"10-0803"</f>
        <v>10-0803</v>
      </c>
      <c r="D3595" s="8">
        <v>40526</v>
      </c>
      <c r="F3595" s="8">
        <v>40526</v>
      </c>
      <c r="G3595" s="8">
        <v>40526</v>
      </c>
      <c r="Y3595" s="8"/>
    </row>
    <row r="3596" spans="1:25" x14ac:dyDescent="0.25">
      <c r="A3596" t="str">
        <f>"10-0804"</f>
        <v>10-0804</v>
      </c>
      <c r="D3596" s="8">
        <v>40526</v>
      </c>
      <c r="F3596" s="8">
        <v>40533</v>
      </c>
      <c r="G3596" s="8">
        <v>40527</v>
      </c>
      <c r="Y3596" s="8"/>
    </row>
    <row r="3597" spans="1:25" x14ac:dyDescent="0.25">
      <c r="A3597" t="str">
        <f>"10-0805"</f>
        <v>10-0805</v>
      </c>
      <c r="D3597" s="8">
        <v>40526</v>
      </c>
      <c r="F3597" s="8">
        <v>40527</v>
      </c>
      <c r="G3597" s="8">
        <v>40525</v>
      </c>
      <c r="Y3597" s="8"/>
    </row>
    <row r="3598" spans="1:25" x14ac:dyDescent="0.25">
      <c r="A3598" t="str">
        <f>"10-0647E"</f>
        <v>10-0647E</v>
      </c>
      <c r="D3598" s="8">
        <v>40525</v>
      </c>
      <c r="F3598" s="8">
        <v>40575</v>
      </c>
      <c r="G3598" s="8">
        <v>40525</v>
      </c>
      <c r="Y3598" s="8"/>
    </row>
    <row r="3599" spans="1:25" x14ac:dyDescent="0.25">
      <c r="A3599" t="str">
        <f>"10-0800"</f>
        <v>10-0800</v>
      </c>
      <c r="D3599" s="8">
        <v>40525</v>
      </c>
      <c r="F3599" s="8">
        <v>40525</v>
      </c>
      <c r="G3599" s="8">
        <v>40528</v>
      </c>
      <c r="Y3599" s="8"/>
    </row>
    <row r="3600" spans="1:25" x14ac:dyDescent="0.25">
      <c r="A3600" t="str">
        <f>"10-0797"</f>
        <v>10-0797</v>
      </c>
      <c r="D3600" s="8">
        <v>40522</v>
      </c>
      <c r="F3600" s="8">
        <v>40522</v>
      </c>
      <c r="G3600" s="8">
        <v>40522</v>
      </c>
      <c r="Y3600" s="8"/>
    </row>
    <row r="3601" spans="1:25" x14ac:dyDescent="0.25">
      <c r="A3601" t="str">
        <f>"10-0798"</f>
        <v>10-0798</v>
      </c>
      <c r="D3601" s="8">
        <v>40522</v>
      </c>
      <c r="F3601" s="8">
        <v>40522</v>
      </c>
      <c r="G3601" s="8">
        <v>40522</v>
      </c>
      <c r="Y3601" s="8"/>
    </row>
    <row r="3602" spans="1:25" x14ac:dyDescent="0.25">
      <c r="A3602" t="str">
        <f>"10-0799"</f>
        <v>10-0799</v>
      </c>
      <c r="D3602" s="8">
        <v>40522</v>
      </c>
      <c r="F3602" s="8">
        <v>40522</v>
      </c>
      <c r="G3602" s="8">
        <v>40522</v>
      </c>
      <c r="Y3602" s="8"/>
    </row>
    <row r="3603" spans="1:25" x14ac:dyDescent="0.25">
      <c r="A3603" t="str">
        <f>"10-0783B"</f>
        <v>10-0783B</v>
      </c>
      <c r="D3603" s="8">
        <v>40521</v>
      </c>
      <c r="F3603" s="8">
        <v>40588</v>
      </c>
      <c r="G3603" s="8">
        <v>40521</v>
      </c>
      <c r="Y3603" s="8"/>
    </row>
    <row r="3604" spans="1:25" x14ac:dyDescent="0.25">
      <c r="A3604" t="str">
        <f>"10-0784B"</f>
        <v>10-0784B</v>
      </c>
      <c r="D3604" s="8">
        <v>40521</v>
      </c>
      <c r="F3604" s="8">
        <v>40521</v>
      </c>
      <c r="G3604" s="8">
        <v>40521</v>
      </c>
      <c r="Y3604" s="8"/>
    </row>
    <row r="3605" spans="1:25" x14ac:dyDescent="0.25">
      <c r="A3605" t="str">
        <f>"10-0794"</f>
        <v>10-0794</v>
      </c>
      <c r="D3605" s="8">
        <v>40521</v>
      </c>
      <c r="F3605" s="8">
        <v>40521</v>
      </c>
      <c r="G3605" s="8">
        <v>40527</v>
      </c>
      <c r="Y3605" s="8"/>
    </row>
    <row r="3606" spans="1:25" x14ac:dyDescent="0.25">
      <c r="A3606" t="str">
        <f>"10-0795"</f>
        <v>10-0795</v>
      </c>
      <c r="D3606" s="8">
        <v>40521</v>
      </c>
      <c r="F3606" s="8">
        <v>40784</v>
      </c>
      <c r="G3606" s="8">
        <v>40518</v>
      </c>
      <c r="Y3606" s="8"/>
    </row>
    <row r="3607" spans="1:25" x14ac:dyDescent="0.25">
      <c r="A3607" t="str">
        <f>"10-0796"</f>
        <v>10-0796</v>
      </c>
      <c r="D3607" s="8">
        <v>40521</v>
      </c>
      <c r="F3607" s="8">
        <v>40610</v>
      </c>
      <c r="G3607" s="8">
        <v>40527</v>
      </c>
      <c r="Y3607" s="8"/>
    </row>
    <row r="3608" spans="1:25" x14ac:dyDescent="0.25">
      <c r="A3608" t="str">
        <f>"10-0790"</f>
        <v>10-0790</v>
      </c>
      <c r="D3608" s="8">
        <v>40519</v>
      </c>
      <c r="F3608" s="8">
        <v>40519</v>
      </c>
      <c r="G3608" s="8">
        <v>40519</v>
      </c>
      <c r="Y3608" s="8"/>
    </row>
    <row r="3609" spans="1:25" x14ac:dyDescent="0.25">
      <c r="A3609" t="str">
        <f>"10-0791"</f>
        <v>10-0791</v>
      </c>
      <c r="D3609" s="8">
        <v>40519</v>
      </c>
      <c r="F3609" s="8">
        <v>40521</v>
      </c>
      <c r="G3609" s="8">
        <v>40520</v>
      </c>
      <c r="Y3609" s="8"/>
    </row>
    <row r="3610" spans="1:25" x14ac:dyDescent="0.25">
      <c r="A3610" t="str">
        <f>"10-0792"</f>
        <v>10-0792</v>
      </c>
      <c r="D3610" s="8">
        <v>40519</v>
      </c>
      <c r="F3610" s="8">
        <v>40522</v>
      </c>
      <c r="G3610" s="8">
        <v>40521</v>
      </c>
      <c r="Y3610" s="8"/>
    </row>
    <row r="3611" spans="1:25" x14ac:dyDescent="0.25">
      <c r="A3611" t="str">
        <f>"10-0793"</f>
        <v>10-0793</v>
      </c>
      <c r="D3611" s="8">
        <v>40519</v>
      </c>
      <c r="F3611" s="8">
        <v>40519</v>
      </c>
      <c r="G3611" s="8">
        <v>40519</v>
      </c>
      <c r="Y3611" s="8"/>
    </row>
    <row r="3612" spans="1:25" x14ac:dyDescent="0.25">
      <c r="A3612" t="str">
        <f>"10-0788"</f>
        <v>10-0788</v>
      </c>
      <c r="D3612" s="8">
        <v>40518</v>
      </c>
      <c r="F3612" s="8">
        <v>40532</v>
      </c>
      <c r="G3612" s="8">
        <v>40519</v>
      </c>
      <c r="Y3612" s="8"/>
    </row>
    <row r="3613" spans="1:25" x14ac:dyDescent="0.25">
      <c r="A3613" t="str">
        <f>"10-0789"</f>
        <v>10-0789</v>
      </c>
      <c r="D3613" s="8">
        <v>40518</v>
      </c>
      <c r="F3613" s="8">
        <v>40519</v>
      </c>
      <c r="G3613" s="8">
        <v>40518</v>
      </c>
      <c r="Y3613" s="8"/>
    </row>
    <row r="3614" spans="1:25" x14ac:dyDescent="0.25">
      <c r="A3614" t="str">
        <f>"10-0784"</f>
        <v>10-0784</v>
      </c>
      <c r="D3614" s="8">
        <v>40515</v>
      </c>
      <c r="F3614" s="8">
        <v>40515</v>
      </c>
      <c r="G3614" s="8">
        <v>40514</v>
      </c>
      <c r="Y3614" s="8"/>
    </row>
    <row r="3615" spans="1:25" x14ac:dyDescent="0.25">
      <c r="A3615" t="str">
        <f>"10-0785"</f>
        <v>10-0785</v>
      </c>
      <c r="D3615" s="8">
        <v>40515</v>
      </c>
      <c r="F3615" s="8">
        <v>40515</v>
      </c>
      <c r="G3615" s="8">
        <v>40515</v>
      </c>
      <c r="Y3615" s="8"/>
    </row>
    <row r="3616" spans="1:25" x14ac:dyDescent="0.25">
      <c r="A3616" t="str">
        <f>"10-0786"</f>
        <v>10-0786</v>
      </c>
      <c r="D3616" s="8">
        <v>40515</v>
      </c>
      <c r="F3616" s="8">
        <v>40521</v>
      </c>
      <c r="G3616" s="8">
        <v>40519</v>
      </c>
      <c r="Y3616" s="8"/>
    </row>
    <row r="3617" spans="1:25" x14ac:dyDescent="0.25">
      <c r="A3617" t="str">
        <f>"10-0787"</f>
        <v>10-0787</v>
      </c>
      <c r="D3617" s="8">
        <v>40515</v>
      </c>
      <c r="F3617" s="8">
        <v>40515</v>
      </c>
      <c r="G3617" s="8">
        <v>40515</v>
      </c>
      <c r="Y3617" s="8"/>
    </row>
    <row r="3618" spans="1:25" x14ac:dyDescent="0.25">
      <c r="A3618" t="str">
        <f>"10-0780"</f>
        <v>10-0780</v>
      </c>
      <c r="D3618" s="8">
        <v>40514</v>
      </c>
      <c r="F3618" s="8">
        <v>40514</v>
      </c>
      <c r="G3618" s="8">
        <v>40515</v>
      </c>
      <c r="Y3618" s="8"/>
    </row>
    <row r="3619" spans="1:25" x14ac:dyDescent="0.25">
      <c r="A3619" t="str">
        <f>"10-0781"</f>
        <v>10-0781</v>
      </c>
      <c r="D3619" s="8">
        <v>40514</v>
      </c>
      <c r="F3619" s="8">
        <v>40514</v>
      </c>
      <c r="G3619" s="8">
        <v>40514</v>
      </c>
      <c r="Y3619" s="8"/>
    </row>
    <row r="3620" spans="1:25" x14ac:dyDescent="0.25">
      <c r="A3620" t="str">
        <f>"10-0782"</f>
        <v>10-0782</v>
      </c>
      <c r="D3620" s="8">
        <v>40514</v>
      </c>
      <c r="F3620" s="8">
        <v>40514</v>
      </c>
      <c r="G3620" s="8">
        <v>40514</v>
      </c>
      <c r="Y3620" s="8"/>
    </row>
    <row r="3621" spans="1:25" x14ac:dyDescent="0.25">
      <c r="A3621" t="str">
        <f>"10-0783"</f>
        <v>10-0783</v>
      </c>
      <c r="D3621" s="8">
        <v>40514</v>
      </c>
      <c r="F3621" s="8">
        <v>40514</v>
      </c>
      <c r="G3621" s="8">
        <v>40514</v>
      </c>
      <c r="Y3621" s="8"/>
    </row>
    <row r="3622" spans="1:25" x14ac:dyDescent="0.25">
      <c r="A3622" t="str">
        <f>"10-0777"</f>
        <v>10-0777</v>
      </c>
      <c r="D3622" s="8">
        <v>40512</v>
      </c>
      <c r="F3622" s="8">
        <v>40512</v>
      </c>
      <c r="G3622" s="8">
        <v>40511</v>
      </c>
      <c r="Y3622" s="8"/>
    </row>
    <row r="3623" spans="1:25" x14ac:dyDescent="0.25">
      <c r="A3623" t="str">
        <f>"10-0778"</f>
        <v>10-0778</v>
      </c>
      <c r="D3623" s="8">
        <v>40512</v>
      </c>
      <c r="F3623" s="8">
        <v>40512</v>
      </c>
      <c r="G3623" s="8">
        <v>40515</v>
      </c>
      <c r="Y3623" s="8"/>
    </row>
    <row r="3624" spans="1:25" x14ac:dyDescent="0.25">
      <c r="A3624" t="str">
        <f>"10-0779"</f>
        <v>10-0779</v>
      </c>
      <c r="D3624" s="8">
        <v>40512</v>
      </c>
      <c r="F3624" s="8">
        <v>40512</v>
      </c>
      <c r="G3624" s="8">
        <v>40512</v>
      </c>
      <c r="Y3624" s="8"/>
    </row>
    <row r="3625" spans="1:25" x14ac:dyDescent="0.25">
      <c r="A3625" t="str">
        <f>"10-0776"</f>
        <v>10-0776</v>
      </c>
      <c r="D3625" s="8">
        <v>40511</v>
      </c>
      <c r="F3625" s="8">
        <v>40511</v>
      </c>
      <c r="G3625" s="8">
        <v>40501</v>
      </c>
      <c r="Y3625" s="8"/>
    </row>
    <row r="3626" spans="1:25" x14ac:dyDescent="0.25">
      <c r="A3626" t="str">
        <f>"10-0757B"</f>
        <v>10-0757B</v>
      </c>
      <c r="D3626" s="8">
        <v>40508</v>
      </c>
      <c r="F3626" s="8">
        <v>40508</v>
      </c>
      <c r="G3626" s="8">
        <v>40508</v>
      </c>
      <c r="Y3626" s="8"/>
    </row>
    <row r="3627" spans="1:25" x14ac:dyDescent="0.25">
      <c r="A3627" t="str">
        <f>"10-0773"</f>
        <v>10-0773</v>
      </c>
      <c r="D3627" s="8">
        <v>40508</v>
      </c>
      <c r="F3627" s="8">
        <v>40806</v>
      </c>
      <c r="G3627" s="8">
        <v>40494</v>
      </c>
      <c r="Y3627" s="8"/>
    </row>
    <row r="3628" spans="1:25" x14ac:dyDescent="0.25">
      <c r="A3628" t="str">
        <f>"10-0774"</f>
        <v>10-0774</v>
      </c>
      <c r="D3628" s="8">
        <v>40508</v>
      </c>
      <c r="G3628" s="8">
        <v>40511</v>
      </c>
      <c r="Y3628" s="8"/>
    </row>
    <row r="3629" spans="1:25" x14ac:dyDescent="0.25">
      <c r="A3629" t="str">
        <f>"10-0775"</f>
        <v>10-0775</v>
      </c>
      <c r="D3629" s="8">
        <v>40508</v>
      </c>
      <c r="F3629" s="8">
        <v>40508</v>
      </c>
      <c r="G3629" s="8">
        <v>40508</v>
      </c>
      <c r="Y3629" s="8"/>
    </row>
    <row r="3630" spans="1:25" x14ac:dyDescent="0.25">
      <c r="A3630" t="str">
        <f>"10-0772"</f>
        <v>10-0772</v>
      </c>
      <c r="D3630" s="8">
        <v>40507</v>
      </c>
      <c r="F3630" s="8">
        <v>40507</v>
      </c>
      <c r="G3630" s="8">
        <v>40507</v>
      </c>
      <c r="Y3630" s="8"/>
    </row>
    <row r="3631" spans="1:25" x14ac:dyDescent="0.25">
      <c r="A3631" t="str">
        <f>"10-0770"</f>
        <v>10-0770</v>
      </c>
      <c r="D3631" s="8">
        <v>40506</v>
      </c>
      <c r="F3631" s="8">
        <v>40506</v>
      </c>
      <c r="G3631" s="8">
        <v>40506</v>
      </c>
      <c r="Y3631" s="8"/>
    </row>
    <row r="3632" spans="1:25" x14ac:dyDescent="0.25">
      <c r="A3632" t="str">
        <f>"10-0771"</f>
        <v>10-0771</v>
      </c>
      <c r="D3632" s="8">
        <v>40506</v>
      </c>
      <c r="F3632" s="8">
        <v>40506</v>
      </c>
      <c r="G3632" s="8">
        <v>40506</v>
      </c>
      <c r="Y3632" s="8"/>
    </row>
    <row r="3633" spans="1:25" x14ac:dyDescent="0.25">
      <c r="A3633" t="str">
        <f>"10-0500B"</f>
        <v>10-0500B</v>
      </c>
      <c r="D3633" s="8">
        <v>40505</v>
      </c>
      <c r="F3633" s="8">
        <v>40505</v>
      </c>
      <c r="G3633" s="8">
        <v>40505</v>
      </c>
      <c r="Y3633" s="8"/>
    </row>
    <row r="3634" spans="1:25" x14ac:dyDescent="0.25">
      <c r="A3634" t="str">
        <f>"10-0748B"</f>
        <v>10-0748B</v>
      </c>
      <c r="D3634" s="8">
        <v>40505</v>
      </c>
      <c r="F3634" s="8">
        <v>40505</v>
      </c>
      <c r="G3634" s="8">
        <v>40505</v>
      </c>
      <c r="Y3634" s="8"/>
    </row>
    <row r="3635" spans="1:25" x14ac:dyDescent="0.25">
      <c r="A3635" t="str">
        <f>"10-0763"</f>
        <v>10-0763</v>
      </c>
      <c r="D3635" s="8">
        <v>40505</v>
      </c>
      <c r="F3635" s="8">
        <v>40513</v>
      </c>
      <c r="G3635" s="8">
        <v>40505</v>
      </c>
      <c r="Y3635" s="8"/>
    </row>
    <row r="3636" spans="1:25" x14ac:dyDescent="0.25">
      <c r="A3636" t="str">
        <f>"10-0764"</f>
        <v>10-0764</v>
      </c>
      <c r="D3636" s="8">
        <v>40505</v>
      </c>
      <c r="F3636" s="8">
        <v>40506</v>
      </c>
      <c r="G3636" s="8">
        <v>40505</v>
      </c>
      <c r="Y3636" s="8"/>
    </row>
    <row r="3637" spans="1:25" x14ac:dyDescent="0.25">
      <c r="A3637" t="str">
        <f>"10-0765"</f>
        <v>10-0765</v>
      </c>
      <c r="D3637" s="8">
        <v>40505</v>
      </c>
      <c r="F3637" s="8">
        <v>40505</v>
      </c>
      <c r="G3637" s="8">
        <v>40505</v>
      </c>
      <c r="Y3637" s="8"/>
    </row>
    <row r="3638" spans="1:25" x14ac:dyDescent="0.25">
      <c r="A3638" t="str">
        <f>"10-0766"</f>
        <v>10-0766</v>
      </c>
      <c r="D3638" s="8">
        <v>40505</v>
      </c>
      <c r="F3638" s="8">
        <v>40521</v>
      </c>
      <c r="G3638" s="8">
        <v>40507</v>
      </c>
      <c r="Y3638" s="8"/>
    </row>
    <row r="3639" spans="1:25" x14ac:dyDescent="0.25">
      <c r="A3639" t="str">
        <f>"10-0767"</f>
        <v>10-0767</v>
      </c>
      <c r="D3639" s="8">
        <v>40505</v>
      </c>
      <c r="F3639" s="8">
        <v>40507</v>
      </c>
      <c r="G3639" s="8">
        <v>40505</v>
      </c>
      <c r="Y3639" s="8"/>
    </row>
    <row r="3640" spans="1:25" x14ac:dyDescent="0.25">
      <c r="A3640" t="str">
        <f>"10-0768"</f>
        <v>10-0768</v>
      </c>
      <c r="D3640" s="8">
        <v>40505</v>
      </c>
      <c r="F3640" s="8">
        <v>40505</v>
      </c>
      <c r="G3640" s="8">
        <v>40505</v>
      </c>
      <c r="Y3640" s="8"/>
    </row>
    <row r="3641" spans="1:25" x14ac:dyDescent="0.25">
      <c r="A3641" t="str">
        <f>"10-0769"</f>
        <v>10-0769</v>
      </c>
      <c r="D3641" s="8">
        <v>40505</v>
      </c>
      <c r="G3641" s="8">
        <v>40507</v>
      </c>
      <c r="Y3641" s="8"/>
    </row>
    <row r="3642" spans="1:25" x14ac:dyDescent="0.25">
      <c r="A3642" t="str">
        <f>"10-0762"</f>
        <v>10-0762</v>
      </c>
      <c r="D3642" s="8">
        <v>40504</v>
      </c>
      <c r="F3642" s="8">
        <v>40504</v>
      </c>
      <c r="G3642" s="8">
        <v>40504</v>
      </c>
      <c r="Y3642" s="8"/>
    </row>
    <row r="3643" spans="1:25" x14ac:dyDescent="0.25">
      <c r="A3643" t="str">
        <f>"10-0759"</f>
        <v>10-0759</v>
      </c>
      <c r="D3643" s="8">
        <v>40501</v>
      </c>
      <c r="F3643" s="8">
        <v>40504</v>
      </c>
      <c r="G3643" s="8">
        <v>40501</v>
      </c>
      <c r="Y3643" s="8"/>
    </row>
    <row r="3644" spans="1:25" x14ac:dyDescent="0.25">
      <c r="A3644" t="str">
        <f>"10-0760"</f>
        <v>10-0760</v>
      </c>
      <c r="D3644" s="8">
        <v>40501</v>
      </c>
      <c r="F3644" s="8">
        <v>40501</v>
      </c>
      <c r="G3644" s="8">
        <v>40501</v>
      </c>
      <c r="Y3644" s="8"/>
    </row>
    <row r="3645" spans="1:25" x14ac:dyDescent="0.25">
      <c r="A3645" t="str">
        <f>"10-0761"</f>
        <v>10-0761</v>
      </c>
      <c r="D3645" s="8">
        <v>40501</v>
      </c>
      <c r="F3645" s="8">
        <v>40588</v>
      </c>
      <c r="G3645" s="8">
        <v>40501</v>
      </c>
      <c r="Y3645" s="8"/>
    </row>
    <row r="3646" spans="1:25" x14ac:dyDescent="0.25">
      <c r="A3646" t="str">
        <f>"10-0089B"</f>
        <v>10-0089B</v>
      </c>
      <c r="D3646" s="8">
        <v>40500</v>
      </c>
      <c r="F3646" s="8">
        <v>40500</v>
      </c>
      <c r="G3646" s="8">
        <v>40500</v>
      </c>
      <c r="Y3646" s="8"/>
    </row>
    <row r="3647" spans="1:25" x14ac:dyDescent="0.25">
      <c r="A3647" t="str">
        <f>"10-0756"</f>
        <v>10-0756</v>
      </c>
      <c r="D3647" s="8">
        <v>40500</v>
      </c>
      <c r="F3647" s="8">
        <v>40500</v>
      </c>
      <c r="G3647" s="8">
        <v>40500</v>
      </c>
      <c r="Y3647" s="8"/>
    </row>
    <row r="3648" spans="1:25" x14ac:dyDescent="0.25">
      <c r="A3648" t="str">
        <f>"10-0757"</f>
        <v>10-0757</v>
      </c>
      <c r="D3648" s="8">
        <v>40500</v>
      </c>
      <c r="F3648" s="8">
        <v>40500</v>
      </c>
      <c r="G3648" s="8">
        <v>40497</v>
      </c>
      <c r="Y3648" s="8"/>
    </row>
    <row r="3649" spans="1:25" x14ac:dyDescent="0.25">
      <c r="A3649" t="str">
        <f>"10-0758"</f>
        <v>10-0758</v>
      </c>
      <c r="D3649" s="8">
        <v>40500</v>
      </c>
      <c r="F3649" s="8">
        <v>40500</v>
      </c>
      <c r="G3649" s="8">
        <v>40500</v>
      </c>
      <c r="Y3649" s="8"/>
    </row>
    <row r="3650" spans="1:25" x14ac:dyDescent="0.25">
      <c r="A3650" t="str">
        <f>"10-0751"</f>
        <v>10-0751</v>
      </c>
      <c r="D3650" s="8">
        <v>40499</v>
      </c>
      <c r="F3650" s="8">
        <v>40499</v>
      </c>
      <c r="G3650" s="8">
        <v>40499</v>
      </c>
      <c r="Y3650" s="8"/>
    </row>
    <row r="3651" spans="1:25" x14ac:dyDescent="0.25">
      <c r="A3651" t="str">
        <f>"10-0752"</f>
        <v>10-0752</v>
      </c>
      <c r="D3651" s="8">
        <v>40499</v>
      </c>
      <c r="F3651" s="8">
        <v>40499</v>
      </c>
      <c r="G3651" s="8">
        <v>40499</v>
      </c>
      <c r="Y3651" s="8"/>
    </row>
    <row r="3652" spans="1:25" x14ac:dyDescent="0.25">
      <c r="A3652" t="str">
        <f>"10-0753"</f>
        <v>10-0753</v>
      </c>
      <c r="D3652" s="8">
        <v>40499</v>
      </c>
      <c r="F3652" s="8">
        <v>40863</v>
      </c>
      <c r="G3652" s="8">
        <v>40504</v>
      </c>
      <c r="Y3652" s="8"/>
    </row>
    <row r="3653" spans="1:25" x14ac:dyDescent="0.25">
      <c r="A3653" t="str">
        <f>"10-0754"</f>
        <v>10-0754</v>
      </c>
      <c r="D3653" s="8">
        <v>40499</v>
      </c>
      <c r="F3653" s="8">
        <v>40504</v>
      </c>
      <c r="G3653" s="8">
        <v>40499</v>
      </c>
      <c r="Y3653" s="8"/>
    </row>
    <row r="3654" spans="1:25" x14ac:dyDescent="0.25">
      <c r="A3654" t="str">
        <f>"10-0755"</f>
        <v>10-0755</v>
      </c>
      <c r="D3654" s="8">
        <v>40499</v>
      </c>
      <c r="F3654" s="8">
        <v>40499</v>
      </c>
      <c r="G3654" s="8">
        <v>40498</v>
      </c>
      <c r="Y3654" s="8"/>
    </row>
    <row r="3655" spans="1:25" x14ac:dyDescent="0.25">
      <c r="A3655" t="str">
        <f>"10-0750"</f>
        <v>10-0750</v>
      </c>
      <c r="D3655" s="8">
        <v>40498</v>
      </c>
      <c r="F3655" s="8">
        <v>40498</v>
      </c>
      <c r="G3655" s="8">
        <v>40498</v>
      </c>
      <c r="Y3655" s="8"/>
    </row>
    <row r="3656" spans="1:25" x14ac:dyDescent="0.25">
      <c r="A3656" t="str">
        <f>"10-0699B"</f>
        <v>10-0699B</v>
      </c>
      <c r="D3656" s="8">
        <v>40497</v>
      </c>
      <c r="F3656" s="8">
        <v>40497</v>
      </c>
      <c r="G3656" s="8">
        <v>40497</v>
      </c>
      <c r="Y3656" s="8"/>
    </row>
    <row r="3657" spans="1:25" x14ac:dyDescent="0.25">
      <c r="A3657" t="str">
        <f>"10-0747"</f>
        <v>10-0747</v>
      </c>
      <c r="D3657" s="8">
        <v>40497</v>
      </c>
      <c r="G3657" s="8">
        <v>40499</v>
      </c>
    </row>
    <row r="3658" spans="1:25" x14ac:dyDescent="0.25">
      <c r="A3658" t="str">
        <f>"10-0748"</f>
        <v>10-0748</v>
      </c>
      <c r="D3658" s="8">
        <v>40497</v>
      </c>
      <c r="F3658" s="8">
        <v>40504</v>
      </c>
      <c r="G3658" s="8">
        <v>40499</v>
      </c>
      <c r="Y3658" s="8"/>
    </row>
    <row r="3659" spans="1:25" x14ac:dyDescent="0.25">
      <c r="A3659" t="str">
        <f>"10-0749"</f>
        <v>10-0749</v>
      </c>
      <c r="D3659" s="8">
        <v>40497</v>
      </c>
      <c r="F3659" s="8">
        <v>40504</v>
      </c>
      <c r="G3659" s="8">
        <v>40504</v>
      </c>
      <c r="Y3659" s="8"/>
    </row>
    <row r="3660" spans="1:25" x14ac:dyDescent="0.25">
      <c r="A3660" t="str">
        <f>"10-0745"</f>
        <v>10-0745</v>
      </c>
      <c r="D3660" s="8">
        <v>40492</v>
      </c>
      <c r="F3660" s="8">
        <v>40492</v>
      </c>
      <c r="G3660" s="8">
        <v>40492</v>
      </c>
      <c r="Y3660" s="8"/>
    </row>
    <row r="3661" spans="1:25" x14ac:dyDescent="0.25">
      <c r="A3661" t="str">
        <f>"10-0746"</f>
        <v>10-0746</v>
      </c>
      <c r="D3661" s="8">
        <v>40492</v>
      </c>
      <c r="F3661" s="8">
        <v>40492</v>
      </c>
      <c r="G3661" s="8">
        <v>40492</v>
      </c>
      <c r="Y3661" s="8"/>
    </row>
    <row r="3662" spans="1:25" x14ac:dyDescent="0.25">
      <c r="A3662" t="str">
        <f>"10-0739"</f>
        <v>10-0739</v>
      </c>
      <c r="D3662" s="8">
        <v>40490</v>
      </c>
      <c r="F3662" s="8">
        <v>40504</v>
      </c>
      <c r="G3662" s="8">
        <v>40490</v>
      </c>
      <c r="Y3662" s="8"/>
    </row>
    <row r="3663" spans="1:25" x14ac:dyDescent="0.25">
      <c r="A3663" t="str">
        <f>"10-0740"</f>
        <v>10-0740</v>
      </c>
      <c r="D3663" s="8">
        <v>40490</v>
      </c>
      <c r="F3663" s="8">
        <v>40492</v>
      </c>
      <c r="G3663" s="8">
        <v>40497</v>
      </c>
      <c r="Y3663" s="8"/>
    </row>
    <row r="3664" spans="1:25" x14ac:dyDescent="0.25">
      <c r="A3664" t="str">
        <f>"10-0741"</f>
        <v>10-0741</v>
      </c>
      <c r="D3664" s="8">
        <v>40490</v>
      </c>
      <c r="F3664" s="8">
        <v>40497</v>
      </c>
      <c r="G3664" s="8">
        <v>40497</v>
      </c>
      <c r="Y3664" s="8"/>
    </row>
    <row r="3665" spans="1:25" x14ac:dyDescent="0.25">
      <c r="A3665" t="str">
        <f>"10-0742"</f>
        <v>10-0742</v>
      </c>
      <c r="D3665" s="8">
        <v>40490</v>
      </c>
      <c r="F3665" s="8">
        <v>40522</v>
      </c>
      <c r="G3665" s="8">
        <v>40497</v>
      </c>
      <c r="Y3665" s="8"/>
    </row>
    <row r="3666" spans="1:25" x14ac:dyDescent="0.25">
      <c r="A3666" t="str">
        <f>"10-0743"</f>
        <v>10-0743</v>
      </c>
      <c r="D3666" s="8">
        <v>40490</v>
      </c>
      <c r="F3666" s="8">
        <v>40499</v>
      </c>
      <c r="G3666" s="8">
        <v>40490</v>
      </c>
      <c r="Y3666" s="8"/>
    </row>
    <row r="3667" spans="1:25" x14ac:dyDescent="0.25">
      <c r="A3667" t="str">
        <f>"10-0744"</f>
        <v>10-0744</v>
      </c>
      <c r="D3667" s="8">
        <v>40490</v>
      </c>
      <c r="F3667" s="8">
        <v>40501</v>
      </c>
      <c r="G3667" s="8">
        <v>40497</v>
      </c>
      <c r="Y3667" s="8"/>
    </row>
    <row r="3668" spans="1:25" x14ac:dyDescent="0.25">
      <c r="A3668" t="str">
        <f>"10-0737"</f>
        <v>10-0737</v>
      </c>
      <c r="D3668" s="8">
        <v>40487</v>
      </c>
      <c r="F3668" s="8">
        <v>40487</v>
      </c>
      <c r="G3668" s="8">
        <v>40487</v>
      </c>
      <c r="Y3668" s="8"/>
    </row>
    <row r="3669" spans="1:25" x14ac:dyDescent="0.25">
      <c r="A3669" t="str">
        <f>"10-0738"</f>
        <v>10-0738</v>
      </c>
      <c r="D3669" s="8">
        <v>40487</v>
      </c>
      <c r="F3669" s="8">
        <v>40511</v>
      </c>
      <c r="G3669" s="8">
        <v>40491</v>
      </c>
      <c r="Y3669" s="8"/>
    </row>
    <row r="3670" spans="1:25" x14ac:dyDescent="0.25">
      <c r="A3670" t="str">
        <f>"10-0647D"</f>
        <v>10-0647D</v>
      </c>
      <c r="D3670" s="8">
        <v>40486</v>
      </c>
      <c r="F3670" s="8">
        <v>40575</v>
      </c>
      <c r="G3670" s="8">
        <v>40487</v>
      </c>
      <c r="Y3670" s="8"/>
    </row>
    <row r="3671" spans="1:25" x14ac:dyDescent="0.25">
      <c r="A3671" t="str">
        <f>"10-0731"</f>
        <v>10-0731</v>
      </c>
      <c r="D3671" s="8">
        <v>40485</v>
      </c>
      <c r="F3671" s="8">
        <v>40497</v>
      </c>
      <c r="G3671" s="8">
        <v>40486</v>
      </c>
      <c r="Y3671" s="8"/>
    </row>
    <row r="3672" spans="1:25" x14ac:dyDescent="0.25">
      <c r="A3672" t="str">
        <f>"10-0732"</f>
        <v>10-0732</v>
      </c>
      <c r="D3672" s="8">
        <v>40485</v>
      </c>
      <c r="F3672" s="8">
        <v>40487</v>
      </c>
      <c r="G3672" s="8">
        <v>40486</v>
      </c>
      <c r="Y3672" s="8"/>
    </row>
    <row r="3673" spans="1:25" x14ac:dyDescent="0.25">
      <c r="A3673" t="str">
        <f>"10-0733"</f>
        <v>10-0733</v>
      </c>
      <c r="D3673" s="8">
        <v>40485</v>
      </c>
      <c r="F3673" s="8">
        <v>40485</v>
      </c>
      <c r="G3673" s="8">
        <v>40485</v>
      </c>
      <c r="Y3673" s="8"/>
    </row>
    <row r="3674" spans="1:25" x14ac:dyDescent="0.25">
      <c r="A3674" t="str">
        <f>"10-0734"</f>
        <v>10-0734</v>
      </c>
      <c r="D3674" s="8">
        <v>40485</v>
      </c>
      <c r="F3674" s="8">
        <v>40499</v>
      </c>
      <c r="G3674" s="8">
        <v>40487</v>
      </c>
      <c r="Y3674" s="8"/>
    </row>
    <row r="3675" spans="1:25" x14ac:dyDescent="0.25">
      <c r="A3675" t="str">
        <f>"10-0735"</f>
        <v>10-0735</v>
      </c>
      <c r="D3675" s="8">
        <v>40485</v>
      </c>
      <c r="F3675" s="8">
        <v>40485</v>
      </c>
      <c r="G3675" s="8">
        <v>40485</v>
      </c>
      <c r="Y3675" s="8"/>
    </row>
    <row r="3676" spans="1:25" x14ac:dyDescent="0.25">
      <c r="A3676" t="str">
        <f>"10-0736"</f>
        <v>10-0736</v>
      </c>
      <c r="D3676" s="8">
        <v>40485</v>
      </c>
      <c r="F3676" s="8">
        <v>40485</v>
      </c>
      <c r="G3676" s="8">
        <v>40485</v>
      </c>
      <c r="Y3676" s="8"/>
    </row>
    <row r="3677" spans="1:25" x14ac:dyDescent="0.25">
      <c r="A3677" t="str">
        <f>"10-0547B"</f>
        <v>10-0547B</v>
      </c>
      <c r="D3677" s="8">
        <v>40484</v>
      </c>
      <c r="F3677" s="8">
        <v>40484</v>
      </c>
      <c r="G3677" s="8">
        <v>40484</v>
      </c>
      <c r="Y3677" s="8"/>
    </row>
    <row r="3678" spans="1:25" x14ac:dyDescent="0.25">
      <c r="A3678" t="str">
        <f>"10-0695B"</f>
        <v>10-0695B</v>
      </c>
      <c r="D3678" s="8">
        <v>40484</v>
      </c>
      <c r="F3678" s="8">
        <v>40485</v>
      </c>
      <c r="G3678" s="8">
        <v>40484</v>
      </c>
      <c r="Y3678" s="8"/>
    </row>
    <row r="3679" spans="1:25" x14ac:dyDescent="0.25">
      <c r="A3679" t="str">
        <f>"10-0728"</f>
        <v>10-0728</v>
      </c>
      <c r="D3679" s="8">
        <v>40484</v>
      </c>
      <c r="F3679" s="8">
        <v>40499</v>
      </c>
      <c r="G3679" s="8">
        <v>40485</v>
      </c>
      <c r="Y3679" s="8"/>
    </row>
    <row r="3680" spans="1:25" x14ac:dyDescent="0.25">
      <c r="A3680" t="str">
        <f>"10-0729"</f>
        <v>10-0729</v>
      </c>
      <c r="D3680" s="8">
        <v>40484</v>
      </c>
      <c r="F3680" s="8">
        <v>40484</v>
      </c>
      <c r="G3680" s="8">
        <v>40484</v>
      </c>
      <c r="Y3680" s="8"/>
    </row>
    <row r="3681" spans="1:25" x14ac:dyDescent="0.25">
      <c r="A3681" t="str">
        <f>"10-0730"</f>
        <v>10-0730</v>
      </c>
      <c r="D3681" s="8">
        <v>40484</v>
      </c>
      <c r="F3681" s="8">
        <v>40484</v>
      </c>
      <c r="G3681" s="8">
        <v>40480</v>
      </c>
      <c r="Y3681" s="8"/>
    </row>
    <row r="3682" spans="1:25" x14ac:dyDescent="0.25">
      <c r="A3682" t="str">
        <f>"10-0614D"</f>
        <v>10-0614D</v>
      </c>
      <c r="D3682" s="8">
        <v>40480</v>
      </c>
      <c r="F3682" s="8">
        <v>40534</v>
      </c>
      <c r="G3682" s="8">
        <v>40480</v>
      </c>
      <c r="Y3682" s="8"/>
    </row>
    <row r="3683" spans="1:25" x14ac:dyDescent="0.25">
      <c r="A3683" t="str">
        <f>"10-0725"</f>
        <v>10-0725</v>
      </c>
      <c r="D3683" s="8">
        <v>40480</v>
      </c>
      <c r="F3683" s="8">
        <v>40480</v>
      </c>
      <c r="G3683" s="8">
        <v>40480</v>
      </c>
      <c r="Y3683" s="8"/>
    </row>
    <row r="3684" spans="1:25" x14ac:dyDescent="0.25">
      <c r="A3684" t="str">
        <f>"10-0726"</f>
        <v>10-0726</v>
      </c>
      <c r="D3684" s="8">
        <v>40480</v>
      </c>
      <c r="F3684" s="8">
        <v>40480</v>
      </c>
      <c r="G3684" s="8">
        <v>40480</v>
      </c>
      <c r="Y3684" s="8"/>
    </row>
    <row r="3685" spans="1:25" x14ac:dyDescent="0.25">
      <c r="A3685" t="str">
        <f>"10-0727"</f>
        <v>10-0727</v>
      </c>
      <c r="D3685" s="8">
        <v>40480</v>
      </c>
      <c r="F3685" s="8">
        <v>40480</v>
      </c>
      <c r="G3685" s="8">
        <v>40480</v>
      </c>
      <c r="Y3685" s="8"/>
    </row>
    <row r="3686" spans="1:25" x14ac:dyDescent="0.25">
      <c r="A3686" t="str">
        <f>"10-0614C"</f>
        <v>10-0614C</v>
      </c>
      <c r="D3686" s="8">
        <v>40479</v>
      </c>
      <c r="F3686" s="8">
        <v>40479</v>
      </c>
      <c r="G3686" s="8">
        <v>40479</v>
      </c>
      <c r="Y3686" s="8"/>
    </row>
    <row r="3687" spans="1:25" x14ac:dyDescent="0.25">
      <c r="A3687" t="str">
        <f>"10-0701C"</f>
        <v>10-0701C</v>
      </c>
      <c r="D3687" s="8">
        <v>40479</v>
      </c>
      <c r="F3687" s="8">
        <v>40479</v>
      </c>
      <c r="G3687" s="8">
        <v>40479</v>
      </c>
      <c r="Y3687" s="8"/>
    </row>
    <row r="3688" spans="1:25" x14ac:dyDescent="0.25">
      <c r="A3688" t="str">
        <f>"10-0719B"</f>
        <v>10-0719B</v>
      </c>
      <c r="D3688" s="8">
        <v>40479</v>
      </c>
      <c r="F3688" s="8">
        <v>40479</v>
      </c>
      <c r="G3688" s="8">
        <v>40479</v>
      </c>
      <c r="Y3688" s="8"/>
    </row>
    <row r="3689" spans="1:25" x14ac:dyDescent="0.25">
      <c r="A3689" t="str">
        <f>"10-0722"</f>
        <v>10-0722</v>
      </c>
      <c r="D3689" s="8">
        <v>40479</v>
      </c>
      <c r="F3689" s="8">
        <v>40479</v>
      </c>
      <c r="G3689" s="8">
        <v>40479</v>
      </c>
      <c r="Y3689" s="8"/>
    </row>
    <row r="3690" spans="1:25" x14ac:dyDescent="0.25">
      <c r="A3690" t="str">
        <f>"10-0723"</f>
        <v>10-0723</v>
      </c>
      <c r="D3690" s="8">
        <v>40479</v>
      </c>
      <c r="F3690" s="8">
        <v>40484</v>
      </c>
      <c r="G3690" s="8">
        <v>40479</v>
      </c>
      <c r="Y3690" s="8"/>
    </row>
    <row r="3691" spans="1:25" x14ac:dyDescent="0.25">
      <c r="A3691" t="str">
        <f>"10-0724"</f>
        <v>10-0724</v>
      </c>
      <c r="D3691" s="8">
        <v>40479</v>
      </c>
      <c r="G3691" s="8">
        <v>40494</v>
      </c>
    </row>
    <row r="3692" spans="1:25" x14ac:dyDescent="0.25">
      <c r="A3692" t="str">
        <f>"10-0571B"</f>
        <v>10-0571B</v>
      </c>
      <c r="D3692" s="8">
        <v>40478</v>
      </c>
      <c r="F3692" s="8">
        <v>40665</v>
      </c>
      <c r="G3692" s="8">
        <v>40480</v>
      </c>
      <c r="Y3692" s="8"/>
    </row>
    <row r="3693" spans="1:25" x14ac:dyDescent="0.25">
      <c r="A3693" t="str">
        <f>"10-0571C"</f>
        <v>10-0571C</v>
      </c>
      <c r="D3693" s="8">
        <v>40478</v>
      </c>
      <c r="F3693" s="8">
        <v>40478</v>
      </c>
      <c r="G3693" s="8">
        <v>40480</v>
      </c>
      <c r="Y3693" s="8"/>
    </row>
    <row r="3694" spans="1:25" x14ac:dyDescent="0.25">
      <c r="A3694" t="str">
        <f>"10-0721"</f>
        <v>10-0721</v>
      </c>
      <c r="D3694" s="8">
        <v>40478</v>
      </c>
      <c r="F3694" s="8">
        <v>40478</v>
      </c>
      <c r="G3694" s="8">
        <v>40478</v>
      </c>
      <c r="Y3694" s="8"/>
    </row>
    <row r="3695" spans="1:25" x14ac:dyDescent="0.25">
      <c r="A3695" t="str">
        <f>"09-0659B"</f>
        <v>09-0659B</v>
      </c>
      <c r="D3695" s="8">
        <v>40477</v>
      </c>
      <c r="F3695" s="8">
        <v>40477</v>
      </c>
      <c r="G3695" s="8">
        <v>40480</v>
      </c>
      <c r="Y3695" s="8"/>
    </row>
    <row r="3696" spans="1:25" x14ac:dyDescent="0.25">
      <c r="A3696" t="str">
        <f>"10-0639B"</f>
        <v>10-0639B</v>
      </c>
      <c r="D3696" s="8">
        <v>40477</v>
      </c>
      <c r="F3696" s="8">
        <v>40477</v>
      </c>
      <c r="G3696" s="8">
        <v>40477</v>
      </c>
      <c r="Y3696" s="8"/>
    </row>
    <row r="3697" spans="1:25" x14ac:dyDescent="0.25">
      <c r="A3697" t="str">
        <f>"10-0701B"</f>
        <v>10-0701B</v>
      </c>
      <c r="D3697" s="8">
        <v>40477</v>
      </c>
      <c r="F3697" s="8">
        <v>40478</v>
      </c>
      <c r="G3697" s="8">
        <v>40477</v>
      </c>
      <c r="Y3697" s="8"/>
    </row>
    <row r="3698" spans="1:25" x14ac:dyDescent="0.25">
      <c r="A3698" t="str">
        <f>"10-0718"</f>
        <v>10-0718</v>
      </c>
      <c r="D3698" s="8">
        <v>40477</v>
      </c>
      <c r="F3698" s="8">
        <v>40477</v>
      </c>
      <c r="G3698" s="8">
        <v>40480</v>
      </c>
      <c r="Y3698" s="8"/>
    </row>
    <row r="3699" spans="1:25" x14ac:dyDescent="0.25">
      <c r="A3699" t="str">
        <f>"10-0719"</f>
        <v>10-0719</v>
      </c>
      <c r="D3699" s="8">
        <v>40477</v>
      </c>
      <c r="F3699" s="8">
        <v>40477</v>
      </c>
      <c r="G3699" s="8">
        <v>40477</v>
      </c>
      <c r="Y3699" s="8"/>
    </row>
    <row r="3700" spans="1:25" x14ac:dyDescent="0.25">
      <c r="A3700" t="str">
        <f>"10-0720"</f>
        <v>10-0720</v>
      </c>
      <c r="D3700" s="8">
        <v>40477</v>
      </c>
      <c r="F3700" s="8">
        <v>40477</v>
      </c>
      <c r="G3700" s="8">
        <v>40477</v>
      </c>
      <c r="Y3700" s="8"/>
    </row>
    <row r="3701" spans="1:25" x14ac:dyDescent="0.25">
      <c r="A3701" t="str">
        <f>"10-0700B"</f>
        <v>10-0700B</v>
      </c>
      <c r="D3701" s="8">
        <v>40476</v>
      </c>
      <c r="F3701" s="8">
        <v>40477</v>
      </c>
      <c r="G3701" s="8">
        <v>40476</v>
      </c>
      <c r="Y3701" s="8"/>
    </row>
    <row r="3702" spans="1:25" x14ac:dyDescent="0.25">
      <c r="A3702" t="str">
        <f>"10-0717"</f>
        <v>10-0717</v>
      </c>
      <c r="D3702" s="8">
        <v>40476</v>
      </c>
      <c r="F3702" s="8">
        <v>40477</v>
      </c>
      <c r="G3702" s="8">
        <v>40500</v>
      </c>
      <c r="Y3702" s="8"/>
    </row>
    <row r="3703" spans="1:25" x14ac:dyDescent="0.25">
      <c r="A3703" t="str">
        <f>"10-0696B"</f>
        <v>10-0696B</v>
      </c>
      <c r="D3703" s="8">
        <v>40473</v>
      </c>
      <c r="F3703" s="8">
        <v>40654</v>
      </c>
      <c r="G3703" s="8">
        <v>40473</v>
      </c>
      <c r="Y3703" s="8"/>
    </row>
    <row r="3704" spans="1:25" x14ac:dyDescent="0.25">
      <c r="A3704" t="str">
        <f>"10-0715"</f>
        <v>10-0715</v>
      </c>
      <c r="D3704" s="8">
        <v>40473</v>
      </c>
      <c r="F3704" s="8">
        <v>40477</v>
      </c>
      <c r="G3704" s="8">
        <v>40476</v>
      </c>
      <c r="Y3704" s="8"/>
    </row>
    <row r="3705" spans="1:25" x14ac:dyDescent="0.25">
      <c r="A3705" t="str">
        <f>"10-0716"</f>
        <v>10-0716</v>
      </c>
      <c r="D3705" s="8">
        <v>40473</v>
      </c>
      <c r="F3705" s="8">
        <v>40473</v>
      </c>
      <c r="G3705" s="8">
        <v>40473</v>
      </c>
      <c r="Y3705" s="8"/>
    </row>
    <row r="3706" spans="1:25" x14ac:dyDescent="0.25">
      <c r="A3706" t="str">
        <f>"10-0698B"</f>
        <v>10-0698B</v>
      </c>
      <c r="D3706" s="8">
        <v>40472</v>
      </c>
      <c r="F3706" s="8">
        <v>40476</v>
      </c>
      <c r="G3706" s="8">
        <v>40473</v>
      </c>
      <c r="Y3706" s="8"/>
    </row>
    <row r="3707" spans="1:25" x14ac:dyDescent="0.25">
      <c r="A3707" t="str">
        <f>"10-0705"</f>
        <v>10-0705</v>
      </c>
      <c r="D3707" s="8">
        <v>40472</v>
      </c>
      <c r="F3707" s="8">
        <v>40472</v>
      </c>
      <c r="G3707" s="8">
        <v>40473</v>
      </c>
      <c r="Y3707" s="8"/>
    </row>
    <row r="3708" spans="1:25" x14ac:dyDescent="0.25">
      <c r="A3708" t="str">
        <f>"10-0707"</f>
        <v>10-0707</v>
      </c>
      <c r="D3708" s="8">
        <v>40472</v>
      </c>
      <c r="F3708" s="8">
        <v>40473</v>
      </c>
      <c r="G3708" s="8">
        <v>40476</v>
      </c>
      <c r="Y3708" s="8"/>
    </row>
    <row r="3709" spans="1:25" x14ac:dyDescent="0.25">
      <c r="A3709" t="str">
        <f>"10-0708"</f>
        <v>10-0708</v>
      </c>
      <c r="D3709" s="8">
        <v>40472</v>
      </c>
      <c r="F3709" s="8">
        <v>40480</v>
      </c>
      <c r="G3709" s="8">
        <v>40477</v>
      </c>
      <c r="Y3709" s="8"/>
    </row>
    <row r="3710" spans="1:25" x14ac:dyDescent="0.25">
      <c r="A3710" t="str">
        <f>"10-0709"</f>
        <v>10-0709</v>
      </c>
      <c r="D3710" s="8">
        <v>40472</v>
      </c>
      <c r="F3710" s="8">
        <v>40479</v>
      </c>
      <c r="G3710" s="8">
        <v>40477</v>
      </c>
      <c r="Y3710" s="8"/>
    </row>
    <row r="3711" spans="1:25" x14ac:dyDescent="0.25">
      <c r="A3711" t="str">
        <f>"10-0710"</f>
        <v>10-0710</v>
      </c>
      <c r="D3711" s="8">
        <v>40472</v>
      </c>
      <c r="F3711" s="8">
        <v>40480</v>
      </c>
      <c r="G3711" s="8">
        <v>40477</v>
      </c>
      <c r="Y3711" s="8"/>
    </row>
    <row r="3712" spans="1:25" x14ac:dyDescent="0.25">
      <c r="A3712" t="str">
        <f>"10-0711"</f>
        <v>10-0711</v>
      </c>
      <c r="D3712" s="8">
        <v>40472</v>
      </c>
      <c r="F3712" s="8">
        <v>40478</v>
      </c>
      <c r="G3712" s="8">
        <v>40477</v>
      </c>
      <c r="Y3712" s="8"/>
    </row>
    <row r="3713" spans="1:25" x14ac:dyDescent="0.25">
      <c r="A3713" t="str">
        <f>"10-0712"</f>
        <v>10-0712</v>
      </c>
      <c r="D3713" s="8">
        <v>40472</v>
      </c>
      <c r="F3713" s="8">
        <v>40479</v>
      </c>
      <c r="G3713" s="8">
        <v>40477</v>
      </c>
      <c r="Y3713" s="8"/>
    </row>
    <row r="3714" spans="1:25" x14ac:dyDescent="0.25">
      <c r="A3714" t="str">
        <f>"10-0713"</f>
        <v>10-0713</v>
      </c>
      <c r="D3714" s="8">
        <v>40472</v>
      </c>
      <c r="F3714" s="8">
        <v>40473</v>
      </c>
      <c r="G3714" s="8">
        <v>40477</v>
      </c>
      <c r="Y3714" s="8"/>
    </row>
    <row r="3715" spans="1:25" x14ac:dyDescent="0.25">
      <c r="A3715" t="str">
        <f>"10-0714"</f>
        <v>10-0714</v>
      </c>
      <c r="D3715" s="8">
        <v>40472</v>
      </c>
      <c r="F3715" s="8">
        <v>40549</v>
      </c>
      <c r="G3715" s="8">
        <v>40477</v>
      </c>
      <c r="Y3715" s="8"/>
    </row>
    <row r="3716" spans="1:25" x14ac:dyDescent="0.25">
      <c r="A3716" t="str">
        <f>"10-0698"</f>
        <v>10-0698</v>
      </c>
      <c r="D3716" s="8">
        <v>40471</v>
      </c>
      <c r="F3716" s="8">
        <v>40471</v>
      </c>
      <c r="G3716" s="8">
        <v>40471</v>
      </c>
      <c r="Y3716" s="8"/>
    </row>
    <row r="3717" spans="1:25" x14ac:dyDescent="0.25">
      <c r="A3717" t="str">
        <f>"10-0699"</f>
        <v>10-0699</v>
      </c>
      <c r="D3717" s="8">
        <v>40471</v>
      </c>
      <c r="F3717" s="8">
        <v>40471</v>
      </c>
      <c r="G3717" s="8">
        <v>40473</v>
      </c>
      <c r="Y3717" s="8"/>
    </row>
    <row r="3718" spans="1:25" x14ac:dyDescent="0.25">
      <c r="A3718" t="str">
        <f>"10-0700"</f>
        <v>10-0700</v>
      </c>
      <c r="D3718" s="8">
        <v>40471</v>
      </c>
      <c r="F3718" s="8">
        <v>40471</v>
      </c>
      <c r="G3718" s="8">
        <v>40471</v>
      </c>
      <c r="Y3718" s="8"/>
    </row>
    <row r="3719" spans="1:25" x14ac:dyDescent="0.25">
      <c r="A3719" t="str">
        <f>"10-0701"</f>
        <v>10-0701</v>
      </c>
      <c r="D3719" s="8">
        <v>40471</v>
      </c>
      <c r="F3719" s="8">
        <v>40471</v>
      </c>
      <c r="G3719" s="8">
        <v>40471</v>
      </c>
      <c r="Y3719" s="8"/>
    </row>
    <row r="3720" spans="1:25" x14ac:dyDescent="0.25">
      <c r="A3720" t="str">
        <f>"10-0702"</f>
        <v>10-0702</v>
      </c>
      <c r="D3720" s="8">
        <v>40471</v>
      </c>
      <c r="F3720" s="8">
        <v>40690</v>
      </c>
      <c r="G3720" s="8">
        <v>40471</v>
      </c>
      <c r="Y3720" s="8"/>
    </row>
    <row r="3721" spans="1:25" x14ac:dyDescent="0.25">
      <c r="A3721" t="str">
        <f>"10-0703"</f>
        <v>10-0703</v>
      </c>
      <c r="D3721" s="8">
        <v>40471</v>
      </c>
      <c r="F3721" s="8">
        <v>40471</v>
      </c>
      <c r="G3721" s="8">
        <v>40471</v>
      </c>
      <c r="Y3721" s="8"/>
    </row>
    <row r="3722" spans="1:25" x14ac:dyDescent="0.25">
      <c r="A3722" t="str">
        <f>"10-0704"</f>
        <v>10-0704</v>
      </c>
      <c r="D3722" s="8">
        <v>40471</v>
      </c>
      <c r="F3722" s="8">
        <v>40476</v>
      </c>
      <c r="G3722" s="8">
        <v>40473</v>
      </c>
      <c r="Y3722" s="8"/>
    </row>
    <row r="3723" spans="1:25" x14ac:dyDescent="0.25">
      <c r="A3723" t="str">
        <f>"10-0613D"</f>
        <v>10-0613D</v>
      </c>
      <c r="D3723" s="8">
        <v>40470</v>
      </c>
      <c r="F3723" s="8">
        <v>40470</v>
      </c>
      <c r="G3723" s="8">
        <v>40470</v>
      </c>
      <c r="Y3723" s="8"/>
    </row>
    <row r="3724" spans="1:25" x14ac:dyDescent="0.25">
      <c r="A3724" t="str">
        <f>"10-0693"</f>
        <v>10-0693</v>
      </c>
      <c r="D3724" s="8">
        <v>40470</v>
      </c>
      <c r="F3724" s="8">
        <v>40471</v>
      </c>
      <c r="G3724" s="8">
        <v>40470</v>
      </c>
      <c r="Y3724" s="8"/>
    </row>
    <row r="3725" spans="1:25" x14ac:dyDescent="0.25">
      <c r="A3725" t="str">
        <f>"10-0694"</f>
        <v>10-0694</v>
      </c>
      <c r="D3725" s="8">
        <v>40470</v>
      </c>
      <c r="F3725" s="8">
        <v>40470</v>
      </c>
      <c r="G3725" s="8">
        <v>40470</v>
      </c>
      <c r="Y3725" s="8"/>
    </row>
    <row r="3726" spans="1:25" x14ac:dyDescent="0.25">
      <c r="A3726" t="str">
        <f>"10-0695"</f>
        <v>10-0695</v>
      </c>
      <c r="D3726" s="8">
        <v>40470</v>
      </c>
      <c r="F3726" s="8">
        <v>40522</v>
      </c>
      <c r="G3726" s="8">
        <v>40473</v>
      </c>
      <c r="Y3726" s="8"/>
    </row>
    <row r="3727" spans="1:25" x14ac:dyDescent="0.25">
      <c r="A3727" t="str">
        <f>"10-0696"</f>
        <v>10-0696</v>
      </c>
      <c r="D3727" s="8">
        <v>40470</v>
      </c>
      <c r="F3727" s="8">
        <v>40470</v>
      </c>
      <c r="G3727" s="8">
        <v>40471</v>
      </c>
      <c r="Y3727" s="8"/>
    </row>
    <row r="3728" spans="1:25" x14ac:dyDescent="0.25">
      <c r="A3728" t="str">
        <f>"10-0697"</f>
        <v>10-0697</v>
      </c>
      <c r="D3728" s="8">
        <v>40470</v>
      </c>
      <c r="F3728" s="8">
        <v>40470</v>
      </c>
      <c r="G3728" s="8">
        <v>40470</v>
      </c>
      <c r="Y3728" s="8"/>
    </row>
    <row r="3729" spans="1:25" x14ac:dyDescent="0.25">
      <c r="A3729" t="str">
        <f>"10-0614B"</f>
        <v>10-0614B</v>
      </c>
      <c r="D3729" s="8">
        <v>40469</v>
      </c>
      <c r="F3729" s="8">
        <v>40469</v>
      </c>
      <c r="G3729" s="8">
        <v>40469</v>
      </c>
      <c r="Y3729" s="8"/>
    </row>
    <row r="3730" spans="1:25" x14ac:dyDescent="0.25">
      <c r="A3730" t="str">
        <f>"10-0647C"</f>
        <v>10-0647C</v>
      </c>
      <c r="D3730" s="8">
        <v>40469</v>
      </c>
      <c r="F3730" s="8">
        <v>40470</v>
      </c>
      <c r="G3730" s="8">
        <v>40469</v>
      </c>
      <c r="Y3730" s="8"/>
    </row>
    <row r="3731" spans="1:25" x14ac:dyDescent="0.25">
      <c r="A3731" t="str">
        <f>"10-0691B"</f>
        <v>10-0691B</v>
      </c>
      <c r="D3731" s="8">
        <v>40469</v>
      </c>
      <c r="F3731" s="8">
        <v>40490</v>
      </c>
      <c r="G3731" s="8">
        <v>40469</v>
      </c>
      <c r="Y3731" s="8"/>
    </row>
    <row r="3732" spans="1:25" x14ac:dyDescent="0.25">
      <c r="A3732" t="str">
        <f>"10-0692"</f>
        <v>10-0692</v>
      </c>
      <c r="D3732" s="8">
        <v>40469</v>
      </c>
      <c r="F3732" s="8">
        <v>40499</v>
      </c>
      <c r="G3732" s="8">
        <v>40469</v>
      </c>
      <c r="Y3732" s="8"/>
    </row>
    <row r="3733" spans="1:25" x14ac:dyDescent="0.25">
      <c r="A3733" t="str">
        <f>"10-0690"</f>
        <v>10-0690</v>
      </c>
      <c r="D3733" s="8">
        <v>40466</v>
      </c>
      <c r="F3733" s="8">
        <v>40470</v>
      </c>
      <c r="G3733" s="8">
        <v>40471</v>
      </c>
      <c r="Y3733" s="8"/>
    </row>
    <row r="3734" spans="1:25" x14ac:dyDescent="0.25">
      <c r="A3734" t="str">
        <f>"10-0691"</f>
        <v>10-0691</v>
      </c>
      <c r="D3734" s="8">
        <v>40466</v>
      </c>
      <c r="F3734" s="8">
        <v>40466</v>
      </c>
      <c r="G3734" s="8">
        <v>40466</v>
      </c>
      <c r="Y3734" s="8"/>
    </row>
    <row r="3735" spans="1:25" x14ac:dyDescent="0.25">
      <c r="A3735" t="str">
        <f>"10-0706"</f>
        <v>10-0706</v>
      </c>
      <c r="D3735" s="8">
        <v>40466</v>
      </c>
      <c r="F3735" s="8">
        <v>40472</v>
      </c>
      <c r="G3735" s="8">
        <v>40472</v>
      </c>
      <c r="Y3735" s="8"/>
    </row>
    <row r="3736" spans="1:25" x14ac:dyDescent="0.25">
      <c r="A3736" t="str">
        <f>"10-0637B"</f>
        <v>10-0637B</v>
      </c>
      <c r="D3736" s="8">
        <v>40465</v>
      </c>
      <c r="F3736" s="8">
        <v>40465</v>
      </c>
      <c r="G3736" s="8">
        <v>40465</v>
      </c>
      <c r="Y3736" s="8"/>
    </row>
    <row r="3737" spans="1:25" x14ac:dyDescent="0.25">
      <c r="A3737" t="str">
        <f>"10-0686"</f>
        <v>10-0686</v>
      </c>
      <c r="D3737" s="8">
        <v>40465</v>
      </c>
      <c r="F3737" s="8">
        <v>40465</v>
      </c>
      <c r="G3737" s="8">
        <v>40465</v>
      </c>
      <c r="Y3737" s="8"/>
    </row>
    <row r="3738" spans="1:25" x14ac:dyDescent="0.25">
      <c r="A3738" t="str">
        <f>"10-0687"</f>
        <v>10-0687</v>
      </c>
      <c r="D3738" s="8">
        <v>40465</v>
      </c>
      <c r="F3738" s="8">
        <v>40465</v>
      </c>
      <c r="G3738" s="8">
        <v>40465</v>
      </c>
      <c r="Y3738" s="8"/>
    </row>
    <row r="3739" spans="1:25" x14ac:dyDescent="0.25">
      <c r="A3739" t="str">
        <f>"10-0688"</f>
        <v>10-0688</v>
      </c>
      <c r="D3739" s="8">
        <v>40465</v>
      </c>
      <c r="F3739" s="8">
        <v>40465</v>
      </c>
      <c r="G3739" s="8">
        <v>40466</v>
      </c>
      <c r="Y3739" s="8"/>
    </row>
    <row r="3740" spans="1:25" x14ac:dyDescent="0.25">
      <c r="A3740" t="str">
        <f>"10-0689"</f>
        <v>10-0689</v>
      </c>
      <c r="D3740" s="8">
        <v>40465</v>
      </c>
      <c r="F3740" s="8">
        <v>40465</v>
      </c>
      <c r="G3740" s="8">
        <v>40465</v>
      </c>
      <c r="Y3740" s="8"/>
    </row>
    <row r="3741" spans="1:25" x14ac:dyDescent="0.25">
      <c r="A3741" t="str">
        <f>"10-0685"</f>
        <v>10-0685</v>
      </c>
      <c r="D3741" s="8">
        <v>40464</v>
      </c>
      <c r="F3741" s="8">
        <v>40464</v>
      </c>
      <c r="G3741" s="8">
        <v>40464</v>
      </c>
      <c r="Y3741" s="8"/>
    </row>
    <row r="3742" spans="1:25" x14ac:dyDescent="0.25">
      <c r="A3742" t="str">
        <f>"10-0676"</f>
        <v>10-0676</v>
      </c>
      <c r="D3742" s="8">
        <v>40463</v>
      </c>
      <c r="F3742" s="8">
        <v>40463</v>
      </c>
      <c r="G3742" s="8">
        <v>40463</v>
      </c>
      <c r="Y3742" s="8"/>
    </row>
    <row r="3743" spans="1:25" x14ac:dyDescent="0.25">
      <c r="A3743" t="str">
        <f>"10-0677"</f>
        <v>10-0677</v>
      </c>
      <c r="D3743" s="8">
        <v>40463</v>
      </c>
      <c r="F3743" s="8">
        <v>40464</v>
      </c>
      <c r="G3743" s="8">
        <v>40463</v>
      </c>
      <c r="Y3743" s="8"/>
    </row>
    <row r="3744" spans="1:25" x14ac:dyDescent="0.25">
      <c r="A3744" t="str">
        <f>"10-0678"</f>
        <v>10-0678</v>
      </c>
      <c r="D3744" s="8">
        <v>40463</v>
      </c>
      <c r="F3744" s="8">
        <v>40463</v>
      </c>
      <c r="G3744" s="8">
        <v>40463</v>
      </c>
      <c r="Y3744" s="8"/>
    </row>
    <row r="3745" spans="1:25" x14ac:dyDescent="0.25">
      <c r="A3745" t="str">
        <f>"10-0679"</f>
        <v>10-0679</v>
      </c>
      <c r="D3745" s="8">
        <v>40463</v>
      </c>
      <c r="F3745" s="8">
        <v>40710</v>
      </c>
      <c r="G3745" s="8">
        <v>40463</v>
      </c>
      <c r="Y3745" s="8"/>
    </row>
    <row r="3746" spans="1:25" x14ac:dyDescent="0.25">
      <c r="A3746" t="str">
        <f>"10-0680"</f>
        <v>10-0680</v>
      </c>
      <c r="D3746" s="8">
        <v>40463</v>
      </c>
      <c r="F3746" s="8">
        <v>40470</v>
      </c>
      <c r="G3746" s="8">
        <v>40469</v>
      </c>
      <c r="Y3746" s="8"/>
    </row>
    <row r="3747" spans="1:25" x14ac:dyDescent="0.25">
      <c r="A3747" t="str">
        <f>"10-0681"</f>
        <v>10-0681</v>
      </c>
      <c r="D3747" s="8">
        <v>40463</v>
      </c>
      <c r="F3747" s="8">
        <v>40465</v>
      </c>
      <c r="G3747" s="8">
        <v>40463</v>
      </c>
      <c r="Y3747" s="8"/>
    </row>
    <row r="3748" spans="1:25" x14ac:dyDescent="0.25">
      <c r="A3748" t="str">
        <f>"10-0682"</f>
        <v>10-0682</v>
      </c>
      <c r="D3748" s="8">
        <v>40463</v>
      </c>
      <c r="F3748" s="8">
        <v>40463</v>
      </c>
      <c r="G3748" s="8">
        <v>40463</v>
      </c>
      <c r="Y3748" s="8"/>
    </row>
    <row r="3749" spans="1:25" x14ac:dyDescent="0.25">
      <c r="A3749" t="str">
        <f>"10-0683"</f>
        <v>10-0683</v>
      </c>
      <c r="D3749" s="8">
        <v>40463</v>
      </c>
      <c r="F3749" s="8">
        <v>40463</v>
      </c>
      <c r="G3749" s="8">
        <v>40463</v>
      </c>
      <c r="Y3749" s="8"/>
    </row>
    <row r="3750" spans="1:25" x14ac:dyDescent="0.25">
      <c r="A3750" t="str">
        <f>"10-0684"</f>
        <v>10-0684</v>
      </c>
      <c r="D3750" s="8">
        <v>40463</v>
      </c>
      <c r="G3750" s="8">
        <v>40463</v>
      </c>
    </row>
    <row r="3751" spans="1:25" x14ac:dyDescent="0.25">
      <c r="A3751" t="str">
        <f>"10-0671B"</f>
        <v>10-0671B</v>
      </c>
      <c r="D3751" s="8">
        <v>40462</v>
      </c>
      <c r="F3751" s="8">
        <v>40462</v>
      </c>
      <c r="G3751" s="8">
        <v>40462</v>
      </c>
      <c r="Y3751" s="8"/>
    </row>
    <row r="3752" spans="1:25" x14ac:dyDescent="0.25">
      <c r="A3752" t="str">
        <f>"10-0672"</f>
        <v>10-0672</v>
      </c>
      <c r="D3752" s="8">
        <v>40462</v>
      </c>
      <c r="F3752" s="8">
        <v>40463</v>
      </c>
      <c r="G3752" s="8">
        <v>40462</v>
      </c>
      <c r="Y3752" s="8"/>
    </row>
    <row r="3753" spans="1:25" x14ac:dyDescent="0.25">
      <c r="A3753" t="str">
        <f>"10-0673"</f>
        <v>10-0673</v>
      </c>
      <c r="D3753" s="8">
        <v>40462</v>
      </c>
      <c r="F3753" s="8">
        <v>40462</v>
      </c>
      <c r="G3753" s="8">
        <v>40462</v>
      </c>
      <c r="Y3753" s="8"/>
    </row>
    <row r="3754" spans="1:25" x14ac:dyDescent="0.25">
      <c r="A3754" t="str">
        <f>"10-0674"</f>
        <v>10-0674</v>
      </c>
      <c r="D3754" s="8">
        <v>40462</v>
      </c>
      <c r="F3754" s="8">
        <v>40547</v>
      </c>
      <c r="G3754" s="8">
        <v>40464</v>
      </c>
      <c r="Y3754" s="8"/>
    </row>
    <row r="3755" spans="1:25" x14ac:dyDescent="0.25">
      <c r="A3755" t="str">
        <f>"10-0675"</f>
        <v>10-0675</v>
      </c>
      <c r="D3755" s="8">
        <v>40462</v>
      </c>
      <c r="F3755" s="8">
        <v>40462</v>
      </c>
      <c r="G3755" s="8">
        <v>40459</v>
      </c>
      <c r="Y3755" s="8"/>
    </row>
    <row r="3756" spans="1:25" x14ac:dyDescent="0.25">
      <c r="A3756" t="str">
        <f>"10-0669"</f>
        <v>10-0669</v>
      </c>
      <c r="D3756" s="8">
        <v>40459</v>
      </c>
      <c r="F3756" s="8">
        <v>40459</v>
      </c>
      <c r="G3756" s="8">
        <v>40459</v>
      </c>
      <c r="Y3756" s="8"/>
    </row>
    <row r="3757" spans="1:25" x14ac:dyDescent="0.25">
      <c r="A3757" t="str">
        <f>"10-0670"</f>
        <v>10-0670</v>
      </c>
      <c r="D3757" s="8">
        <v>40459</v>
      </c>
      <c r="F3757" s="8">
        <v>40459</v>
      </c>
      <c r="G3757" s="8">
        <v>40459</v>
      </c>
      <c r="Y3757" s="8"/>
    </row>
    <row r="3758" spans="1:25" x14ac:dyDescent="0.25">
      <c r="A3758" t="str">
        <f>"10-0671"</f>
        <v>10-0671</v>
      </c>
      <c r="D3758" s="8">
        <v>40459</v>
      </c>
      <c r="F3758" s="8">
        <v>40459</v>
      </c>
      <c r="G3758" s="8">
        <v>40459</v>
      </c>
      <c r="Y3758" s="8"/>
    </row>
    <row r="3759" spans="1:25" x14ac:dyDescent="0.25">
      <c r="A3759" t="str">
        <f>"10-0665"</f>
        <v>10-0665</v>
      </c>
      <c r="D3759" s="8">
        <v>40458</v>
      </c>
      <c r="F3759" s="8">
        <v>40458</v>
      </c>
      <c r="G3759" s="8">
        <v>40457</v>
      </c>
      <c r="Y3759" s="8"/>
    </row>
    <row r="3760" spans="1:25" x14ac:dyDescent="0.25">
      <c r="A3760" t="str">
        <f>"10-0666"</f>
        <v>10-0666</v>
      </c>
      <c r="D3760" s="8">
        <v>40458</v>
      </c>
      <c r="F3760" s="8">
        <v>40458</v>
      </c>
      <c r="G3760" s="8">
        <v>40458</v>
      </c>
      <c r="Y3760" s="8"/>
    </row>
    <row r="3761" spans="1:25" x14ac:dyDescent="0.25">
      <c r="A3761" t="str">
        <f>"10-0667"</f>
        <v>10-0667</v>
      </c>
      <c r="D3761" s="8">
        <v>40458</v>
      </c>
      <c r="F3761" s="8">
        <v>40458</v>
      </c>
      <c r="G3761" s="8">
        <v>40458</v>
      </c>
      <c r="Y3761" s="8"/>
    </row>
    <row r="3762" spans="1:25" x14ac:dyDescent="0.25">
      <c r="A3762" t="str">
        <f>"10-0668"</f>
        <v>10-0668</v>
      </c>
      <c r="D3762" s="8">
        <v>40458</v>
      </c>
      <c r="F3762" s="8">
        <v>40458</v>
      </c>
      <c r="G3762" s="8">
        <v>40459</v>
      </c>
      <c r="Y3762" s="8"/>
    </row>
    <row r="3763" spans="1:25" x14ac:dyDescent="0.25">
      <c r="A3763" t="str">
        <f>"10-0664"</f>
        <v>10-0664</v>
      </c>
      <c r="D3763" s="8">
        <v>40457</v>
      </c>
      <c r="F3763" s="8">
        <v>40457</v>
      </c>
      <c r="G3763" s="8">
        <v>40457</v>
      </c>
      <c r="Y3763" s="8"/>
    </row>
    <row r="3764" spans="1:25" x14ac:dyDescent="0.25">
      <c r="A3764" t="str">
        <f>"10-0658"</f>
        <v>10-0658</v>
      </c>
      <c r="D3764" s="8">
        <v>40456</v>
      </c>
      <c r="F3764" s="8">
        <v>40456</v>
      </c>
      <c r="G3764" s="8">
        <v>40456</v>
      </c>
      <c r="Y3764" s="8"/>
    </row>
    <row r="3765" spans="1:25" x14ac:dyDescent="0.25">
      <c r="A3765" t="str">
        <f>"10-0660"</f>
        <v>10-0660</v>
      </c>
      <c r="D3765" s="8">
        <v>40456</v>
      </c>
      <c r="F3765" s="8">
        <v>40456</v>
      </c>
      <c r="G3765" s="8">
        <v>40456</v>
      </c>
      <c r="Y3765" s="8"/>
    </row>
    <row r="3766" spans="1:25" x14ac:dyDescent="0.25">
      <c r="A3766" t="str">
        <f>"10-0661"</f>
        <v>10-0661</v>
      </c>
      <c r="D3766" s="8">
        <v>40456</v>
      </c>
      <c r="F3766" s="8">
        <v>40456</v>
      </c>
      <c r="G3766" s="8">
        <v>40456</v>
      </c>
      <c r="Y3766" s="8"/>
    </row>
    <row r="3767" spans="1:25" x14ac:dyDescent="0.25">
      <c r="A3767" t="str">
        <f>"10-0662"</f>
        <v>10-0662</v>
      </c>
      <c r="D3767" s="8">
        <v>40456</v>
      </c>
      <c r="F3767" s="8">
        <v>40456</v>
      </c>
      <c r="G3767" s="8">
        <v>40456</v>
      </c>
      <c r="Y3767" s="8"/>
    </row>
    <row r="3768" spans="1:25" x14ac:dyDescent="0.25">
      <c r="A3768" t="str">
        <f>"10-0663"</f>
        <v>10-0663</v>
      </c>
      <c r="D3768" s="8">
        <v>40456</v>
      </c>
      <c r="F3768" s="8">
        <v>40456</v>
      </c>
      <c r="G3768" s="8">
        <v>40456</v>
      </c>
      <c r="Y3768" s="8"/>
    </row>
    <row r="3769" spans="1:25" x14ac:dyDescent="0.25">
      <c r="A3769" t="str">
        <f>"09-0819B"</f>
        <v>09-0819B</v>
      </c>
      <c r="D3769" s="8">
        <v>40455</v>
      </c>
      <c r="F3769" s="8">
        <v>40455</v>
      </c>
      <c r="G3769" s="8">
        <v>40455</v>
      </c>
      <c r="Y3769" s="8"/>
    </row>
    <row r="3770" spans="1:25" x14ac:dyDescent="0.25">
      <c r="A3770" t="str">
        <f>"10-0553B"</f>
        <v>10-0553B</v>
      </c>
      <c r="D3770" s="8">
        <v>40455</v>
      </c>
      <c r="F3770" s="8">
        <v>40570</v>
      </c>
      <c r="G3770" s="8">
        <v>40455</v>
      </c>
      <c r="Y3770" s="8"/>
    </row>
    <row r="3771" spans="1:25" x14ac:dyDescent="0.25">
      <c r="A3771" t="str">
        <f>"10-0651"</f>
        <v>10-0651</v>
      </c>
      <c r="D3771" s="8">
        <v>40455</v>
      </c>
      <c r="F3771" s="8">
        <v>40455</v>
      </c>
      <c r="G3771" s="8">
        <v>40455</v>
      </c>
      <c r="Y3771" s="8"/>
    </row>
    <row r="3772" spans="1:25" x14ac:dyDescent="0.25">
      <c r="A3772" t="str">
        <f>"10-0652"</f>
        <v>10-0652</v>
      </c>
      <c r="D3772" s="8">
        <v>40455</v>
      </c>
      <c r="F3772" s="8">
        <v>40462</v>
      </c>
      <c r="G3772" s="8">
        <v>40458</v>
      </c>
      <c r="Y3772" s="8"/>
    </row>
    <row r="3773" spans="1:25" x14ac:dyDescent="0.25">
      <c r="A3773" t="str">
        <f>"10-0653"</f>
        <v>10-0653</v>
      </c>
      <c r="D3773" s="8">
        <v>40455</v>
      </c>
      <c r="F3773" s="8">
        <v>40458</v>
      </c>
      <c r="G3773" s="8">
        <v>40458</v>
      </c>
      <c r="Y3773" s="8"/>
    </row>
    <row r="3774" spans="1:25" x14ac:dyDescent="0.25">
      <c r="A3774" t="str">
        <f>"10-0654"</f>
        <v>10-0654</v>
      </c>
      <c r="D3774" s="8">
        <v>40455</v>
      </c>
      <c r="F3774" s="8">
        <v>40458</v>
      </c>
      <c r="G3774" s="8">
        <v>40458</v>
      </c>
      <c r="Y3774" s="8"/>
    </row>
    <row r="3775" spans="1:25" x14ac:dyDescent="0.25">
      <c r="A3775" t="str">
        <f>"10-0655"</f>
        <v>10-0655</v>
      </c>
      <c r="D3775" s="8">
        <v>40455</v>
      </c>
      <c r="F3775" s="8">
        <v>40458</v>
      </c>
      <c r="G3775" s="8">
        <v>40458</v>
      </c>
      <c r="Y3775" s="8"/>
    </row>
    <row r="3776" spans="1:25" x14ac:dyDescent="0.25">
      <c r="A3776" t="str">
        <f>"10-0656"</f>
        <v>10-0656</v>
      </c>
      <c r="D3776" s="8">
        <v>40455</v>
      </c>
      <c r="F3776" s="8">
        <v>40491</v>
      </c>
      <c r="G3776" s="8">
        <v>40455</v>
      </c>
      <c r="Y3776" s="8"/>
    </row>
    <row r="3777" spans="1:25" x14ac:dyDescent="0.25">
      <c r="A3777" t="str">
        <f>"10-0657"</f>
        <v>10-0657</v>
      </c>
      <c r="D3777" s="8">
        <v>40455</v>
      </c>
      <c r="F3777" s="8">
        <v>40457</v>
      </c>
      <c r="G3777" s="8">
        <v>40458</v>
      </c>
      <c r="Y3777" s="8"/>
    </row>
    <row r="3778" spans="1:25" x14ac:dyDescent="0.25">
      <c r="A3778" t="str">
        <f>"10-0484D"</f>
        <v>10-0484D</v>
      </c>
      <c r="D3778" s="8">
        <v>40452</v>
      </c>
      <c r="F3778" s="8">
        <v>40592</v>
      </c>
      <c r="G3778" s="8">
        <v>40452</v>
      </c>
      <c r="Y3778" s="8"/>
    </row>
    <row r="3779" spans="1:25" x14ac:dyDescent="0.25">
      <c r="A3779" t="str">
        <f>"10-0647B"</f>
        <v>10-0647B</v>
      </c>
      <c r="D3779" s="8">
        <v>40452</v>
      </c>
      <c r="F3779" s="8">
        <v>40452</v>
      </c>
      <c r="G3779" s="8">
        <v>40452</v>
      </c>
      <c r="Y3779" s="8"/>
    </row>
    <row r="3780" spans="1:25" x14ac:dyDescent="0.25">
      <c r="A3780" t="str">
        <f>"10-0650"</f>
        <v>10-0650</v>
      </c>
      <c r="D3780" s="8">
        <v>40452</v>
      </c>
      <c r="F3780" s="8">
        <v>40452</v>
      </c>
      <c r="G3780" s="8">
        <v>40451</v>
      </c>
    </row>
    <row r="3781" spans="1:25" x14ac:dyDescent="0.25">
      <c r="A3781" t="str">
        <f>"10-0604B"</f>
        <v>10-0604B</v>
      </c>
      <c r="D3781" s="8">
        <v>40451</v>
      </c>
      <c r="F3781" s="8">
        <v>40490</v>
      </c>
      <c r="G3781" s="8">
        <v>40451</v>
      </c>
      <c r="Y3781" s="8"/>
    </row>
    <row r="3782" spans="1:25" x14ac:dyDescent="0.25">
      <c r="A3782" t="str">
        <f>"10-0646"</f>
        <v>10-0646</v>
      </c>
      <c r="D3782" s="8">
        <v>40451</v>
      </c>
      <c r="F3782" s="8">
        <v>40451</v>
      </c>
      <c r="G3782" s="8">
        <v>40451</v>
      </c>
      <c r="Y3782" s="8"/>
    </row>
    <row r="3783" spans="1:25" x14ac:dyDescent="0.25">
      <c r="A3783" t="str">
        <f>"10-0647"</f>
        <v>10-0647</v>
      </c>
      <c r="D3783" s="8">
        <v>40451</v>
      </c>
      <c r="F3783" s="8">
        <v>40451</v>
      </c>
      <c r="G3783" s="8">
        <v>40452</v>
      </c>
      <c r="Y3783" s="8"/>
    </row>
    <row r="3784" spans="1:25" x14ac:dyDescent="0.25">
      <c r="A3784" t="str">
        <f>"10-0648"</f>
        <v>10-0648</v>
      </c>
      <c r="D3784" s="8">
        <v>40451</v>
      </c>
      <c r="F3784" s="8">
        <v>40456</v>
      </c>
      <c r="G3784" s="8">
        <v>40459</v>
      </c>
      <c r="Y3784" s="8"/>
    </row>
    <row r="3785" spans="1:25" x14ac:dyDescent="0.25">
      <c r="A3785" t="str">
        <f>"10-0649"</f>
        <v>10-0649</v>
      </c>
      <c r="D3785" s="8">
        <v>40451</v>
      </c>
      <c r="F3785" s="8">
        <v>40451</v>
      </c>
      <c r="G3785" s="8">
        <v>40450</v>
      </c>
      <c r="Y3785" s="8"/>
    </row>
    <row r="3786" spans="1:25" x14ac:dyDescent="0.25">
      <c r="A3786" t="str">
        <f>"10-0613C"</f>
        <v>10-0613C</v>
      </c>
      <c r="D3786" s="8">
        <v>40450</v>
      </c>
      <c r="F3786" s="8">
        <v>40450</v>
      </c>
      <c r="G3786" s="8">
        <v>40451</v>
      </c>
      <c r="Y3786" s="8"/>
    </row>
    <row r="3787" spans="1:25" x14ac:dyDescent="0.25">
      <c r="A3787" t="str">
        <f>"10-0644"</f>
        <v>10-0644</v>
      </c>
      <c r="D3787" s="8">
        <v>40450</v>
      </c>
      <c r="F3787" s="8">
        <v>40450</v>
      </c>
      <c r="G3787" s="8">
        <v>40450</v>
      </c>
      <c r="Y3787" s="8"/>
    </row>
    <row r="3788" spans="1:25" x14ac:dyDescent="0.25">
      <c r="A3788" t="str">
        <f>"10-0645"</f>
        <v>10-0645</v>
      </c>
      <c r="D3788" s="8">
        <v>40450</v>
      </c>
      <c r="F3788" s="8">
        <v>40450</v>
      </c>
      <c r="G3788" s="8">
        <v>40450</v>
      </c>
      <c r="Y3788" s="8"/>
    </row>
    <row r="3789" spans="1:25" x14ac:dyDescent="0.25">
      <c r="A3789" t="str">
        <f>"10-0596B"</f>
        <v>10-0596B</v>
      </c>
      <c r="D3789" s="8">
        <v>40449</v>
      </c>
      <c r="F3789" s="8">
        <v>40449</v>
      </c>
      <c r="G3789" s="8">
        <v>40451</v>
      </c>
      <c r="Y3789" s="8"/>
    </row>
    <row r="3790" spans="1:25" x14ac:dyDescent="0.25">
      <c r="A3790" t="str">
        <f>"10-0638"</f>
        <v>10-0638</v>
      </c>
      <c r="D3790" s="8">
        <v>40449</v>
      </c>
      <c r="F3790" s="8">
        <v>40449</v>
      </c>
      <c r="G3790" s="8">
        <v>40449</v>
      </c>
      <c r="Y3790" s="8"/>
    </row>
    <row r="3791" spans="1:25" x14ac:dyDescent="0.25">
      <c r="A3791" t="str">
        <f>"10-0639"</f>
        <v>10-0639</v>
      </c>
      <c r="D3791" s="8">
        <v>40449</v>
      </c>
      <c r="F3791" s="8">
        <v>40451</v>
      </c>
      <c r="G3791" s="8">
        <v>40449</v>
      </c>
      <c r="Y3791" s="8"/>
    </row>
    <row r="3792" spans="1:25" x14ac:dyDescent="0.25">
      <c r="A3792" t="str">
        <f>"10-0640"</f>
        <v>10-0640</v>
      </c>
      <c r="D3792" s="8">
        <v>40449</v>
      </c>
      <c r="F3792" s="8">
        <v>40449</v>
      </c>
      <c r="G3792" s="8">
        <v>40451</v>
      </c>
      <c r="Y3792" s="8"/>
    </row>
    <row r="3793" spans="1:25" x14ac:dyDescent="0.25">
      <c r="A3793" t="str">
        <f>"10-0641"</f>
        <v>10-0641</v>
      </c>
      <c r="D3793" s="8">
        <v>40449</v>
      </c>
      <c r="F3793" s="8">
        <v>40449</v>
      </c>
      <c r="G3793" s="8">
        <v>40449</v>
      </c>
      <c r="Y3793" s="8"/>
    </row>
    <row r="3794" spans="1:25" x14ac:dyDescent="0.25">
      <c r="A3794" t="str">
        <f>"10-0642"</f>
        <v>10-0642</v>
      </c>
      <c r="D3794" s="8">
        <v>40449</v>
      </c>
      <c r="G3794" s="8">
        <v>40449</v>
      </c>
    </row>
    <row r="3795" spans="1:25" x14ac:dyDescent="0.25">
      <c r="A3795" t="str">
        <f>"10-0643"</f>
        <v>10-0643</v>
      </c>
      <c r="D3795" s="8">
        <v>40449</v>
      </c>
      <c r="G3795" s="8">
        <v>40451</v>
      </c>
    </row>
    <row r="3796" spans="1:25" x14ac:dyDescent="0.25">
      <c r="A3796" t="str">
        <f>"10-0637"</f>
        <v>10-0637</v>
      </c>
      <c r="D3796" s="8">
        <v>40448</v>
      </c>
      <c r="F3796" s="8">
        <v>40448</v>
      </c>
      <c r="G3796" s="8">
        <v>40448</v>
      </c>
      <c r="Y3796" s="8"/>
    </row>
    <row r="3797" spans="1:25" x14ac:dyDescent="0.25">
      <c r="A3797" t="str">
        <f>"10-0623B"</f>
        <v>10-0623B</v>
      </c>
      <c r="D3797" s="8">
        <v>40445</v>
      </c>
      <c r="F3797" s="8">
        <v>40445</v>
      </c>
      <c r="G3797" s="8">
        <v>40445</v>
      </c>
      <c r="Y3797" s="8"/>
    </row>
    <row r="3798" spans="1:25" x14ac:dyDescent="0.25">
      <c r="A3798" t="str">
        <f>"10-0633"</f>
        <v>10-0633</v>
      </c>
      <c r="D3798" s="8">
        <v>40445</v>
      </c>
      <c r="F3798" s="8">
        <v>40445</v>
      </c>
      <c r="G3798" s="8">
        <v>40445</v>
      </c>
      <c r="Y3798" s="8"/>
    </row>
    <row r="3799" spans="1:25" x14ac:dyDescent="0.25">
      <c r="A3799" t="str">
        <f>"10-0634"</f>
        <v>10-0634</v>
      </c>
      <c r="D3799" s="8">
        <v>40445</v>
      </c>
      <c r="F3799" s="8">
        <v>40491</v>
      </c>
      <c r="G3799" s="8">
        <v>40446</v>
      </c>
      <c r="Y3799" s="8"/>
    </row>
    <row r="3800" spans="1:25" x14ac:dyDescent="0.25">
      <c r="A3800" t="str">
        <f>"10-0635"</f>
        <v>10-0635</v>
      </c>
      <c r="D3800" s="8">
        <v>40445</v>
      </c>
      <c r="F3800" s="8">
        <v>40491</v>
      </c>
      <c r="G3800" s="8">
        <v>40446</v>
      </c>
      <c r="Y3800" s="8"/>
    </row>
    <row r="3801" spans="1:25" x14ac:dyDescent="0.25">
      <c r="A3801" t="str">
        <f>"10-0636"</f>
        <v>10-0636</v>
      </c>
      <c r="D3801" s="8">
        <v>40445</v>
      </c>
      <c r="F3801" s="8">
        <v>40445</v>
      </c>
      <c r="G3801" s="8">
        <v>40448</v>
      </c>
      <c r="Y3801" s="8"/>
    </row>
    <row r="3802" spans="1:25" x14ac:dyDescent="0.25">
      <c r="A3802" t="str">
        <f>"10-0540B"</f>
        <v>10-0540B</v>
      </c>
      <c r="D3802" s="8">
        <v>40444</v>
      </c>
      <c r="F3802" s="8">
        <v>40444</v>
      </c>
      <c r="G3802" s="8">
        <v>40444</v>
      </c>
      <c r="Y3802" s="8"/>
    </row>
    <row r="3803" spans="1:25" x14ac:dyDescent="0.25">
      <c r="A3803" t="str">
        <f>"10-0609B"</f>
        <v>10-0609B</v>
      </c>
      <c r="D3803" s="8">
        <v>40444</v>
      </c>
      <c r="F3803" s="8">
        <v>40463</v>
      </c>
      <c r="G3803" s="8">
        <v>40444</v>
      </c>
      <c r="Y3803" s="8"/>
    </row>
    <row r="3804" spans="1:25" x14ac:dyDescent="0.25">
      <c r="A3804" t="str">
        <f>"10-0626"</f>
        <v>10-0626</v>
      </c>
      <c r="D3804" s="8">
        <v>40444</v>
      </c>
      <c r="F3804" s="8">
        <v>40444</v>
      </c>
      <c r="G3804" s="8">
        <v>40443</v>
      </c>
      <c r="Y3804" s="8"/>
    </row>
    <row r="3805" spans="1:25" x14ac:dyDescent="0.25">
      <c r="A3805" t="str">
        <f>"10-0627"</f>
        <v>10-0627</v>
      </c>
      <c r="D3805" s="8">
        <v>40444</v>
      </c>
      <c r="F3805" s="8">
        <v>40444</v>
      </c>
      <c r="G3805" s="8">
        <v>40444</v>
      </c>
      <c r="Y3805" s="8"/>
    </row>
    <row r="3806" spans="1:25" x14ac:dyDescent="0.25">
      <c r="A3806" t="str">
        <f>"10-0628"</f>
        <v>10-0628</v>
      </c>
      <c r="D3806" s="8">
        <v>40444</v>
      </c>
      <c r="F3806" s="8">
        <v>40444</v>
      </c>
      <c r="G3806" s="8">
        <v>40444</v>
      </c>
      <c r="Y3806" s="8"/>
    </row>
    <row r="3807" spans="1:25" x14ac:dyDescent="0.25">
      <c r="A3807" t="str">
        <f>"10-0629"</f>
        <v>10-0629</v>
      </c>
      <c r="D3807" s="8">
        <v>40444</v>
      </c>
      <c r="F3807" s="8">
        <v>40444</v>
      </c>
      <c r="G3807" s="8">
        <v>40444</v>
      </c>
      <c r="Y3807" s="8"/>
    </row>
    <row r="3808" spans="1:25" x14ac:dyDescent="0.25">
      <c r="A3808" t="str">
        <f>"10-0630"</f>
        <v>10-0630</v>
      </c>
      <c r="D3808" s="8">
        <v>40444</v>
      </c>
      <c r="F3808" s="8">
        <v>40444</v>
      </c>
      <c r="G3808" s="8">
        <v>40444</v>
      </c>
      <c r="Y3808" s="8"/>
    </row>
    <row r="3809" spans="1:25" x14ac:dyDescent="0.25">
      <c r="A3809" t="str">
        <f>"10-0630B"</f>
        <v>10-0630B</v>
      </c>
      <c r="D3809" s="8">
        <v>40444</v>
      </c>
      <c r="F3809" s="8">
        <v>40444</v>
      </c>
      <c r="G3809" s="8">
        <v>40444</v>
      </c>
      <c r="Y3809" s="8"/>
    </row>
    <row r="3810" spans="1:25" x14ac:dyDescent="0.25">
      <c r="A3810" t="str">
        <f>"10-0631"</f>
        <v>10-0631</v>
      </c>
      <c r="D3810" s="8">
        <v>40444</v>
      </c>
      <c r="F3810" s="8">
        <v>40444</v>
      </c>
      <c r="G3810" s="8">
        <v>40444</v>
      </c>
      <c r="Y3810" s="8"/>
    </row>
    <row r="3811" spans="1:25" x14ac:dyDescent="0.25">
      <c r="A3811" t="str">
        <f>"10-0632"</f>
        <v>10-0632</v>
      </c>
      <c r="D3811" s="8">
        <v>40444</v>
      </c>
      <c r="F3811" s="8">
        <v>40448</v>
      </c>
      <c r="G3811" s="8">
        <v>40448</v>
      </c>
      <c r="Y3811" s="8"/>
    </row>
    <row r="3812" spans="1:25" x14ac:dyDescent="0.25">
      <c r="A3812" t="str">
        <f>"10-0484C"</f>
        <v>10-0484C</v>
      </c>
      <c r="D3812" s="8">
        <v>40443</v>
      </c>
      <c r="F3812" s="8">
        <v>40443</v>
      </c>
      <c r="G3812" s="8">
        <v>40443</v>
      </c>
      <c r="Y3812" s="8"/>
    </row>
    <row r="3813" spans="1:25" x14ac:dyDescent="0.25">
      <c r="A3813" t="str">
        <f>"10-0611B"</f>
        <v>10-0611B</v>
      </c>
      <c r="D3813" s="8">
        <v>40443</v>
      </c>
      <c r="F3813" s="8">
        <v>40443</v>
      </c>
      <c r="G3813" s="8">
        <v>40443</v>
      </c>
      <c r="Y3813" s="8"/>
    </row>
    <row r="3814" spans="1:25" x14ac:dyDescent="0.25">
      <c r="A3814" t="str">
        <f>"10-0621"</f>
        <v>10-0621</v>
      </c>
      <c r="D3814" s="8">
        <v>40443</v>
      </c>
      <c r="F3814" s="8">
        <v>40444</v>
      </c>
      <c r="G3814" s="8">
        <v>40443</v>
      </c>
      <c r="Y3814" s="8"/>
    </row>
    <row r="3815" spans="1:25" x14ac:dyDescent="0.25">
      <c r="A3815" t="str">
        <f>"10-0622"</f>
        <v>10-0622</v>
      </c>
      <c r="D3815" s="8">
        <v>40443</v>
      </c>
      <c r="F3815" s="8">
        <v>40443</v>
      </c>
      <c r="G3815" s="8">
        <v>40444</v>
      </c>
      <c r="Y3815" s="8"/>
    </row>
    <row r="3816" spans="1:25" x14ac:dyDescent="0.25">
      <c r="A3816" t="str">
        <f>"10-0623"</f>
        <v>10-0623</v>
      </c>
      <c r="D3816" s="8">
        <v>40443</v>
      </c>
      <c r="F3816" s="8">
        <v>40443</v>
      </c>
      <c r="G3816" s="8">
        <v>40441</v>
      </c>
      <c r="Y3816" s="8"/>
    </row>
    <row r="3817" spans="1:25" x14ac:dyDescent="0.25">
      <c r="A3817" t="str">
        <f>"10-0624"</f>
        <v>10-0624</v>
      </c>
      <c r="D3817" s="8">
        <v>40443</v>
      </c>
      <c r="F3817" s="8">
        <v>40443</v>
      </c>
      <c r="G3817" s="8">
        <v>40444</v>
      </c>
      <c r="Y3817" s="8"/>
    </row>
    <row r="3818" spans="1:25" x14ac:dyDescent="0.25">
      <c r="A3818" t="str">
        <f>"10-0625"</f>
        <v>10-0625</v>
      </c>
      <c r="D3818" s="8">
        <v>40443</v>
      </c>
      <c r="F3818" s="8">
        <v>40443</v>
      </c>
      <c r="G3818" s="8">
        <v>40443</v>
      </c>
      <c r="Y3818" s="8"/>
    </row>
    <row r="3819" spans="1:25" x14ac:dyDescent="0.25">
      <c r="A3819" t="str">
        <f>"10-0589B"</f>
        <v>10-0589B</v>
      </c>
      <c r="D3819" s="8">
        <v>40442</v>
      </c>
      <c r="F3819" s="8">
        <v>41211</v>
      </c>
      <c r="G3819" s="8">
        <v>40442</v>
      </c>
      <c r="Y3819" s="8"/>
    </row>
    <row r="3820" spans="1:25" x14ac:dyDescent="0.25">
      <c r="A3820" t="str">
        <f>"10-0618"</f>
        <v>10-0618</v>
      </c>
      <c r="D3820" s="8">
        <v>40442</v>
      </c>
      <c r="F3820" s="8">
        <v>40442</v>
      </c>
      <c r="G3820" s="8">
        <v>40441</v>
      </c>
      <c r="Y3820" s="8"/>
    </row>
    <row r="3821" spans="1:25" x14ac:dyDescent="0.25">
      <c r="A3821" t="str">
        <f>"10-0619"</f>
        <v>10-0619</v>
      </c>
      <c r="D3821" s="8">
        <v>40442</v>
      </c>
      <c r="F3821" s="8">
        <v>40442</v>
      </c>
      <c r="G3821" s="8">
        <v>40442</v>
      </c>
      <c r="Y3821" s="8"/>
    </row>
    <row r="3822" spans="1:25" x14ac:dyDescent="0.25">
      <c r="A3822" t="str">
        <f>"10-0620"</f>
        <v>10-0620</v>
      </c>
      <c r="D3822" s="8">
        <v>40442</v>
      </c>
      <c r="F3822" s="8">
        <v>40442</v>
      </c>
      <c r="G3822" s="8">
        <v>40442</v>
      </c>
      <c r="Y3822" s="8"/>
    </row>
    <row r="3823" spans="1:25" x14ac:dyDescent="0.25">
      <c r="A3823" t="str">
        <f>"10-0613B"</f>
        <v>10-0613B</v>
      </c>
      <c r="D3823" s="8">
        <v>40441</v>
      </c>
      <c r="F3823" s="8">
        <v>40450</v>
      </c>
      <c r="G3823" s="8">
        <v>40441</v>
      </c>
      <c r="Y3823" s="8"/>
    </row>
    <row r="3824" spans="1:25" x14ac:dyDescent="0.25">
      <c r="A3824" t="str">
        <f>"10-0615"</f>
        <v>10-0615</v>
      </c>
      <c r="D3824" s="8">
        <v>40441</v>
      </c>
      <c r="F3824" s="8">
        <v>40449</v>
      </c>
      <c r="G3824" s="8">
        <v>40441</v>
      </c>
      <c r="Y3824" s="8"/>
    </row>
    <row r="3825" spans="1:25" x14ac:dyDescent="0.25">
      <c r="A3825" t="str">
        <f>"10-0616"</f>
        <v>10-0616</v>
      </c>
      <c r="D3825" s="8">
        <v>40441</v>
      </c>
      <c r="F3825" s="8">
        <v>40463</v>
      </c>
      <c r="G3825" s="8">
        <v>40441</v>
      </c>
      <c r="Y3825" s="8"/>
    </row>
    <row r="3826" spans="1:25" x14ac:dyDescent="0.25">
      <c r="A3826" t="str">
        <f>"10-0617"</f>
        <v>10-0617</v>
      </c>
      <c r="D3826" s="8">
        <v>40441</v>
      </c>
      <c r="F3826" s="8">
        <v>40442</v>
      </c>
      <c r="G3826" s="8">
        <v>40441</v>
      </c>
      <c r="Y3826" s="8"/>
    </row>
    <row r="3827" spans="1:25" x14ac:dyDescent="0.25">
      <c r="A3827" t="str">
        <f>"10-0614"</f>
        <v>10-0614</v>
      </c>
      <c r="D3827" s="8">
        <v>40438</v>
      </c>
      <c r="F3827" s="8">
        <v>40469</v>
      </c>
      <c r="G3827" s="8">
        <v>40438</v>
      </c>
      <c r="Y3827" s="8"/>
    </row>
    <row r="3828" spans="1:25" x14ac:dyDescent="0.25">
      <c r="A3828" t="str">
        <f>"10-0612"</f>
        <v>10-0612</v>
      </c>
      <c r="D3828" s="8">
        <v>40437</v>
      </c>
      <c r="F3828" s="8">
        <v>40437</v>
      </c>
      <c r="G3828" s="8">
        <v>40431</v>
      </c>
      <c r="Y3828" s="8"/>
    </row>
    <row r="3829" spans="1:25" x14ac:dyDescent="0.25">
      <c r="A3829" t="str">
        <f>"10-0613"</f>
        <v>10-0613</v>
      </c>
      <c r="D3829" s="8">
        <v>40437</v>
      </c>
      <c r="F3829" s="8">
        <v>40450</v>
      </c>
      <c r="G3829" s="8">
        <v>40437</v>
      </c>
      <c r="Y3829" s="8"/>
    </row>
    <row r="3830" spans="1:25" x14ac:dyDescent="0.25">
      <c r="A3830" t="str">
        <f>"10-0610"</f>
        <v>10-0610</v>
      </c>
      <c r="D3830" s="8">
        <v>40436</v>
      </c>
      <c r="F3830" s="8">
        <v>40436</v>
      </c>
      <c r="G3830" s="8">
        <v>40437</v>
      </c>
      <c r="Y3830" s="8"/>
    </row>
    <row r="3831" spans="1:25" x14ac:dyDescent="0.25">
      <c r="A3831" t="str">
        <f>"10-0611"</f>
        <v>10-0611</v>
      </c>
      <c r="D3831" s="8">
        <v>40436</v>
      </c>
      <c r="F3831" s="8">
        <v>40436</v>
      </c>
      <c r="G3831" s="8">
        <v>40435</v>
      </c>
      <c r="Y3831" s="8"/>
    </row>
    <row r="3832" spans="1:25" x14ac:dyDescent="0.25">
      <c r="A3832" t="str">
        <f>"10-0600"</f>
        <v>10-0600</v>
      </c>
      <c r="D3832" s="8">
        <v>40435</v>
      </c>
      <c r="F3832" s="8">
        <v>40435</v>
      </c>
      <c r="G3832" s="8">
        <v>40436</v>
      </c>
      <c r="Y3832" s="8"/>
    </row>
    <row r="3833" spans="1:25" x14ac:dyDescent="0.25">
      <c r="A3833" t="str">
        <f>"10-0601"</f>
        <v>10-0601</v>
      </c>
      <c r="D3833" s="8">
        <v>40435</v>
      </c>
      <c r="F3833" s="8">
        <v>40435</v>
      </c>
      <c r="G3833" s="8">
        <v>40436</v>
      </c>
      <c r="Y3833" s="8"/>
    </row>
    <row r="3834" spans="1:25" x14ac:dyDescent="0.25">
      <c r="A3834" t="str">
        <f>"10-0602"</f>
        <v>10-0602</v>
      </c>
      <c r="D3834" s="8">
        <v>40435</v>
      </c>
      <c r="F3834" s="8">
        <v>40435</v>
      </c>
      <c r="G3834" s="8">
        <v>40436</v>
      </c>
      <c r="Y3834" s="8"/>
    </row>
    <row r="3835" spans="1:25" x14ac:dyDescent="0.25">
      <c r="A3835" t="str">
        <f>"10-0603"</f>
        <v>10-0603</v>
      </c>
      <c r="D3835" s="8">
        <v>40435</v>
      </c>
      <c r="F3835" s="8">
        <v>40437</v>
      </c>
      <c r="G3835" s="8">
        <v>40436</v>
      </c>
      <c r="Y3835" s="8"/>
    </row>
    <row r="3836" spans="1:25" x14ac:dyDescent="0.25">
      <c r="A3836" t="str">
        <f>"10-0604"</f>
        <v>10-0604</v>
      </c>
      <c r="D3836" s="8">
        <v>40435</v>
      </c>
      <c r="F3836" s="8">
        <v>40435</v>
      </c>
      <c r="G3836" s="8">
        <v>40436</v>
      </c>
      <c r="Y3836" s="8"/>
    </row>
    <row r="3837" spans="1:25" x14ac:dyDescent="0.25">
      <c r="A3837" t="str">
        <f>"10-0605"</f>
        <v>10-0605</v>
      </c>
      <c r="D3837" s="8">
        <v>40435</v>
      </c>
      <c r="F3837" s="8">
        <v>40435</v>
      </c>
      <c r="G3837" s="8">
        <v>40436</v>
      </c>
      <c r="Y3837" s="8"/>
    </row>
    <row r="3838" spans="1:25" x14ac:dyDescent="0.25">
      <c r="A3838" t="str">
        <f>"10-0606"</f>
        <v>10-0606</v>
      </c>
      <c r="D3838" s="8">
        <v>40435</v>
      </c>
      <c r="F3838" s="8">
        <v>40435</v>
      </c>
      <c r="G3838" s="8">
        <v>40436</v>
      </c>
      <c r="Y3838" s="8"/>
    </row>
    <row r="3839" spans="1:25" x14ac:dyDescent="0.25">
      <c r="A3839" t="str">
        <f>"10-0607"</f>
        <v>10-0607</v>
      </c>
      <c r="D3839" s="8">
        <v>40435</v>
      </c>
      <c r="F3839" s="8">
        <v>40445</v>
      </c>
      <c r="G3839" s="8">
        <v>40436</v>
      </c>
      <c r="Y3839" s="8"/>
    </row>
    <row r="3840" spans="1:25" x14ac:dyDescent="0.25">
      <c r="A3840" t="str">
        <f>"10-0608"</f>
        <v>10-0608</v>
      </c>
      <c r="D3840" s="8">
        <v>40435</v>
      </c>
      <c r="F3840" s="8">
        <v>40435</v>
      </c>
      <c r="G3840" s="8">
        <v>40437</v>
      </c>
      <c r="Y3840" s="8"/>
    </row>
    <row r="3841" spans="1:25" x14ac:dyDescent="0.25">
      <c r="A3841" t="str">
        <f>"10-0609"</f>
        <v>10-0609</v>
      </c>
      <c r="D3841" s="8">
        <v>40435</v>
      </c>
      <c r="F3841" s="8">
        <v>40436</v>
      </c>
      <c r="G3841" s="8">
        <v>40436</v>
      </c>
      <c r="Y3841" s="8"/>
    </row>
    <row r="3842" spans="1:25" x14ac:dyDescent="0.25">
      <c r="A3842" t="str">
        <f>"10-0597"</f>
        <v>10-0597</v>
      </c>
      <c r="D3842" s="8">
        <v>40431</v>
      </c>
      <c r="F3842" s="8">
        <v>40431</v>
      </c>
      <c r="G3842" s="8">
        <v>40431</v>
      </c>
      <c r="Y3842" s="8"/>
    </row>
    <row r="3843" spans="1:25" x14ac:dyDescent="0.25">
      <c r="A3843" t="str">
        <f>"10-0598"</f>
        <v>10-0598</v>
      </c>
      <c r="D3843" s="8">
        <v>40431</v>
      </c>
      <c r="F3843" s="8">
        <v>40431</v>
      </c>
      <c r="G3843" s="8">
        <v>40431</v>
      </c>
      <c r="Y3843" s="8"/>
    </row>
    <row r="3844" spans="1:25" x14ac:dyDescent="0.25">
      <c r="A3844" t="str">
        <f>"10-0599"</f>
        <v>10-0599</v>
      </c>
      <c r="D3844" s="8">
        <v>40431</v>
      </c>
      <c r="F3844" s="8">
        <v>40431</v>
      </c>
      <c r="G3844" s="8">
        <v>40431</v>
      </c>
      <c r="Y3844" s="8"/>
    </row>
    <row r="3845" spans="1:25" x14ac:dyDescent="0.25">
      <c r="A3845" t="str">
        <f>"10-0596"</f>
        <v>10-0596</v>
      </c>
      <c r="D3845" s="8">
        <v>40430</v>
      </c>
      <c r="F3845" s="8">
        <v>40434</v>
      </c>
      <c r="G3845" s="8">
        <v>40434</v>
      </c>
      <c r="Y3845" s="8"/>
    </row>
    <row r="3846" spans="1:25" x14ac:dyDescent="0.25">
      <c r="A3846" t="str">
        <f>"10-0594"</f>
        <v>10-0594</v>
      </c>
      <c r="D3846" s="8">
        <v>40429</v>
      </c>
      <c r="F3846" s="8">
        <v>40429</v>
      </c>
      <c r="G3846" s="8">
        <v>40430</v>
      </c>
      <c r="Y3846" s="8"/>
    </row>
    <row r="3847" spans="1:25" x14ac:dyDescent="0.25">
      <c r="A3847" t="str">
        <f>"10-0595"</f>
        <v>10-0595</v>
      </c>
      <c r="D3847" s="8">
        <v>40429</v>
      </c>
      <c r="F3847" s="8">
        <v>40429</v>
      </c>
      <c r="G3847" s="8">
        <v>40429</v>
      </c>
      <c r="Y3847" s="8"/>
    </row>
    <row r="3848" spans="1:25" x14ac:dyDescent="0.25">
      <c r="A3848" t="str">
        <f>"10-0584B"</f>
        <v>10-0584B</v>
      </c>
      <c r="D3848" s="8">
        <v>40428</v>
      </c>
      <c r="F3848" s="8">
        <v>40428</v>
      </c>
      <c r="G3848" s="8">
        <v>40428</v>
      </c>
      <c r="Y3848" s="8"/>
    </row>
    <row r="3849" spans="1:25" x14ac:dyDescent="0.25">
      <c r="A3849" t="str">
        <f>"10-0593"</f>
        <v>10-0593</v>
      </c>
      <c r="D3849" s="8">
        <v>40428</v>
      </c>
      <c r="F3849" s="8">
        <v>40428</v>
      </c>
      <c r="G3849" s="8">
        <v>40429</v>
      </c>
      <c r="Y3849" s="8"/>
    </row>
    <row r="3850" spans="1:25" x14ac:dyDescent="0.25">
      <c r="A3850" t="str">
        <f>"10-0357B"</f>
        <v>10-0357B</v>
      </c>
      <c r="D3850" s="8">
        <v>40427</v>
      </c>
      <c r="F3850" s="8">
        <v>40427</v>
      </c>
      <c r="G3850" s="8">
        <v>40428</v>
      </c>
      <c r="Y3850" s="8"/>
    </row>
    <row r="3851" spans="1:25" x14ac:dyDescent="0.25">
      <c r="A3851" t="str">
        <f>"10-0587"</f>
        <v>10-0587</v>
      </c>
      <c r="D3851" s="8">
        <v>40427</v>
      </c>
      <c r="F3851" s="8">
        <v>40427</v>
      </c>
      <c r="G3851" s="8">
        <v>40427</v>
      </c>
      <c r="Y3851" s="8"/>
    </row>
    <row r="3852" spans="1:25" x14ac:dyDescent="0.25">
      <c r="A3852" t="str">
        <f>"10-0588"</f>
        <v>10-0588</v>
      </c>
      <c r="D3852" s="8">
        <v>40427</v>
      </c>
      <c r="F3852" s="8">
        <v>40427</v>
      </c>
      <c r="G3852" s="8">
        <v>40428</v>
      </c>
      <c r="Y3852" s="8"/>
    </row>
    <row r="3853" spans="1:25" x14ac:dyDescent="0.25">
      <c r="A3853" t="str">
        <f>"10-0589"</f>
        <v>10-0589</v>
      </c>
      <c r="D3853" s="8">
        <v>40427</v>
      </c>
      <c r="F3853" s="8">
        <v>40427</v>
      </c>
      <c r="G3853" s="8">
        <v>40427</v>
      </c>
      <c r="Y3853" s="8"/>
    </row>
    <row r="3854" spans="1:25" x14ac:dyDescent="0.25">
      <c r="A3854" t="str">
        <f>"10-0590"</f>
        <v>10-0590</v>
      </c>
      <c r="D3854" s="8">
        <v>40427</v>
      </c>
      <c r="F3854" s="8">
        <v>40427</v>
      </c>
      <c r="G3854" s="8">
        <v>40428</v>
      </c>
      <c r="Y3854" s="8"/>
    </row>
    <row r="3855" spans="1:25" x14ac:dyDescent="0.25">
      <c r="A3855" t="str">
        <f>"10-0591"</f>
        <v>10-0591</v>
      </c>
      <c r="D3855" s="8">
        <v>40427</v>
      </c>
      <c r="F3855" s="8">
        <v>40427</v>
      </c>
      <c r="G3855" s="8">
        <v>40427</v>
      </c>
      <c r="Y3855" s="8"/>
    </row>
    <row r="3856" spans="1:25" x14ac:dyDescent="0.25">
      <c r="A3856" t="str">
        <f>"10-0592"</f>
        <v>10-0592</v>
      </c>
      <c r="D3856" s="8">
        <v>40427</v>
      </c>
      <c r="F3856" s="8">
        <v>40427</v>
      </c>
      <c r="G3856" s="8">
        <v>40427</v>
      </c>
      <c r="Y3856" s="8"/>
    </row>
    <row r="3857" spans="1:25" x14ac:dyDescent="0.25">
      <c r="A3857" t="str">
        <f>"10-0585"</f>
        <v>10-0585</v>
      </c>
      <c r="D3857" s="8">
        <v>40424</v>
      </c>
      <c r="F3857" s="8">
        <v>40424</v>
      </c>
      <c r="G3857" s="8">
        <v>40424</v>
      </c>
      <c r="Y3857" s="8"/>
    </row>
    <row r="3858" spans="1:25" x14ac:dyDescent="0.25">
      <c r="A3858" t="str">
        <f>"10-0586"</f>
        <v>10-0586</v>
      </c>
      <c r="D3858" s="8">
        <v>40424</v>
      </c>
      <c r="F3858" s="8">
        <v>40424</v>
      </c>
      <c r="G3858" s="8">
        <v>40424</v>
      </c>
      <c r="Y3858" s="8"/>
    </row>
    <row r="3859" spans="1:25" x14ac:dyDescent="0.25">
      <c r="A3859" t="str">
        <f>"10-0581"</f>
        <v>10-0581</v>
      </c>
      <c r="D3859" s="8">
        <v>40423</v>
      </c>
      <c r="F3859" s="8">
        <v>40443</v>
      </c>
      <c r="G3859" s="8">
        <v>40423</v>
      </c>
      <c r="Y3859" s="8"/>
    </row>
    <row r="3860" spans="1:25" x14ac:dyDescent="0.25">
      <c r="A3860" t="str">
        <f>"10-0582"</f>
        <v>10-0582</v>
      </c>
      <c r="D3860" s="8">
        <v>40423</v>
      </c>
      <c r="F3860" s="8">
        <v>40423</v>
      </c>
      <c r="G3860" s="8">
        <v>40423</v>
      </c>
      <c r="Y3860" s="8"/>
    </row>
    <row r="3861" spans="1:25" x14ac:dyDescent="0.25">
      <c r="A3861" t="str">
        <f>"10-0583"</f>
        <v>10-0583</v>
      </c>
      <c r="D3861" s="8">
        <v>40423</v>
      </c>
      <c r="F3861" s="8">
        <v>40423</v>
      </c>
      <c r="G3861" s="8">
        <v>40423</v>
      </c>
      <c r="Y3861" s="8"/>
    </row>
    <row r="3862" spans="1:25" x14ac:dyDescent="0.25">
      <c r="A3862" t="str">
        <f>"10-0584"</f>
        <v>10-0584</v>
      </c>
      <c r="D3862" s="8">
        <v>40423</v>
      </c>
      <c r="F3862" s="8">
        <v>40423</v>
      </c>
      <c r="G3862" s="8">
        <v>40423</v>
      </c>
      <c r="Y3862" s="8"/>
    </row>
    <row r="3863" spans="1:25" x14ac:dyDescent="0.25">
      <c r="A3863" t="str">
        <f>"10-0580"</f>
        <v>10-0580</v>
      </c>
      <c r="D3863" s="8">
        <v>40422</v>
      </c>
      <c r="F3863" s="8">
        <v>40431</v>
      </c>
      <c r="G3863" s="8">
        <v>40428</v>
      </c>
      <c r="Y3863" s="8"/>
    </row>
    <row r="3864" spans="1:25" x14ac:dyDescent="0.25">
      <c r="A3864" t="str">
        <f>"10-0579"</f>
        <v>10-0579</v>
      </c>
      <c r="D3864" s="8">
        <v>40421</v>
      </c>
      <c r="G3864" s="8">
        <v>40423</v>
      </c>
      <c r="Y3864" s="8"/>
    </row>
    <row r="3865" spans="1:25" x14ac:dyDescent="0.25">
      <c r="A3865" t="str">
        <f>"10-0578"</f>
        <v>10-0578</v>
      </c>
      <c r="D3865" s="8">
        <v>40417</v>
      </c>
      <c r="F3865" s="8">
        <v>40417</v>
      </c>
      <c r="G3865" s="8">
        <v>40417</v>
      </c>
      <c r="Y3865" s="8"/>
    </row>
    <row r="3866" spans="1:25" x14ac:dyDescent="0.25">
      <c r="A3866" t="str">
        <f>"10-0576"</f>
        <v>10-0576</v>
      </c>
      <c r="D3866" s="8">
        <v>40416</v>
      </c>
      <c r="F3866" s="8">
        <v>40416</v>
      </c>
      <c r="G3866" s="8">
        <v>40417</v>
      </c>
      <c r="Y3866" s="8"/>
    </row>
    <row r="3867" spans="1:25" x14ac:dyDescent="0.25">
      <c r="A3867" t="str">
        <f>"10-0577"</f>
        <v>10-0577</v>
      </c>
      <c r="D3867" s="8">
        <v>40416</v>
      </c>
      <c r="F3867" s="8">
        <v>40416</v>
      </c>
      <c r="G3867" s="8">
        <v>40417</v>
      </c>
      <c r="Y3867" s="8"/>
    </row>
    <row r="3868" spans="1:25" x14ac:dyDescent="0.25">
      <c r="A3868" t="str">
        <f>"10-0574"</f>
        <v>10-0574</v>
      </c>
      <c r="D3868" s="8">
        <v>40415</v>
      </c>
      <c r="F3868" s="8">
        <v>40445</v>
      </c>
      <c r="G3868" s="8">
        <v>40419</v>
      </c>
      <c r="Y3868" s="8"/>
    </row>
    <row r="3869" spans="1:25" x14ac:dyDescent="0.25">
      <c r="A3869" t="str">
        <f>"10-0575"</f>
        <v>10-0575</v>
      </c>
      <c r="D3869" s="8">
        <v>40415</v>
      </c>
      <c r="F3869" s="8">
        <v>40415</v>
      </c>
      <c r="G3869" s="8">
        <v>40417</v>
      </c>
      <c r="Y3869" s="8"/>
    </row>
    <row r="3870" spans="1:25" x14ac:dyDescent="0.25">
      <c r="A3870" t="str">
        <f>"10-0573"</f>
        <v>10-0573</v>
      </c>
      <c r="D3870" s="8">
        <v>40414</v>
      </c>
      <c r="F3870" s="8">
        <v>40414</v>
      </c>
      <c r="G3870" s="8">
        <v>40414</v>
      </c>
      <c r="Y3870" s="8"/>
    </row>
    <row r="3871" spans="1:25" x14ac:dyDescent="0.25">
      <c r="A3871" t="str">
        <f>"10-0571"</f>
        <v>10-0571</v>
      </c>
      <c r="D3871" s="8">
        <v>40410</v>
      </c>
      <c r="F3871" s="8">
        <v>40410</v>
      </c>
      <c r="G3871" s="8">
        <v>40413</v>
      </c>
      <c r="Y3871" s="8"/>
    </row>
    <row r="3872" spans="1:25" x14ac:dyDescent="0.25">
      <c r="A3872" t="str">
        <f>"10-0572"</f>
        <v>10-0572</v>
      </c>
      <c r="D3872" s="8">
        <v>40410</v>
      </c>
      <c r="F3872" s="8">
        <v>40410</v>
      </c>
      <c r="G3872" s="8">
        <v>40413</v>
      </c>
      <c r="Y3872" s="8"/>
    </row>
    <row r="3873" spans="1:25" x14ac:dyDescent="0.25">
      <c r="A3873" t="str">
        <f>"10-0570"</f>
        <v>10-0570</v>
      </c>
      <c r="D3873" s="8">
        <v>40409</v>
      </c>
      <c r="F3873" s="8">
        <v>40409</v>
      </c>
      <c r="G3873" s="8">
        <v>40409</v>
      </c>
      <c r="Y3873" s="8"/>
    </row>
    <row r="3874" spans="1:25" x14ac:dyDescent="0.25">
      <c r="A3874" t="str">
        <f>"10-0565"</f>
        <v>10-0565</v>
      </c>
      <c r="D3874" s="8">
        <v>40408</v>
      </c>
      <c r="F3874" s="8">
        <v>40556</v>
      </c>
      <c r="G3874" s="8">
        <v>40410</v>
      </c>
      <c r="Y3874" s="8"/>
    </row>
    <row r="3875" spans="1:25" x14ac:dyDescent="0.25">
      <c r="A3875" t="str">
        <f>"10-0566"</f>
        <v>10-0566</v>
      </c>
      <c r="D3875" s="8">
        <v>40408</v>
      </c>
      <c r="F3875" s="8">
        <v>40409</v>
      </c>
      <c r="G3875" s="8">
        <v>40409</v>
      </c>
      <c r="Y3875" s="8"/>
    </row>
    <row r="3876" spans="1:25" x14ac:dyDescent="0.25">
      <c r="A3876" t="str">
        <f>"10-0567"</f>
        <v>10-0567</v>
      </c>
      <c r="D3876" s="8">
        <v>40408</v>
      </c>
      <c r="G3876" s="8">
        <v>40410</v>
      </c>
    </row>
    <row r="3877" spans="1:25" x14ac:dyDescent="0.25">
      <c r="A3877" t="str">
        <f>"10-0568"</f>
        <v>10-0568</v>
      </c>
      <c r="D3877" s="8">
        <v>40408</v>
      </c>
      <c r="F3877" s="8">
        <v>40408</v>
      </c>
      <c r="G3877" s="8">
        <v>40408</v>
      </c>
      <c r="Y3877" s="8"/>
    </row>
    <row r="3878" spans="1:25" x14ac:dyDescent="0.25">
      <c r="A3878" t="str">
        <f>"10-0569"</f>
        <v>10-0569</v>
      </c>
      <c r="D3878" s="8">
        <v>40408</v>
      </c>
      <c r="F3878" s="8">
        <v>40409</v>
      </c>
      <c r="G3878" s="8">
        <v>40409</v>
      </c>
      <c r="Y3878" s="8"/>
    </row>
    <row r="3879" spans="1:25" x14ac:dyDescent="0.25">
      <c r="A3879" t="str">
        <f>"10-0562"</f>
        <v>10-0562</v>
      </c>
      <c r="D3879" s="8">
        <v>40407</v>
      </c>
      <c r="F3879" s="8">
        <v>40414</v>
      </c>
      <c r="G3879" s="8">
        <v>40417</v>
      </c>
      <c r="Y3879" s="8"/>
    </row>
    <row r="3880" spans="1:25" x14ac:dyDescent="0.25">
      <c r="A3880" t="str">
        <f>"10-0563"</f>
        <v>10-0563</v>
      </c>
      <c r="D3880" s="8">
        <v>40407</v>
      </c>
      <c r="F3880" s="8">
        <v>40424</v>
      </c>
      <c r="G3880" s="8">
        <v>40424</v>
      </c>
      <c r="Y3880" s="8"/>
    </row>
    <row r="3881" spans="1:25" x14ac:dyDescent="0.25">
      <c r="A3881" t="str">
        <f>"10-0564"</f>
        <v>10-0564</v>
      </c>
      <c r="D3881" s="8">
        <v>40407</v>
      </c>
      <c r="F3881" s="8">
        <v>40408</v>
      </c>
      <c r="G3881" s="8">
        <v>40415</v>
      </c>
      <c r="Y3881" s="8"/>
    </row>
    <row r="3882" spans="1:25" x14ac:dyDescent="0.25">
      <c r="A3882" t="str">
        <f>"10-0555B"</f>
        <v>10-0555B</v>
      </c>
      <c r="D3882" s="8">
        <v>40406</v>
      </c>
      <c r="F3882" s="8">
        <v>40406</v>
      </c>
      <c r="G3882" s="8">
        <v>40406</v>
      </c>
      <c r="Y3882" s="8"/>
    </row>
    <row r="3883" spans="1:25" x14ac:dyDescent="0.25">
      <c r="A3883" t="str">
        <f>"10-0561"</f>
        <v>10-0561</v>
      </c>
      <c r="D3883" s="8">
        <v>40402</v>
      </c>
      <c r="F3883" s="8">
        <v>40402</v>
      </c>
      <c r="G3883" s="8">
        <v>40402</v>
      </c>
      <c r="Y3883" s="8"/>
    </row>
    <row r="3884" spans="1:25" x14ac:dyDescent="0.25">
      <c r="A3884" t="str">
        <f>"10-0558"</f>
        <v>10-0558</v>
      </c>
      <c r="D3884" s="8">
        <v>40401</v>
      </c>
      <c r="F3884" s="8">
        <v>40401</v>
      </c>
      <c r="G3884" s="8">
        <v>40401</v>
      </c>
      <c r="Y3884" s="8"/>
    </row>
    <row r="3885" spans="1:25" x14ac:dyDescent="0.25">
      <c r="A3885" t="str">
        <f>"10-0559"</f>
        <v>10-0559</v>
      </c>
      <c r="D3885" s="8">
        <v>40401</v>
      </c>
      <c r="F3885" s="8">
        <v>40423</v>
      </c>
      <c r="G3885" s="8">
        <v>40413</v>
      </c>
      <c r="Y3885" s="8"/>
    </row>
    <row r="3886" spans="1:25" x14ac:dyDescent="0.25">
      <c r="A3886" t="str">
        <f>"10-0560"</f>
        <v>10-0560</v>
      </c>
      <c r="D3886" s="8">
        <v>40401</v>
      </c>
      <c r="F3886" s="8">
        <v>40401</v>
      </c>
      <c r="G3886" s="8">
        <v>40401</v>
      </c>
      <c r="Y3886" s="8"/>
    </row>
    <row r="3887" spans="1:25" x14ac:dyDescent="0.25">
      <c r="A3887" t="str">
        <f>"10-0556"</f>
        <v>10-0556</v>
      </c>
      <c r="D3887" s="8">
        <v>40400</v>
      </c>
      <c r="F3887" s="8">
        <v>40400</v>
      </c>
      <c r="G3887" s="8">
        <v>40400</v>
      </c>
      <c r="Y3887" s="8"/>
    </row>
    <row r="3888" spans="1:25" x14ac:dyDescent="0.25">
      <c r="A3888" t="str">
        <f>"10-0557"</f>
        <v>10-0557</v>
      </c>
      <c r="D3888" s="8">
        <v>40400</v>
      </c>
      <c r="F3888" s="8">
        <v>41418</v>
      </c>
      <c r="G3888" s="8">
        <v>40400</v>
      </c>
      <c r="Y3888" s="8"/>
    </row>
    <row r="3889" spans="1:25" x14ac:dyDescent="0.25">
      <c r="A3889" t="str">
        <f>"10-0554"</f>
        <v>10-0554</v>
      </c>
      <c r="D3889" s="8">
        <v>40399</v>
      </c>
      <c r="F3889" s="8">
        <v>40399</v>
      </c>
      <c r="G3889" s="8">
        <v>40399</v>
      </c>
      <c r="Y3889" s="8"/>
    </row>
    <row r="3890" spans="1:25" x14ac:dyDescent="0.25">
      <c r="A3890" t="str">
        <f>"10-0555"</f>
        <v>10-0555</v>
      </c>
      <c r="D3890" s="8">
        <v>40399</v>
      </c>
      <c r="F3890" s="8">
        <v>40399</v>
      </c>
      <c r="G3890" s="8">
        <v>40400</v>
      </c>
      <c r="Y3890" s="8"/>
    </row>
    <row r="3891" spans="1:25" x14ac:dyDescent="0.25">
      <c r="A3891" t="str">
        <f>"10-0548B"</f>
        <v>10-0548B</v>
      </c>
      <c r="D3891" s="8">
        <v>40396</v>
      </c>
      <c r="F3891" s="8">
        <v>40396</v>
      </c>
      <c r="G3891" s="8">
        <v>40396</v>
      </c>
      <c r="Y3891" s="8"/>
    </row>
    <row r="3892" spans="1:25" x14ac:dyDescent="0.25">
      <c r="A3892" t="str">
        <f>"10-0553"</f>
        <v>10-0553</v>
      </c>
      <c r="D3892" s="8">
        <v>40396</v>
      </c>
      <c r="F3892" s="8">
        <v>40455</v>
      </c>
      <c r="G3892" s="8">
        <v>40413</v>
      </c>
      <c r="Y3892" s="8"/>
    </row>
    <row r="3893" spans="1:25" x14ac:dyDescent="0.25">
      <c r="A3893" t="str">
        <f>"10-0551"</f>
        <v>10-0551</v>
      </c>
      <c r="D3893" s="8">
        <v>40395</v>
      </c>
      <c r="F3893" s="8">
        <v>40441</v>
      </c>
      <c r="G3893" s="8">
        <v>40395</v>
      </c>
      <c r="Y3893" s="8"/>
    </row>
    <row r="3894" spans="1:25" x14ac:dyDescent="0.25">
      <c r="A3894" t="str">
        <f>"10-0552"</f>
        <v>10-0552</v>
      </c>
      <c r="D3894" s="8">
        <v>40395</v>
      </c>
      <c r="F3894" s="8">
        <v>40396</v>
      </c>
      <c r="G3894" s="8">
        <v>40395</v>
      </c>
      <c r="Y3894" s="8"/>
    </row>
    <row r="3895" spans="1:25" x14ac:dyDescent="0.25">
      <c r="A3895" t="str">
        <f>"10-0548"</f>
        <v>10-0548</v>
      </c>
      <c r="D3895" s="8">
        <v>40394</v>
      </c>
      <c r="F3895" s="8">
        <v>40394</v>
      </c>
      <c r="G3895" s="8">
        <v>40394</v>
      </c>
      <c r="Y3895" s="8"/>
    </row>
    <row r="3896" spans="1:25" x14ac:dyDescent="0.25">
      <c r="A3896" t="str">
        <f>"10-0549"</f>
        <v>10-0549</v>
      </c>
      <c r="D3896" s="8">
        <v>40394</v>
      </c>
      <c r="F3896" s="8">
        <v>40441</v>
      </c>
      <c r="G3896" s="8">
        <v>40394</v>
      </c>
      <c r="Y3896" s="8"/>
    </row>
    <row r="3897" spans="1:25" x14ac:dyDescent="0.25">
      <c r="A3897" t="str">
        <f>"10-0550"</f>
        <v>10-0550</v>
      </c>
      <c r="D3897" s="8">
        <v>40394</v>
      </c>
      <c r="F3897" s="8">
        <v>40394</v>
      </c>
      <c r="G3897" s="8">
        <v>40394</v>
      </c>
      <c r="Y3897" s="8"/>
    </row>
    <row r="3898" spans="1:25" x14ac:dyDescent="0.25">
      <c r="A3898" t="str">
        <f>"10-0546"</f>
        <v>10-0546</v>
      </c>
      <c r="D3898" s="8">
        <v>40393</v>
      </c>
      <c r="F3898" s="8">
        <v>40393</v>
      </c>
      <c r="G3898" s="8">
        <v>40420</v>
      </c>
      <c r="Y3898" s="8"/>
    </row>
    <row r="3899" spans="1:25" x14ac:dyDescent="0.25">
      <c r="A3899" t="str">
        <f>"10-0547"</f>
        <v>10-0547</v>
      </c>
      <c r="D3899" s="8">
        <v>40393</v>
      </c>
      <c r="F3899" s="8">
        <v>40393</v>
      </c>
      <c r="G3899" s="8">
        <v>40420</v>
      </c>
      <c r="Y3899" s="8"/>
    </row>
    <row r="3900" spans="1:25" x14ac:dyDescent="0.25">
      <c r="A3900" t="str">
        <f>"10-0539B"</f>
        <v>10-0539B</v>
      </c>
      <c r="D3900" s="8">
        <v>40392</v>
      </c>
      <c r="F3900" s="8">
        <v>40421</v>
      </c>
      <c r="G3900" s="8">
        <v>40392</v>
      </c>
      <c r="Y3900" s="8"/>
    </row>
    <row r="3901" spans="1:25" x14ac:dyDescent="0.25">
      <c r="A3901" t="str">
        <f>"10-0542B"</f>
        <v>10-0542B</v>
      </c>
      <c r="D3901" s="8">
        <v>40392</v>
      </c>
      <c r="F3901" s="8">
        <v>40644</v>
      </c>
      <c r="G3901" s="8">
        <v>40392</v>
      </c>
      <c r="Y3901" s="8"/>
    </row>
    <row r="3902" spans="1:25" x14ac:dyDescent="0.25">
      <c r="A3902" t="str">
        <f>"10-0545"</f>
        <v>10-0545</v>
      </c>
      <c r="D3902" s="8">
        <v>40392</v>
      </c>
      <c r="F3902" s="8">
        <v>40392</v>
      </c>
      <c r="G3902" s="8">
        <v>40386</v>
      </c>
      <c r="Y3902" s="8"/>
    </row>
    <row r="3903" spans="1:25" x14ac:dyDescent="0.25">
      <c r="A3903" t="str">
        <f>"10-0542"</f>
        <v>10-0542</v>
      </c>
      <c r="D3903" s="8">
        <v>40389</v>
      </c>
      <c r="F3903" s="8">
        <v>40389</v>
      </c>
      <c r="G3903" s="8">
        <v>40389</v>
      </c>
      <c r="Y3903" s="8"/>
    </row>
    <row r="3904" spans="1:25" x14ac:dyDescent="0.25">
      <c r="A3904" t="str">
        <f>"10-0543"</f>
        <v>10-0543</v>
      </c>
      <c r="D3904" s="8">
        <v>40389</v>
      </c>
      <c r="F3904" s="8">
        <v>40389</v>
      </c>
      <c r="G3904" s="8">
        <v>40389</v>
      </c>
      <c r="Y3904" s="8"/>
    </row>
    <row r="3905" spans="1:25" x14ac:dyDescent="0.25">
      <c r="A3905" t="str">
        <f>"10-0544"</f>
        <v>10-0544</v>
      </c>
      <c r="D3905" s="8">
        <v>40389</v>
      </c>
      <c r="F3905" s="8">
        <v>40389</v>
      </c>
      <c r="G3905" s="8">
        <v>40389</v>
      </c>
      <c r="Y3905" s="8"/>
    </row>
    <row r="3906" spans="1:25" x14ac:dyDescent="0.25">
      <c r="A3906" t="str">
        <f>"10-0458E"</f>
        <v>10-0458E</v>
      </c>
      <c r="D3906" s="8">
        <v>40388</v>
      </c>
      <c r="F3906" s="8">
        <v>40389</v>
      </c>
      <c r="G3906" s="8">
        <v>40388</v>
      </c>
      <c r="Y3906" s="8"/>
    </row>
    <row r="3907" spans="1:25" x14ac:dyDescent="0.25">
      <c r="A3907" t="str">
        <f>"10-0458D"</f>
        <v>10-0458D</v>
      </c>
      <c r="D3907" s="8">
        <v>40387</v>
      </c>
      <c r="F3907" s="8">
        <v>40387</v>
      </c>
      <c r="G3907" s="8">
        <v>40385</v>
      </c>
      <c r="Y3907" s="8"/>
    </row>
    <row r="3908" spans="1:25" x14ac:dyDescent="0.25">
      <c r="A3908" t="str">
        <f>"10-0540"</f>
        <v>10-0540</v>
      </c>
      <c r="D3908" s="8">
        <v>40387</v>
      </c>
      <c r="F3908" s="8">
        <v>40387</v>
      </c>
      <c r="G3908" s="8">
        <v>40387</v>
      </c>
      <c r="Y3908" s="8"/>
    </row>
    <row r="3909" spans="1:25" x14ac:dyDescent="0.25">
      <c r="A3909" t="str">
        <f>"10-0541"</f>
        <v>10-0541</v>
      </c>
      <c r="D3909" s="8">
        <v>40387</v>
      </c>
      <c r="F3909" s="8">
        <v>40387</v>
      </c>
      <c r="G3909" s="8">
        <v>40387</v>
      </c>
      <c r="Y3909" s="8"/>
    </row>
    <row r="3910" spans="1:25" x14ac:dyDescent="0.25">
      <c r="A3910" t="str">
        <f>"10-0539"</f>
        <v>10-0539</v>
      </c>
      <c r="D3910" s="8">
        <v>40386</v>
      </c>
      <c r="F3910" s="8">
        <v>40386</v>
      </c>
      <c r="G3910" s="8">
        <v>40386</v>
      </c>
      <c r="Y3910" s="8"/>
    </row>
    <row r="3911" spans="1:25" x14ac:dyDescent="0.25">
      <c r="A3911" t="str">
        <f>"10-0529"</f>
        <v>10-0529</v>
      </c>
      <c r="D3911" s="8">
        <v>40382</v>
      </c>
      <c r="F3911" s="8">
        <v>40382</v>
      </c>
      <c r="G3911" s="8">
        <v>40382</v>
      </c>
      <c r="Y3911" s="8"/>
    </row>
    <row r="3912" spans="1:25" x14ac:dyDescent="0.25">
      <c r="A3912" t="str">
        <f>"10-0530"</f>
        <v>10-0530</v>
      </c>
      <c r="D3912" s="8">
        <v>40382</v>
      </c>
      <c r="F3912" s="8">
        <v>40382</v>
      </c>
      <c r="G3912" s="8">
        <v>40382</v>
      </c>
      <c r="Y3912" s="8"/>
    </row>
    <row r="3913" spans="1:25" x14ac:dyDescent="0.25">
      <c r="A3913" t="str">
        <f>"10-0531"</f>
        <v>10-0531</v>
      </c>
      <c r="D3913" s="8">
        <v>40382</v>
      </c>
      <c r="F3913" s="8">
        <v>40386</v>
      </c>
      <c r="G3913" s="8">
        <v>40386</v>
      </c>
      <c r="Y3913" s="8"/>
    </row>
    <row r="3914" spans="1:25" x14ac:dyDescent="0.25">
      <c r="A3914" t="str">
        <f>"10-0532"</f>
        <v>10-0532</v>
      </c>
      <c r="D3914" s="8">
        <v>40382</v>
      </c>
      <c r="F3914" s="8">
        <v>40388</v>
      </c>
      <c r="G3914" s="8">
        <v>40386</v>
      </c>
      <c r="Y3914" s="8"/>
    </row>
    <row r="3915" spans="1:25" x14ac:dyDescent="0.25">
      <c r="A3915" t="str">
        <f>"10-0533"</f>
        <v>10-0533</v>
      </c>
      <c r="D3915" s="8">
        <v>40382</v>
      </c>
      <c r="F3915" s="8">
        <v>40417</v>
      </c>
      <c r="G3915" s="8">
        <v>40417</v>
      </c>
      <c r="Y3915" s="8"/>
    </row>
    <row r="3916" spans="1:25" x14ac:dyDescent="0.25">
      <c r="A3916" t="str">
        <f>"10-0534"</f>
        <v>10-0534</v>
      </c>
      <c r="D3916" s="8">
        <v>40382</v>
      </c>
      <c r="F3916" s="8">
        <v>40385</v>
      </c>
      <c r="G3916" s="8">
        <v>40385</v>
      </c>
      <c r="Y3916" s="8"/>
    </row>
    <row r="3917" spans="1:25" x14ac:dyDescent="0.25">
      <c r="A3917" t="str">
        <f>"10-0535"</f>
        <v>10-0535</v>
      </c>
      <c r="D3917" s="8">
        <v>40382</v>
      </c>
      <c r="G3917" s="8">
        <v>40382</v>
      </c>
    </row>
    <row r="3918" spans="1:25" x14ac:dyDescent="0.25">
      <c r="A3918" t="str">
        <f>"10-0536"</f>
        <v>10-0536</v>
      </c>
      <c r="D3918" s="8">
        <v>40382</v>
      </c>
      <c r="F3918" s="8">
        <v>40389</v>
      </c>
      <c r="G3918" s="8">
        <v>40385</v>
      </c>
      <c r="Y3918" s="8"/>
    </row>
    <row r="3919" spans="1:25" x14ac:dyDescent="0.25">
      <c r="A3919" t="str">
        <f>"10-0537"</f>
        <v>10-0537</v>
      </c>
      <c r="D3919" s="8">
        <v>40382</v>
      </c>
      <c r="F3919" s="8">
        <v>40407</v>
      </c>
      <c r="G3919" s="8">
        <v>40385</v>
      </c>
      <c r="Y3919" s="8"/>
    </row>
    <row r="3920" spans="1:25" x14ac:dyDescent="0.25">
      <c r="A3920" t="str">
        <f>"10-0538"</f>
        <v>10-0538</v>
      </c>
      <c r="D3920" s="8">
        <v>40382</v>
      </c>
      <c r="G3920" s="8">
        <v>40385</v>
      </c>
    </row>
    <row r="3921" spans="1:25" x14ac:dyDescent="0.25">
      <c r="A3921" t="str">
        <f>"10-0385B"</f>
        <v>10-0385B</v>
      </c>
      <c r="D3921" s="8">
        <v>40380</v>
      </c>
      <c r="F3921" s="8">
        <v>40380</v>
      </c>
      <c r="G3921" s="8">
        <v>40379</v>
      </c>
      <c r="Y3921" s="8"/>
    </row>
    <row r="3922" spans="1:25" x14ac:dyDescent="0.25">
      <c r="A3922" t="str">
        <f>"10-0526"</f>
        <v>10-0526</v>
      </c>
      <c r="D3922" s="8">
        <v>40380</v>
      </c>
      <c r="G3922" s="8">
        <v>40381</v>
      </c>
    </row>
    <row r="3923" spans="1:25" x14ac:dyDescent="0.25">
      <c r="A3923" t="str">
        <f>"10-0527"</f>
        <v>10-0527</v>
      </c>
      <c r="D3923" s="8">
        <v>40380</v>
      </c>
      <c r="F3923" s="8">
        <v>40380</v>
      </c>
      <c r="G3923" s="8">
        <v>40380</v>
      </c>
      <c r="Y3923" s="8"/>
    </row>
    <row r="3924" spans="1:25" x14ac:dyDescent="0.25">
      <c r="A3924" t="str">
        <f>"10-0528"</f>
        <v>10-0528</v>
      </c>
      <c r="D3924" s="8">
        <v>40380</v>
      </c>
      <c r="F3924" s="8">
        <v>40380</v>
      </c>
      <c r="G3924" s="8">
        <v>40380</v>
      </c>
      <c r="Y3924" s="8"/>
    </row>
    <row r="3925" spans="1:25" x14ac:dyDescent="0.25">
      <c r="A3925" t="str">
        <f>"10-0524B"</f>
        <v>10-0524B</v>
      </c>
      <c r="D3925" s="8">
        <v>40379</v>
      </c>
      <c r="F3925" s="8">
        <v>40379</v>
      </c>
      <c r="G3925" s="8">
        <v>40379</v>
      </c>
      <c r="Y3925" s="8"/>
    </row>
    <row r="3926" spans="1:25" x14ac:dyDescent="0.25">
      <c r="A3926" t="str">
        <f>"10-0525"</f>
        <v>10-0525</v>
      </c>
      <c r="D3926" s="8">
        <v>40379</v>
      </c>
      <c r="F3926" s="8">
        <v>40379</v>
      </c>
      <c r="G3926" s="8">
        <v>40379</v>
      </c>
      <c r="Y3926" s="8"/>
    </row>
    <row r="3927" spans="1:25" x14ac:dyDescent="0.25">
      <c r="A3927" t="str">
        <f>"10-0078B"</f>
        <v>10-0078B</v>
      </c>
      <c r="D3927" s="8">
        <v>40375</v>
      </c>
      <c r="F3927" s="8">
        <v>40375</v>
      </c>
      <c r="G3927" s="8">
        <v>40375</v>
      </c>
      <c r="Y3927" s="8"/>
    </row>
    <row r="3928" spans="1:25" x14ac:dyDescent="0.25">
      <c r="A3928" t="str">
        <f>"10-0458C"</f>
        <v>10-0458C</v>
      </c>
      <c r="D3928" s="8">
        <v>40375</v>
      </c>
      <c r="F3928" s="8">
        <v>40375</v>
      </c>
      <c r="G3928" s="8">
        <v>40375</v>
      </c>
      <c r="Y3928" s="8"/>
    </row>
    <row r="3929" spans="1:25" x14ac:dyDescent="0.25">
      <c r="A3929" t="str">
        <f>"10-0517B"</f>
        <v>10-0517B</v>
      </c>
      <c r="D3929" s="8">
        <v>40375</v>
      </c>
      <c r="F3929" s="8">
        <v>40375</v>
      </c>
      <c r="G3929" s="8">
        <v>40375</v>
      </c>
      <c r="Y3929" s="8"/>
    </row>
    <row r="3930" spans="1:25" x14ac:dyDescent="0.25">
      <c r="A3930" t="str">
        <f>"10-0518  B"</f>
        <v>10-0518  B</v>
      </c>
      <c r="D3930" s="8">
        <v>40375</v>
      </c>
      <c r="F3930" s="8">
        <v>40375</v>
      </c>
      <c r="G3930" s="8">
        <v>40375</v>
      </c>
      <c r="Y3930" s="8"/>
    </row>
    <row r="3931" spans="1:25" x14ac:dyDescent="0.25">
      <c r="A3931" t="str">
        <f>"10-0522"</f>
        <v>10-0522</v>
      </c>
      <c r="D3931" s="8">
        <v>40375</v>
      </c>
      <c r="F3931" s="8">
        <v>40375</v>
      </c>
      <c r="G3931" s="8">
        <v>40375</v>
      </c>
      <c r="Y3931" s="8"/>
    </row>
    <row r="3932" spans="1:25" x14ac:dyDescent="0.25">
      <c r="A3932" t="str">
        <f>"10-0523"</f>
        <v>10-0523</v>
      </c>
      <c r="D3932" s="8">
        <v>40375</v>
      </c>
      <c r="F3932" s="8">
        <v>40379</v>
      </c>
      <c r="G3932" s="8">
        <v>40375</v>
      </c>
      <c r="Y3932" s="8"/>
    </row>
    <row r="3933" spans="1:25" x14ac:dyDescent="0.25">
      <c r="A3933" t="str">
        <f>"10-0524"</f>
        <v>10-0524</v>
      </c>
      <c r="D3933" s="8">
        <v>40375</v>
      </c>
      <c r="F3933" s="8">
        <v>40375</v>
      </c>
      <c r="G3933" s="8">
        <v>40375</v>
      </c>
      <c r="Y3933" s="8"/>
    </row>
    <row r="3934" spans="1:25" x14ac:dyDescent="0.25">
      <c r="A3934" t="str">
        <f>"10-0441B"</f>
        <v>10-0441B</v>
      </c>
      <c r="D3934" s="8">
        <v>40374</v>
      </c>
      <c r="F3934" s="8">
        <v>40374</v>
      </c>
      <c r="G3934" s="8">
        <v>40375</v>
      </c>
      <c r="Y3934" s="8"/>
    </row>
    <row r="3935" spans="1:25" x14ac:dyDescent="0.25">
      <c r="A3935" t="str">
        <f>"10-0517"</f>
        <v>10-0517</v>
      </c>
      <c r="D3935" s="8">
        <v>40374</v>
      </c>
      <c r="F3935" s="8">
        <v>40374</v>
      </c>
      <c r="G3935" s="8">
        <v>40374</v>
      </c>
      <c r="Y3935" s="8"/>
    </row>
    <row r="3936" spans="1:25" x14ac:dyDescent="0.25">
      <c r="A3936" t="str">
        <f>"10-0518"</f>
        <v>10-0518</v>
      </c>
      <c r="D3936" s="8">
        <v>40374</v>
      </c>
      <c r="F3936" s="8">
        <v>40374</v>
      </c>
      <c r="G3936" s="8">
        <v>40374</v>
      </c>
      <c r="Y3936" s="8"/>
    </row>
    <row r="3937" spans="1:25" x14ac:dyDescent="0.25">
      <c r="A3937" t="str">
        <f>"10-0519"</f>
        <v>10-0519</v>
      </c>
      <c r="D3937" s="8">
        <v>40374</v>
      </c>
      <c r="F3937" s="8">
        <v>40374</v>
      </c>
      <c r="G3937" s="8">
        <v>40375</v>
      </c>
      <c r="Y3937" s="8"/>
    </row>
    <row r="3938" spans="1:25" x14ac:dyDescent="0.25">
      <c r="A3938" t="str">
        <f>"10-0520"</f>
        <v>10-0520</v>
      </c>
      <c r="D3938" s="8">
        <v>40374</v>
      </c>
      <c r="F3938" s="8">
        <v>40374</v>
      </c>
      <c r="G3938" s="8">
        <v>40375</v>
      </c>
      <c r="Y3938" s="8"/>
    </row>
    <row r="3939" spans="1:25" x14ac:dyDescent="0.25">
      <c r="A3939" t="str">
        <f>"10-0521"</f>
        <v>10-0521</v>
      </c>
      <c r="D3939" s="8">
        <v>40374</v>
      </c>
      <c r="F3939" s="8">
        <v>40374</v>
      </c>
      <c r="G3939" s="8">
        <v>40374</v>
      </c>
      <c r="Y3939" s="8"/>
    </row>
    <row r="3940" spans="1:25" x14ac:dyDescent="0.25">
      <c r="A3940" t="str">
        <f>"10-0458B"</f>
        <v>10-0458B</v>
      </c>
      <c r="D3940" s="8">
        <v>40372</v>
      </c>
      <c r="F3940" s="8">
        <v>40372</v>
      </c>
      <c r="G3940" s="8">
        <v>40372</v>
      </c>
      <c r="Y3940" s="8"/>
    </row>
    <row r="3941" spans="1:25" x14ac:dyDescent="0.25">
      <c r="A3941" t="str">
        <f>"10-0513"</f>
        <v>10-0513</v>
      </c>
      <c r="D3941" s="8">
        <v>40372</v>
      </c>
      <c r="F3941" s="8">
        <v>40372</v>
      </c>
      <c r="G3941" s="8">
        <v>40374</v>
      </c>
      <c r="Y3941" s="8"/>
    </row>
    <row r="3942" spans="1:25" x14ac:dyDescent="0.25">
      <c r="A3942" t="str">
        <f>"10-0514"</f>
        <v>10-0514</v>
      </c>
      <c r="D3942" s="8">
        <v>40372</v>
      </c>
      <c r="F3942" s="8">
        <v>40372</v>
      </c>
      <c r="G3942" s="8">
        <v>40372</v>
      </c>
      <c r="Y3942" s="8"/>
    </row>
    <row r="3943" spans="1:25" x14ac:dyDescent="0.25">
      <c r="A3943" t="str">
        <f>"10-0515"</f>
        <v>10-0515</v>
      </c>
      <c r="D3943" s="8">
        <v>40372</v>
      </c>
      <c r="F3943" s="8">
        <v>40372</v>
      </c>
      <c r="G3943" s="8">
        <v>40372</v>
      </c>
      <c r="Y3943" s="8"/>
    </row>
    <row r="3944" spans="1:25" x14ac:dyDescent="0.25">
      <c r="A3944" t="str">
        <f>"10-0516"</f>
        <v>10-0516</v>
      </c>
      <c r="D3944" s="8">
        <v>40372</v>
      </c>
      <c r="F3944" s="8">
        <v>40372</v>
      </c>
      <c r="G3944" s="8">
        <v>40375</v>
      </c>
      <c r="Y3944" s="8"/>
    </row>
    <row r="3945" spans="1:25" x14ac:dyDescent="0.25">
      <c r="A3945" t="str">
        <f>"10-0508"</f>
        <v>10-0508</v>
      </c>
      <c r="D3945" s="8">
        <v>40371</v>
      </c>
      <c r="F3945" s="8">
        <v>40371</v>
      </c>
      <c r="G3945" s="8">
        <v>40371</v>
      </c>
      <c r="Y3945" s="8"/>
    </row>
    <row r="3946" spans="1:25" x14ac:dyDescent="0.25">
      <c r="A3946" t="str">
        <f>"10-0509"</f>
        <v>10-0509</v>
      </c>
      <c r="D3946" s="8">
        <v>40371</v>
      </c>
      <c r="F3946" s="8">
        <v>40975</v>
      </c>
      <c r="G3946" s="8">
        <v>40371</v>
      </c>
      <c r="Y3946" s="8"/>
    </row>
    <row r="3947" spans="1:25" x14ac:dyDescent="0.25">
      <c r="A3947" t="str">
        <f>"10-0510"</f>
        <v>10-0510</v>
      </c>
      <c r="D3947" s="8">
        <v>40371</v>
      </c>
      <c r="F3947" s="8">
        <v>40371</v>
      </c>
      <c r="G3947" s="8">
        <v>40371</v>
      </c>
      <c r="Y3947" s="8"/>
    </row>
    <row r="3948" spans="1:25" x14ac:dyDescent="0.25">
      <c r="A3948" t="str">
        <f>"10-0511"</f>
        <v>10-0511</v>
      </c>
      <c r="D3948" s="8">
        <v>40371</v>
      </c>
      <c r="F3948" s="8">
        <v>40371</v>
      </c>
      <c r="G3948" s="8">
        <v>40371</v>
      </c>
      <c r="Y3948" s="8"/>
    </row>
    <row r="3949" spans="1:25" x14ac:dyDescent="0.25">
      <c r="A3949" t="str">
        <f>"10-0512"</f>
        <v>10-0512</v>
      </c>
      <c r="D3949" s="8">
        <v>40371</v>
      </c>
      <c r="F3949" s="8">
        <v>40371</v>
      </c>
      <c r="G3949" s="8">
        <v>40371</v>
      </c>
      <c r="Y3949" s="8"/>
    </row>
    <row r="3950" spans="1:25" x14ac:dyDescent="0.25">
      <c r="A3950" t="str">
        <f>"10-0494"</f>
        <v>10-0494</v>
      </c>
      <c r="D3950" s="8">
        <v>40368</v>
      </c>
      <c r="F3950" s="8">
        <v>40368</v>
      </c>
      <c r="G3950" s="8">
        <v>40368</v>
      </c>
      <c r="Y3950" s="8"/>
    </row>
    <row r="3951" spans="1:25" x14ac:dyDescent="0.25">
      <c r="A3951" t="str">
        <f>"10-0495"</f>
        <v>10-0495</v>
      </c>
      <c r="D3951" s="8">
        <v>40368</v>
      </c>
      <c r="F3951" s="8">
        <v>40368</v>
      </c>
      <c r="G3951" s="8">
        <v>40368</v>
      </c>
      <c r="Y3951" s="8"/>
    </row>
    <row r="3952" spans="1:25" x14ac:dyDescent="0.25">
      <c r="A3952" t="str">
        <f>"10-0496"</f>
        <v>10-0496</v>
      </c>
      <c r="D3952" s="8">
        <v>40368</v>
      </c>
      <c r="F3952" s="8">
        <v>40379</v>
      </c>
      <c r="G3952" s="8">
        <v>40375</v>
      </c>
      <c r="Y3952" s="8"/>
    </row>
    <row r="3953" spans="1:25" x14ac:dyDescent="0.25">
      <c r="A3953" t="str">
        <f>"10-0497"</f>
        <v>10-0497</v>
      </c>
      <c r="D3953" s="8">
        <v>40368</v>
      </c>
      <c r="F3953" s="8">
        <v>40379</v>
      </c>
      <c r="G3953" s="8">
        <v>40374</v>
      </c>
      <c r="Y3953" s="8"/>
    </row>
    <row r="3954" spans="1:25" x14ac:dyDescent="0.25">
      <c r="A3954" t="str">
        <f>"10-0498"</f>
        <v>10-0498</v>
      </c>
      <c r="D3954" s="8">
        <v>40368</v>
      </c>
      <c r="F3954" s="8">
        <v>40368</v>
      </c>
      <c r="G3954" s="8">
        <v>40368</v>
      </c>
      <c r="Y3954" s="8"/>
    </row>
    <row r="3955" spans="1:25" x14ac:dyDescent="0.25">
      <c r="A3955" t="str">
        <f>"10-0499"</f>
        <v>10-0499</v>
      </c>
      <c r="D3955" s="8">
        <v>40368</v>
      </c>
      <c r="F3955" s="8">
        <v>40368</v>
      </c>
      <c r="G3955" s="8">
        <v>40368</v>
      </c>
      <c r="Y3955" s="8"/>
    </row>
    <row r="3956" spans="1:25" x14ac:dyDescent="0.25">
      <c r="A3956" t="str">
        <f>"10-0500"</f>
        <v>10-0500</v>
      </c>
      <c r="D3956" s="8">
        <v>40368</v>
      </c>
      <c r="F3956" s="8">
        <v>40368</v>
      </c>
      <c r="G3956" s="8">
        <v>40368</v>
      </c>
      <c r="Y3956" s="8"/>
    </row>
    <row r="3957" spans="1:25" x14ac:dyDescent="0.25">
      <c r="A3957" t="str">
        <f>"10-0501"</f>
        <v>10-0501</v>
      </c>
      <c r="D3957" s="8">
        <v>40368</v>
      </c>
      <c r="F3957" s="8">
        <v>40380</v>
      </c>
      <c r="G3957" s="8">
        <v>40372</v>
      </c>
      <c r="Y3957" s="8"/>
    </row>
    <row r="3958" spans="1:25" x14ac:dyDescent="0.25">
      <c r="A3958" t="str">
        <f>"10-0502"</f>
        <v>10-0502</v>
      </c>
      <c r="D3958" s="8">
        <v>40368</v>
      </c>
      <c r="F3958" s="8">
        <v>40380</v>
      </c>
      <c r="G3958" s="8">
        <v>40372</v>
      </c>
      <c r="Y3958" s="8"/>
    </row>
    <row r="3959" spans="1:25" x14ac:dyDescent="0.25">
      <c r="A3959" t="str">
        <f>"10-0503"</f>
        <v>10-0503</v>
      </c>
      <c r="D3959" s="8">
        <v>40368</v>
      </c>
      <c r="F3959" s="8">
        <v>40399</v>
      </c>
      <c r="G3959" s="8">
        <v>40372</v>
      </c>
      <c r="Y3959" s="8"/>
    </row>
    <row r="3960" spans="1:25" x14ac:dyDescent="0.25">
      <c r="A3960" t="str">
        <f>"10-0504"</f>
        <v>10-0504</v>
      </c>
      <c r="D3960" s="8">
        <v>40368</v>
      </c>
      <c r="F3960" s="8">
        <v>40399</v>
      </c>
      <c r="G3960" s="8">
        <v>40372</v>
      </c>
      <c r="Y3960" s="8"/>
    </row>
    <row r="3961" spans="1:25" x14ac:dyDescent="0.25">
      <c r="A3961" t="str">
        <f>"10-0505"</f>
        <v>10-0505</v>
      </c>
      <c r="D3961" s="8">
        <v>40368</v>
      </c>
      <c r="F3961" s="8">
        <v>40368</v>
      </c>
      <c r="G3961" s="8">
        <v>40368</v>
      </c>
      <c r="Y3961" s="8"/>
    </row>
    <row r="3962" spans="1:25" x14ac:dyDescent="0.25">
      <c r="A3962" t="str">
        <f>"10-0506"</f>
        <v>10-0506</v>
      </c>
      <c r="D3962" s="8">
        <v>40368</v>
      </c>
      <c r="F3962" s="8">
        <v>40368</v>
      </c>
      <c r="G3962" s="8">
        <v>40372</v>
      </c>
      <c r="Y3962" s="8"/>
    </row>
    <row r="3963" spans="1:25" x14ac:dyDescent="0.25">
      <c r="A3963" t="str">
        <f>"10-0507"</f>
        <v>10-0507</v>
      </c>
      <c r="D3963" s="8">
        <v>40368</v>
      </c>
      <c r="F3963" s="8">
        <v>40407</v>
      </c>
      <c r="G3963" s="8">
        <v>40372</v>
      </c>
      <c r="Y3963" s="8"/>
    </row>
    <row r="3964" spans="1:25" x14ac:dyDescent="0.25">
      <c r="A3964" t="str">
        <f>"10-0493B"</f>
        <v>10-0493B</v>
      </c>
      <c r="D3964" s="8">
        <v>40367</v>
      </c>
      <c r="F3964" s="8">
        <v>40367</v>
      </c>
      <c r="G3964" s="8">
        <v>40367</v>
      </c>
      <c r="Y3964" s="8"/>
    </row>
    <row r="3965" spans="1:25" x14ac:dyDescent="0.25">
      <c r="A3965" t="str">
        <f>"10-0396B"</f>
        <v>10-0396B</v>
      </c>
      <c r="D3965" s="8">
        <v>40366</v>
      </c>
      <c r="F3965" s="8">
        <v>40367</v>
      </c>
      <c r="G3965" s="8">
        <v>40366</v>
      </c>
      <c r="Y3965" s="8"/>
    </row>
    <row r="3966" spans="1:25" x14ac:dyDescent="0.25">
      <c r="A3966" t="str">
        <f>"10-0490"</f>
        <v>10-0490</v>
      </c>
      <c r="D3966" s="8">
        <v>40366</v>
      </c>
      <c r="F3966" s="8">
        <v>40366</v>
      </c>
      <c r="G3966" s="8">
        <v>40366</v>
      </c>
      <c r="Y3966" s="8"/>
    </row>
    <row r="3967" spans="1:25" x14ac:dyDescent="0.25">
      <c r="A3967" t="str">
        <f>"10-0491"</f>
        <v>10-0491</v>
      </c>
      <c r="D3967" s="8">
        <v>40366</v>
      </c>
      <c r="F3967" s="8">
        <v>40366</v>
      </c>
      <c r="G3967" s="8">
        <v>40366</v>
      </c>
      <c r="Y3967" s="8"/>
    </row>
    <row r="3968" spans="1:25" x14ac:dyDescent="0.25">
      <c r="A3968" t="str">
        <f>"10-0492"</f>
        <v>10-0492</v>
      </c>
      <c r="D3968" s="8">
        <v>40366</v>
      </c>
      <c r="F3968" s="8">
        <v>40366</v>
      </c>
      <c r="G3968" s="8">
        <v>40366</v>
      </c>
      <c r="Y3968" s="8"/>
    </row>
    <row r="3969" spans="1:25" x14ac:dyDescent="0.25">
      <c r="A3969" t="str">
        <f>"10-0493"</f>
        <v>10-0493</v>
      </c>
      <c r="D3969" s="8">
        <v>40366</v>
      </c>
      <c r="F3969" s="8">
        <v>40366</v>
      </c>
      <c r="G3969" s="8">
        <v>40366</v>
      </c>
      <c r="Y3969" s="8"/>
    </row>
    <row r="3970" spans="1:25" x14ac:dyDescent="0.25">
      <c r="A3970" t="str">
        <f>"10-0484B"</f>
        <v>10-0484B</v>
      </c>
      <c r="D3970" s="8">
        <v>40365</v>
      </c>
      <c r="F3970" s="8">
        <v>40463</v>
      </c>
      <c r="G3970" s="8">
        <v>40365</v>
      </c>
      <c r="Y3970" s="8"/>
    </row>
    <row r="3971" spans="1:25" x14ac:dyDescent="0.25">
      <c r="A3971" t="str">
        <f>"10-0488"</f>
        <v>10-0488</v>
      </c>
      <c r="D3971" s="8">
        <v>40365</v>
      </c>
      <c r="F3971" s="8">
        <v>40367</v>
      </c>
      <c r="G3971" s="8">
        <v>40365</v>
      </c>
      <c r="Y3971" s="8"/>
    </row>
    <row r="3972" spans="1:25" x14ac:dyDescent="0.25">
      <c r="A3972" t="str">
        <f>"10-0489"</f>
        <v>10-0489</v>
      </c>
      <c r="D3972" s="8">
        <v>40365</v>
      </c>
      <c r="F3972" s="8">
        <v>40367</v>
      </c>
      <c r="G3972" s="8">
        <v>40365</v>
      </c>
      <c r="Y3972" s="8"/>
    </row>
    <row r="3973" spans="1:25" x14ac:dyDescent="0.25">
      <c r="A3973" t="str">
        <f>"10-0462B"</f>
        <v>10-0462B</v>
      </c>
      <c r="D3973" s="8">
        <v>40364</v>
      </c>
      <c r="F3973" s="8">
        <v>40364</v>
      </c>
      <c r="G3973" s="8">
        <v>40364</v>
      </c>
      <c r="Y3973" s="8"/>
    </row>
    <row r="3974" spans="1:25" x14ac:dyDescent="0.25">
      <c r="A3974" t="str">
        <f>"10-0468B"</f>
        <v>10-0468B</v>
      </c>
      <c r="D3974" s="8">
        <v>40364</v>
      </c>
      <c r="F3974" s="8">
        <v>40492</v>
      </c>
      <c r="G3974" s="8">
        <v>40364</v>
      </c>
      <c r="Y3974" s="8"/>
    </row>
    <row r="3975" spans="1:25" x14ac:dyDescent="0.25">
      <c r="A3975" t="str">
        <f>"10-0483"</f>
        <v>10-0483</v>
      </c>
      <c r="D3975" s="8">
        <v>40361</v>
      </c>
      <c r="F3975" s="8">
        <v>40361</v>
      </c>
      <c r="G3975" s="8">
        <v>40361</v>
      </c>
      <c r="Y3975" s="8"/>
    </row>
    <row r="3976" spans="1:25" x14ac:dyDescent="0.25">
      <c r="A3976" t="str">
        <f>"10-0484"</f>
        <v>10-0484</v>
      </c>
      <c r="D3976" s="8">
        <v>40361</v>
      </c>
      <c r="F3976" s="8">
        <v>40361</v>
      </c>
      <c r="G3976" s="8">
        <v>40361</v>
      </c>
      <c r="Y3976" s="8"/>
    </row>
    <row r="3977" spans="1:25" x14ac:dyDescent="0.25">
      <c r="A3977" t="str">
        <f>"10-0485"</f>
        <v>10-0485</v>
      </c>
      <c r="D3977" s="8">
        <v>40361</v>
      </c>
      <c r="G3977" s="8">
        <v>40366</v>
      </c>
    </row>
    <row r="3978" spans="1:25" x14ac:dyDescent="0.25">
      <c r="A3978" t="str">
        <f>"10-0486"</f>
        <v>10-0486</v>
      </c>
      <c r="D3978" s="8">
        <v>40361</v>
      </c>
      <c r="F3978" s="8">
        <v>40361</v>
      </c>
      <c r="G3978" s="8">
        <v>40361</v>
      </c>
      <c r="Y3978" s="8"/>
    </row>
    <row r="3979" spans="1:25" x14ac:dyDescent="0.25">
      <c r="A3979" t="str">
        <f>"10-0440B"</f>
        <v>10-0440B</v>
      </c>
      <c r="D3979" s="8">
        <v>40360</v>
      </c>
      <c r="F3979" s="8">
        <v>40360</v>
      </c>
      <c r="G3979" s="8">
        <v>40359</v>
      </c>
      <c r="Y3979" s="8"/>
    </row>
    <row r="3980" spans="1:25" x14ac:dyDescent="0.25">
      <c r="A3980" t="str">
        <f>"10-0477"</f>
        <v>10-0477</v>
      </c>
      <c r="D3980" s="8">
        <v>40360</v>
      </c>
      <c r="F3980" s="8">
        <v>40374</v>
      </c>
      <c r="G3980" s="8">
        <v>40375</v>
      </c>
      <c r="Y3980" s="8"/>
    </row>
    <row r="3981" spans="1:25" x14ac:dyDescent="0.25">
      <c r="A3981" t="str">
        <f>"10-0478"</f>
        <v>10-0478</v>
      </c>
      <c r="D3981" s="8">
        <v>40360</v>
      </c>
      <c r="F3981" s="8">
        <v>40575</v>
      </c>
      <c r="G3981" s="8">
        <v>40359</v>
      </c>
      <c r="Y3981" s="8"/>
    </row>
    <row r="3982" spans="1:25" x14ac:dyDescent="0.25">
      <c r="A3982" t="str">
        <f>"10-0479"</f>
        <v>10-0479</v>
      </c>
      <c r="D3982" s="8">
        <v>40360</v>
      </c>
      <c r="F3982" s="8">
        <v>40360</v>
      </c>
      <c r="G3982" s="8">
        <v>40361</v>
      </c>
      <c r="Y3982" s="8"/>
    </row>
    <row r="3983" spans="1:25" x14ac:dyDescent="0.25">
      <c r="A3983" t="str">
        <f>"10-0480"</f>
        <v>10-0480</v>
      </c>
      <c r="D3983" s="8">
        <v>40360</v>
      </c>
      <c r="F3983" s="8">
        <v>40360</v>
      </c>
      <c r="G3983" s="8">
        <v>40361</v>
      </c>
      <c r="Y3983" s="8"/>
    </row>
    <row r="3984" spans="1:25" x14ac:dyDescent="0.25">
      <c r="A3984" t="str">
        <f>"10-0481"</f>
        <v>10-0481</v>
      </c>
      <c r="D3984" s="8">
        <v>40360</v>
      </c>
      <c r="F3984" s="8">
        <v>40360</v>
      </c>
      <c r="G3984" s="8">
        <v>40360</v>
      </c>
      <c r="Y3984" s="8"/>
    </row>
    <row r="3985" spans="1:25" x14ac:dyDescent="0.25">
      <c r="A3985" t="str">
        <f>"10-0482"</f>
        <v>10-0482</v>
      </c>
      <c r="D3985" s="8">
        <v>40360</v>
      </c>
      <c r="F3985" s="8">
        <v>40428</v>
      </c>
      <c r="G3985" s="8">
        <v>40361</v>
      </c>
      <c r="Y3985" s="8"/>
    </row>
    <row r="3986" spans="1:25" x14ac:dyDescent="0.25">
      <c r="A3986" t="str">
        <f>"10-0474"</f>
        <v>10-0474</v>
      </c>
      <c r="D3986" s="8">
        <v>40359</v>
      </c>
      <c r="F3986" s="8">
        <v>40624</v>
      </c>
      <c r="G3986" s="8">
        <v>40360</v>
      </c>
      <c r="Y3986" s="8"/>
    </row>
    <row r="3987" spans="1:25" x14ac:dyDescent="0.25">
      <c r="A3987" t="str">
        <f>"10-0475"</f>
        <v>10-0475</v>
      </c>
      <c r="D3987" s="8">
        <v>40359</v>
      </c>
      <c r="F3987" s="8">
        <v>40359</v>
      </c>
      <c r="G3987" s="8">
        <v>40360</v>
      </c>
      <c r="Y3987" s="8"/>
    </row>
    <row r="3988" spans="1:25" x14ac:dyDescent="0.25">
      <c r="A3988" t="str">
        <f>"10-0476"</f>
        <v>10-0476</v>
      </c>
      <c r="D3988" s="8">
        <v>40359</v>
      </c>
      <c r="F3988" s="8">
        <v>40359</v>
      </c>
      <c r="G3988" s="8">
        <v>40359</v>
      </c>
      <c r="Y3988" s="8"/>
    </row>
    <row r="3989" spans="1:25" x14ac:dyDescent="0.25">
      <c r="A3989" t="str">
        <f>"10-0487"</f>
        <v>10-0487</v>
      </c>
      <c r="D3989" s="8">
        <v>40359</v>
      </c>
      <c r="F3989" s="8">
        <v>40364</v>
      </c>
      <c r="G3989" s="8">
        <v>40359</v>
      </c>
      <c r="Y3989" s="8"/>
    </row>
    <row r="3990" spans="1:25" x14ac:dyDescent="0.25">
      <c r="A3990" t="str">
        <f>"10-0470"</f>
        <v>10-0470</v>
      </c>
      <c r="D3990" s="8">
        <v>40358</v>
      </c>
      <c r="F3990" s="8">
        <v>40359</v>
      </c>
      <c r="G3990" s="8">
        <v>40358</v>
      </c>
      <c r="Y3990" s="8"/>
    </row>
    <row r="3991" spans="1:25" x14ac:dyDescent="0.25">
      <c r="A3991" t="str">
        <f>"10-0471"</f>
        <v>10-0471</v>
      </c>
      <c r="D3991" s="8">
        <v>40358</v>
      </c>
      <c r="F3991" s="8">
        <v>40359</v>
      </c>
      <c r="G3991" s="8">
        <v>40358</v>
      </c>
      <c r="Y3991" s="8"/>
    </row>
    <row r="3992" spans="1:25" x14ac:dyDescent="0.25">
      <c r="A3992" t="str">
        <f>"10-0472"</f>
        <v>10-0472</v>
      </c>
      <c r="D3992" s="8">
        <v>40358</v>
      </c>
      <c r="F3992" s="8">
        <v>40358</v>
      </c>
      <c r="G3992" s="8">
        <v>40358</v>
      </c>
      <c r="Y3992" s="8"/>
    </row>
    <row r="3993" spans="1:25" x14ac:dyDescent="0.25">
      <c r="A3993" t="str">
        <f>"10-0473"</f>
        <v>10-0473</v>
      </c>
      <c r="D3993" s="8">
        <v>40358</v>
      </c>
      <c r="F3993" s="8">
        <v>40358</v>
      </c>
      <c r="G3993" s="8">
        <v>40358</v>
      </c>
      <c r="Y3993" s="8"/>
    </row>
    <row r="3994" spans="1:25" x14ac:dyDescent="0.25">
      <c r="A3994" t="str">
        <f>"10-0464B"</f>
        <v>10-0464B</v>
      </c>
      <c r="D3994" s="8">
        <v>40357</v>
      </c>
      <c r="F3994" s="8">
        <v>40393</v>
      </c>
      <c r="G3994" s="8">
        <v>40357</v>
      </c>
      <c r="Y3994" s="8"/>
    </row>
    <row r="3995" spans="1:25" x14ac:dyDescent="0.25">
      <c r="A3995" t="str">
        <f>"10-0466"</f>
        <v>10-0466</v>
      </c>
      <c r="D3995" s="8">
        <v>40357</v>
      </c>
      <c r="F3995" s="8">
        <v>40505</v>
      </c>
      <c r="G3995" s="8">
        <v>40357</v>
      </c>
      <c r="Y3995" s="8"/>
    </row>
    <row r="3996" spans="1:25" x14ac:dyDescent="0.25">
      <c r="A3996" t="str">
        <f>"10-0467"</f>
        <v>10-0467</v>
      </c>
      <c r="D3996" s="8">
        <v>40357</v>
      </c>
      <c r="F3996" s="8">
        <v>40357</v>
      </c>
      <c r="G3996" s="8">
        <v>40357</v>
      </c>
      <c r="Y3996" s="8"/>
    </row>
    <row r="3997" spans="1:25" x14ac:dyDescent="0.25">
      <c r="A3997" t="str">
        <f>"10-0468"</f>
        <v>10-0468</v>
      </c>
      <c r="D3997" s="8">
        <v>40357</v>
      </c>
      <c r="F3997" s="8">
        <v>40357</v>
      </c>
      <c r="G3997" s="8">
        <v>40357</v>
      </c>
      <c r="Y3997" s="8"/>
    </row>
    <row r="3998" spans="1:25" x14ac:dyDescent="0.25">
      <c r="A3998" t="str">
        <f>"10-0469"</f>
        <v>10-0469</v>
      </c>
      <c r="D3998" s="8">
        <v>40357</v>
      </c>
      <c r="F3998" s="8">
        <v>41368</v>
      </c>
      <c r="G3998" s="8">
        <v>40359</v>
      </c>
      <c r="Y3998" s="8"/>
    </row>
    <row r="3999" spans="1:25" x14ac:dyDescent="0.25">
      <c r="A3999" t="str">
        <f>"10-0463"</f>
        <v>10-0463</v>
      </c>
      <c r="D3999" s="8">
        <v>40354</v>
      </c>
      <c r="F3999" s="8">
        <v>40359</v>
      </c>
      <c r="G3999" s="8">
        <v>40364</v>
      </c>
      <c r="Y3999" s="8"/>
    </row>
    <row r="4000" spans="1:25" x14ac:dyDescent="0.25">
      <c r="A4000" t="str">
        <f>"10-0464"</f>
        <v>10-0464</v>
      </c>
      <c r="D4000" s="8">
        <v>40354</v>
      </c>
      <c r="F4000" s="8">
        <v>40354</v>
      </c>
      <c r="G4000" s="8">
        <v>40354</v>
      </c>
      <c r="Y4000" s="8"/>
    </row>
    <row r="4001" spans="1:25" x14ac:dyDescent="0.25">
      <c r="A4001" t="str">
        <f>"10-0465"</f>
        <v>10-0465</v>
      </c>
      <c r="D4001" s="8">
        <v>40354</v>
      </c>
      <c r="F4001" s="8">
        <v>40354</v>
      </c>
      <c r="G4001" s="8">
        <v>40357</v>
      </c>
      <c r="Y4001" s="8"/>
    </row>
    <row r="4002" spans="1:25" x14ac:dyDescent="0.25">
      <c r="A4002" t="str">
        <f>"10-0458"</f>
        <v>10-0458</v>
      </c>
      <c r="D4002" s="8">
        <v>40353</v>
      </c>
      <c r="F4002" s="8">
        <v>40353</v>
      </c>
      <c r="G4002" s="8">
        <v>40353</v>
      </c>
      <c r="Y4002" s="8"/>
    </row>
    <row r="4003" spans="1:25" x14ac:dyDescent="0.25">
      <c r="A4003" t="str">
        <f>"10-0459"</f>
        <v>10-0459</v>
      </c>
      <c r="D4003" s="8">
        <v>40353</v>
      </c>
      <c r="F4003" s="8">
        <v>40354</v>
      </c>
      <c r="G4003" s="8">
        <v>40347</v>
      </c>
      <c r="Y4003" s="8"/>
    </row>
    <row r="4004" spans="1:25" x14ac:dyDescent="0.25">
      <c r="A4004" t="str">
        <f>"10-0460"</f>
        <v>10-0460</v>
      </c>
      <c r="D4004" s="8">
        <v>40353</v>
      </c>
      <c r="F4004" s="8">
        <v>40354</v>
      </c>
      <c r="G4004" s="8">
        <v>40347</v>
      </c>
      <c r="Y4004" s="8"/>
    </row>
    <row r="4005" spans="1:25" x14ac:dyDescent="0.25">
      <c r="A4005" t="str">
        <f>"10-0461"</f>
        <v>10-0461</v>
      </c>
      <c r="D4005" s="8">
        <v>40353</v>
      </c>
      <c r="F4005" s="8">
        <v>40354</v>
      </c>
      <c r="G4005" s="8">
        <v>40354</v>
      </c>
      <c r="Y4005" s="8"/>
    </row>
    <row r="4006" spans="1:25" x14ac:dyDescent="0.25">
      <c r="A4006" t="str">
        <f>"10-0462"</f>
        <v>10-0462</v>
      </c>
      <c r="D4006" s="8">
        <v>40353</v>
      </c>
      <c r="F4006" s="8">
        <v>40358</v>
      </c>
      <c r="G4006" s="8">
        <v>40354</v>
      </c>
      <c r="Y4006" s="8"/>
    </row>
    <row r="4007" spans="1:25" x14ac:dyDescent="0.25">
      <c r="A4007" t="str">
        <f>"10-0219B"</f>
        <v>10-0219B</v>
      </c>
      <c r="D4007" s="8">
        <v>40352</v>
      </c>
      <c r="F4007" s="8">
        <v>40352</v>
      </c>
      <c r="G4007" s="8">
        <v>40347</v>
      </c>
      <c r="Y4007" s="8"/>
    </row>
    <row r="4008" spans="1:25" x14ac:dyDescent="0.25">
      <c r="A4008" t="str">
        <f>"10-0455"</f>
        <v>10-0455</v>
      </c>
      <c r="D4008" s="8">
        <v>40352</v>
      </c>
      <c r="F4008" s="8">
        <v>40352</v>
      </c>
      <c r="G4008" s="8">
        <v>40352</v>
      </c>
      <c r="Y4008" s="8"/>
    </row>
    <row r="4009" spans="1:25" x14ac:dyDescent="0.25">
      <c r="A4009" t="str">
        <f>"10-0456"</f>
        <v>10-0456</v>
      </c>
      <c r="D4009" s="8">
        <v>40352</v>
      </c>
      <c r="F4009" s="8">
        <v>40352</v>
      </c>
      <c r="G4009" s="8">
        <v>40353</v>
      </c>
      <c r="Y4009" s="8"/>
    </row>
    <row r="4010" spans="1:25" x14ac:dyDescent="0.25">
      <c r="A4010" t="str">
        <f>"10-0457"</f>
        <v>10-0457</v>
      </c>
      <c r="D4010" s="8">
        <v>40352</v>
      </c>
      <c r="F4010" s="8">
        <v>40352</v>
      </c>
      <c r="G4010" s="8">
        <v>40352</v>
      </c>
      <c r="Y4010" s="8"/>
    </row>
    <row r="4011" spans="1:25" x14ac:dyDescent="0.25">
      <c r="A4011" t="str">
        <f>"10-0453"</f>
        <v>10-0453</v>
      </c>
      <c r="D4011" s="8">
        <v>40351</v>
      </c>
      <c r="G4011" s="8">
        <v>40353</v>
      </c>
      <c r="Y4011" s="8"/>
    </row>
    <row r="4012" spans="1:25" x14ac:dyDescent="0.25">
      <c r="A4012" t="str">
        <f>"10-0451"</f>
        <v>10-0451</v>
      </c>
      <c r="D4012" s="8">
        <v>40350</v>
      </c>
      <c r="F4012" s="8">
        <v>40350</v>
      </c>
      <c r="G4012" s="8">
        <v>40350</v>
      </c>
      <c r="Y4012" s="8"/>
    </row>
    <row r="4013" spans="1:25" x14ac:dyDescent="0.25">
      <c r="A4013" t="str">
        <f>"10-0452"</f>
        <v>10-0452</v>
      </c>
      <c r="D4013" s="8">
        <v>40350</v>
      </c>
      <c r="F4013" s="8">
        <v>40350</v>
      </c>
      <c r="G4013" s="8">
        <v>40350</v>
      </c>
      <c r="Y4013" s="8"/>
    </row>
    <row r="4014" spans="1:25" x14ac:dyDescent="0.25">
      <c r="A4014" t="str">
        <f>"10-0449"</f>
        <v>10-0449</v>
      </c>
      <c r="D4014" s="8">
        <v>40347</v>
      </c>
      <c r="F4014" s="8">
        <v>40347</v>
      </c>
      <c r="G4014" s="8">
        <v>40347</v>
      </c>
      <c r="Y4014" s="8"/>
    </row>
    <row r="4015" spans="1:25" x14ac:dyDescent="0.25">
      <c r="A4015" t="str">
        <f>"10-0450"</f>
        <v>10-0450</v>
      </c>
      <c r="D4015" s="8">
        <v>40347</v>
      </c>
      <c r="F4015" s="8">
        <v>40347</v>
      </c>
      <c r="G4015" s="8">
        <v>40350</v>
      </c>
      <c r="Y4015" s="8"/>
    </row>
    <row r="4016" spans="1:25" x14ac:dyDescent="0.25">
      <c r="A4016" t="str">
        <f>"10-0444"</f>
        <v>10-0444</v>
      </c>
      <c r="D4016" s="8">
        <v>40346</v>
      </c>
      <c r="F4016" s="8">
        <v>40347</v>
      </c>
      <c r="G4016" s="8">
        <v>40346</v>
      </c>
      <c r="Y4016" s="8"/>
    </row>
    <row r="4017" spans="1:25" x14ac:dyDescent="0.25">
      <c r="A4017" t="str">
        <f>"10-0445"</f>
        <v>10-0445</v>
      </c>
      <c r="D4017" s="8">
        <v>40346</v>
      </c>
      <c r="F4017" s="8">
        <v>40347</v>
      </c>
      <c r="G4017" s="8">
        <v>40350</v>
      </c>
      <c r="Y4017" s="8"/>
    </row>
    <row r="4018" spans="1:25" x14ac:dyDescent="0.25">
      <c r="A4018" t="str">
        <f>"10-0446"</f>
        <v>10-0446</v>
      </c>
      <c r="D4018" s="8">
        <v>40346</v>
      </c>
      <c r="F4018" s="8">
        <v>40350</v>
      </c>
      <c r="G4018" s="8">
        <v>40347</v>
      </c>
      <c r="Y4018" s="8"/>
    </row>
    <row r="4019" spans="1:25" x14ac:dyDescent="0.25">
      <c r="A4019" t="str">
        <f>"10-0447"</f>
        <v>10-0447</v>
      </c>
      <c r="D4019" s="8">
        <v>40346</v>
      </c>
      <c r="F4019" s="8">
        <v>40350</v>
      </c>
      <c r="G4019" s="8">
        <v>40350</v>
      </c>
      <c r="Y4019" s="8"/>
    </row>
    <row r="4020" spans="1:25" x14ac:dyDescent="0.25">
      <c r="A4020" t="str">
        <f>"10-0448"</f>
        <v>10-0448</v>
      </c>
      <c r="D4020" s="8">
        <v>40346</v>
      </c>
      <c r="F4020" s="8">
        <v>40352</v>
      </c>
      <c r="G4020" s="8">
        <v>40346</v>
      </c>
      <c r="Y4020" s="8"/>
    </row>
    <row r="4021" spans="1:25" x14ac:dyDescent="0.25">
      <c r="A4021" t="str">
        <f>"10-0421B"</f>
        <v>10-0421B</v>
      </c>
      <c r="D4021" s="8">
        <v>40345</v>
      </c>
      <c r="F4021" s="8">
        <v>40345</v>
      </c>
      <c r="G4021" s="8">
        <v>40345</v>
      </c>
      <c r="Y4021" s="8"/>
    </row>
    <row r="4022" spans="1:25" x14ac:dyDescent="0.25">
      <c r="A4022" t="str">
        <f>"10-0436B"</f>
        <v>10-0436B</v>
      </c>
      <c r="D4022" s="8">
        <v>40345</v>
      </c>
      <c r="F4022" s="8">
        <v>40345</v>
      </c>
      <c r="G4022" s="8">
        <v>40345</v>
      </c>
      <c r="Y4022" s="8"/>
    </row>
    <row r="4023" spans="1:25" x14ac:dyDescent="0.25">
      <c r="A4023" t="str">
        <f>"10-0440"</f>
        <v>10-0440</v>
      </c>
      <c r="D4023" s="8">
        <v>40345</v>
      </c>
      <c r="F4023" s="8">
        <v>40345</v>
      </c>
      <c r="G4023" s="8">
        <v>40345</v>
      </c>
      <c r="Y4023" s="8"/>
    </row>
    <row r="4024" spans="1:25" x14ac:dyDescent="0.25">
      <c r="A4024" t="str">
        <f>"10-0441"</f>
        <v>10-0441</v>
      </c>
      <c r="D4024" s="8">
        <v>40345</v>
      </c>
      <c r="F4024" s="8">
        <v>40351</v>
      </c>
      <c r="G4024" s="8">
        <v>40350</v>
      </c>
      <c r="Y4024" s="8"/>
    </row>
    <row r="4025" spans="1:25" x14ac:dyDescent="0.25">
      <c r="A4025" t="str">
        <f>"10-0442"</f>
        <v>10-0442</v>
      </c>
      <c r="D4025" s="8">
        <v>40345</v>
      </c>
      <c r="F4025" s="8">
        <v>40345</v>
      </c>
      <c r="G4025" s="8">
        <v>40338</v>
      </c>
      <c r="Y4025" s="8"/>
    </row>
    <row r="4026" spans="1:25" x14ac:dyDescent="0.25">
      <c r="A4026" t="str">
        <f>"10-0443"</f>
        <v>10-0443</v>
      </c>
      <c r="D4026" s="8">
        <v>40345</v>
      </c>
      <c r="F4026" s="8">
        <v>40345</v>
      </c>
      <c r="G4026" s="8">
        <v>40345</v>
      </c>
      <c r="Y4026" s="8"/>
    </row>
    <row r="4027" spans="1:25" x14ac:dyDescent="0.25">
      <c r="A4027" t="str">
        <f>"09-0902B"</f>
        <v>09-0902B</v>
      </c>
      <c r="D4027" s="8">
        <v>40344</v>
      </c>
      <c r="F4027" s="8">
        <v>40442</v>
      </c>
      <c r="G4027" s="8">
        <v>40344</v>
      </c>
      <c r="Y4027" s="8"/>
    </row>
    <row r="4028" spans="1:25" x14ac:dyDescent="0.25">
      <c r="A4028" t="str">
        <f>"10-0437"</f>
        <v>10-0437</v>
      </c>
      <c r="D4028" s="8">
        <v>40344</v>
      </c>
      <c r="F4028" s="8">
        <v>40344</v>
      </c>
      <c r="G4028" s="8">
        <v>40344</v>
      </c>
      <c r="Y4028" s="8"/>
    </row>
    <row r="4029" spans="1:25" x14ac:dyDescent="0.25">
      <c r="A4029" t="str">
        <f>"10-0438"</f>
        <v>10-0438</v>
      </c>
      <c r="D4029" s="8">
        <v>40344</v>
      </c>
      <c r="F4029" s="8">
        <v>40359</v>
      </c>
      <c r="G4029" s="8">
        <v>40344</v>
      </c>
      <c r="Y4029" s="8"/>
    </row>
    <row r="4030" spans="1:25" x14ac:dyDescent="0.25">
      <c r="A4030" t="str">
        <f>"10-0439"</f>
        <v>10-0439</v>
      </c>
      <c r="D4030" s="8">
        <v>40344</v>
      </c>
      <c r="F4030" s="8">
        <v>40344</v>
      </c>
      <c r="G4030" s="8">
        <v>40344</v>
      </c>
      <c r="Y4030" s="8"/>
    </row>
    <row r="4031" spans="1:25" x14ac:dyDescent="0.25">
      <c r="A4031" t="str">
        <f>"10-0434"</f>
        <v>10-0434</v>
      </c>
      <c r="D4031" s="8">
        <v>40343</v>
      </c>
      <c r="F4031" s="8">
        <v>40763</v>
      </c>
      <c r="G4031" s="8">
        <v>40343</v>
      </c>
      <c r="Y4031" s="8"/>
    </row>
    <row r="4032" spans="1:25" x14ac:dyDescent="0.25">
      <c r="A4032" t="str">
        <f>"10-0435"</f>
        <v>10-0435</v>
      </c>
      <c r="D4032" s="8">
        <v>40343</v>
      </c>
      <c r="F4032" s="8">
        <v>40343</v>
      </c>
      <c r="G4032" s="8">
        <v>40343</v>
      </c>
      <c r="Y4032" s="8"/>
    </row>
    <row r="4033" spans="1:25" x14ac:dyDescent="0.25">
      <c r="A4033" t="str">
        <f>"10-0436"</f>
        <v>10-0436</v>
      </c>
      <c r="D4033" s="8">
        <v>40343</v>
      </c>
      <c r="F4033" s="8">
        <v>40345</v>
      </c>
      <c r="G4033" s="8">
        <v>40346</v>
      </c>
      <c r="Y4033" s="8"/>
    </row>
    <row r="4034" spans="1:25" x14ac:dyDescent="0.25">
      <c r="A4034" t="str">
        <f>"10-0432"</f>
        <v>10-0432</v>
      </c>
      <c r="D4034" s="8">
        <v>40340</v>
      </c>
      <c r="F4034" s="8">
        <v>40340</v>
      </c>
      <c r="G4034" s="8">
        <v>40340</v>
      </c>
      <c r="Y4034" s="8"/>
    </row>
    <row r="4035" spans="1:25" x14ac:dyDescent="0.25">
      <c r="A4035" t="str">
        <f>"10-0431"</f>
        <v>10-0431</v>
      </c>
      <c r="D4035" s="8">
        <v>40339</v>
      </c>
      <c r="F4035" s="8">
        <v>40340</v>
      </c>
      <c r="G4035" s="8">
        <v>40340</v>
      </c>
      <c r="Y4035" s="8"/>
    </row>
    <row r="4036" spans="1:25" x14ac:dyDescent="0.25">
      <c r="A4036" t="str">
        <f>"09-0206C"</f>
        <v>09-0206C</v>
      </c>
      <c r="D4036" s="8">
        <v>40338</v>
      </c>
      <c r="F4036" s="8">
        <v>40338</v>
      </c>
      <c r="G4036" s="8">
        <v>40338</v>
      </c>
      <c r="Y4036" s="8"/>
    </row>
    <row r="4037" spans="1:25" x14ac:dyDescent="0.25">
      <c r="A4037" t="str">
        <f>"10-0395B"</f>
        <v>10-0395B</v>
      </c>
      <c r="D4037" s="8">
        <v>40338</v>
      </c>
      <c r="F4037" s="8">
        <v>40338</v>
      </c>
      <c r="G4037" s="8">
        <v>40326</v>
      </c>
      <c r="Y4037" s="8"/>
    </row>
    <row r="4038" spans="1:25" x14ac:dyDescent="0.25">
      <c r="A4038" t="str">
        <f>"10-0395C"</f>
        <v>10-0395C</v>
      </c>
      <c r="D4038" s="8">
        <v>40338</v>
      </c>
      <c r="F4038" s="8">
        <v>40338</v>
      </c>
      <c r="G4038" s="8">
        <v>40338</v>
      </c>
      <c r="Y4038" s="8"/>
    </row>
    <row r="4039" spans="1:25" x14ac:dyDescent="0.25">
      <c r="A4039" t="str">
        <f>"10-0427"</f>
        <v>10-0427</v>
      </c>
      <c r="D4039" s="8">
        <v>40338</v>
      </c>
      <c r="F4039" s="8">
        <v>40338</v>
      </c>
      <c r="G4039" s="8">
        <v>40339</v>
      </c>
      <c r="Y4039" s="8"/>
    </row>
    <row r="4040" spans="1:25" x14ac:dyDescent="0.25">
      <c r="A4040" t="str">
        <f>"10-0428"</f>
        <v>10-0428</v>
      </c>
      <c r="D4040" s="8">
        <v>40338</v>
      </c>
      <c r="G4040" s="8">
        <v>40343</v>
      </c>
      <c r="Y4040" s="8"/>
    </row>
    <row r="4041" spans="1:25" x14ac:dyDescent="0.25">
      <c r="A4041" t="str">
        <f>"10-0429"</f>
        <v>10-0429</v>
      </c>
      <c r="D4041" s="8">
        <v>40338</v>
      </c>
      <c r="F4041" s="8">
        <v>40338</v>
      </c>
      <c r="G4041" s="8">
        <v>40338</v>
      </c>
      <c r="Y4041" s="8"/>
    </row>
    <row r="4042" spans="1:25" x14ac:dyDescent="0.25">
      <c r="A4042" t="str">
        <f>"10-0430"</f>
        <v>10-0430</v>
      </c>
      <c r="D4042" s="8">
        <v>40338</v>
      </c>
      <c r="F4042" s="8">
        <v>40338</v>
      </c>
      <c r="G4042" s="8">
        <v>40338</v>
      </c>
      <c r="Y4042" s="8"/>
    </row>
    <row r="4043" spans="1:25" x14ac:dyDescent="0.25">
      <c r="A4043" t="str">
        <f>"10-0426"</f>
        <v>10-0426</v>
      </c>
      <c r="D4043" s="8">
        <v>40337</v>
      </c>
      <c r="F4043" s="8">
        <v>40337</v>
      </c>
      <c r="G4043" s="8">
        <v>40336</v>
      </c>
      <c r="Y4043" s="8"/>
    </row>
    <row r="4044" spans="1:25" x14ac:dyDescent="0.25">
      <c r="A4044" t="str">
        <f>"10-0422"</f>
        <v>10-0422</v>
      </c>
      <c r="D4044" s="8">
        <v>40336</v>
      </c>
      <c r="F4044" s="8">
        <v>40336</v>
      </c>
      <c r="G4044" s="8">
        <v>40336</v>
      </c>
      <c r="Y4044" s="8"/>
    </row>
    <row r="4045" spans="1:25" x14ac:dyDescent="0.25">
      <c r="A4045" t="str">
        <f>"10-0425"</f>
        <v>10-0425</v>
      </c>
      <c r="D4045" s="8">
        <v>40336</v>
      </c>
      <c r="F4045" s="8">
        <v>40338</v>
      </c>
      <c r="G4045" s="8">
        <v>40338</v>
      </c>
      <c r="Y4045" s="8"/>
    </row>
    <row r="4046" spans="1:25" x14ac:dyDescent="0.25">
      <c r="A4046" t="str">
        <f>"10-0272C"</f>
        <v>10-0272C</v>
      </c>
      <c r="D4046" s="8">
        <v>40333</v>
      </c>
      <c r="F4046" s="8">
        <v>40333</v>
      </c>
      <c r="G4046" s="8">
        <v>40333</v>
      </c>
      <c r="Y4046" s="8"/>
    </row>
    <row r="4047" spans="1:25" x14ac:dyDescent="0.25">
      <c r="A4047" t="str">
        <f>"10-0272D"</f>
        <v>10-0272D</v>
      </c>
      <c r="D4047" s="8">
        <v>40333</v>
      </c>
      <c r="F4047" s="8">
        <v>40361</v>
      </c>
      <c r="G4047" s="8">
        <v>40333</v>
      </c>
      <c r="Y4047" s="8"/>
    </row>
    <row r="4048" spans="1:25" x14ac:dyDescent="0.25">
      <c r="A4048" t="str">
        <f>"10-0418"</f>
        <v>10-0418</v>
      </c>
      <c r="D4048" s="8">
        <v>40333</v>
      </c>
      <c r="F4048" s="8">
        <v>40337</v>
      </c>
      <c r="G4048" s="8">
        <v>40336</v>
      </c>
      <c r="Y4048" s="8"/>
    </row>
    <row r="4049" spans="1:25" x14ac:dyDescent="0.25">
      <c r="A4049" t="str">
        <f>"10-0419"</f>
        <v>10-0419</v>
      </c>
      <c r="D4049" s="8">
        <v>40333</v>
      </c>
      <c r="F4049" s="8">
        <v>41779</v>
      </c>
      <c r="G4049" s="8">
        <v>40333</v>
      </c>
      <c r="Y4049" s="8"/>
    </row>
    <row r="4050" spans="1:25" x14ac:dyDescent="0.25">
      <c r="A4050" t="str">
        <f>"10-0420"</f>
        <v>10-0420</v>
      </c>
      <c r="D4050" s="8">
        <v>40333</v>
      </c>
      <c r="F4050" s="8">
        <v>40333</v>
      </c>
      <c r="G4050" s="8">
        <v>40333</v>
      </c>
      <c r="Y4050" s="8"/>
    </row>
    <row r="4051" spans="1:25" x14ac:dyDescent="0.25">
      <c r="A4051" t="str">
        <f>"10-0421"</f>
        <v>10-0421</v>
      </c>
      <c r="D4051" s="8">
        <v>40333</v>
      </c>
      <c r="F4051" s="8">
        <v>40345</v>
      </c>
      <c r="G4051" s="8">
        <v>40337</v>
      </c>
      <c r="Y4051" s="8"/>
    </row>
    <row r="4052" spans="1:25" x14ac:dyDescent="0.25">
      <c r="A4052" t="str">
        <f>"09-0206B"</f>
        <v>09-0206B</v>
      </c>
      <c r="D4052" s="8">
        <v>40332</v>
      </c>
      <c r="F4052" s="8">
        <v>40332</v>
      </c>
      <c r="G4052" s="8">
        <v>40332</v>
      </c>
      <c r="Y4052" s="8"/>
    </row>
    <row r="4053" spans="1:25" x14ac:dyDescent="0.25">
      <c r="A4053" t="str">
        <f>"10-0414"</f>
        <v>10-0414</v>
      </c>
      <c r="D4053" s="8">
        <v>40332</v>
      </c>
      <c r="F4053" s="8">
        <v>40339</v>
      </c>
      <c r="G4053" s="8">
        <v>40332</v>
      </c>
      <c r="Y4053" s="8"/>
    </row>
    <row r="4054" spans="1:25" x14ac:dyDescent="0.25">
      <c r="A4054" t="str">
        <f>"10-0415"</f>
        <v>10-0415</v>
      </c>
      <c r="D4054" s="8">
        <v>40332</v>
      </c>
      <c r="F4054" s="8">
        <v>40337</v>
      </c>
      <c r="G4054" s="8">
        <v>40333</v>
      </c>
      <c r="Y4054" s="8"/>
    </row>
    <row r="4055" spans="1:25" x14ac:dyDescent="0.25">
      <c r="A4055" t="str">
        <f>"10-0417"</f>
        <v>10-0417</v>
      </c>
      <c r="D4055" s="8">
        <v>40332</v>
      </c>
      <c r="F4055" s="8">
        <v>40337</v>
      </c>
      <c r="G4055" s="8">
        <v>40336</v>
      </c>
      <c r="Y4055" s="8"/>
    </row>
    <row r="4056" spans="1:25" x14ac:dyDescent="0.25">
      <c r="A4056" t="str">
        <f>"10-0412"</f>
        <v>10-0412</v>
      </c>
      <c r="D4056" s="8">
        <v>40331</v>
      </c>
      <c r="F4056" s="8">
        <v>40331</v>
      </c>
      <c r="G4056" s="8">
        <v>40330</v>
      </c>
      <c r="Y4056" s="8"/>
    </row>
    <row r="4057" spans="1:25" x14ac:dyDescent="0.25">
      <c r="A4057" t="str">
        <f>"10-0413"</f>
        <v>10-0413</v>
      </c>
      <c r="D4057" s="8">
        <v>40331</v>
      </c>
      <c r="F4057" s="8">
        <v>40332</v>
      </c>
      <c r="G4057" s="8">
        <v>40331</v>
      </c>
      <c r="Y4057" s="8"/>
    </row>
    <row r="4058" spans="1:25" x14ac:dyDescent="0.25">
      <c r="A4058" t="str">
        <f>"10-0407"</f>
        <v>10-0407</v>
      </c>
      <c r="D4058" s="8">
        <v>40330</v>
      </c>
      <c r="F4058" s="8">
        <v>40331</v>
      </c>
      <c r="G4058" s="8">
        <v>40332</v>
      </c>
      <c r="Y4058" s="8"/>
    </row>
    <row r="4059" spans="1:25" x14ac:dyDescent="0.25">
      <c r="A4059" t="str">
        <f>"10-0408"</f>
        <v>10-0408</v>
      </c>
      <c r="D4059" s="8">
        <v>40330</v>
      </c>
      <c r="F4059" s="8">
        <v>40330</v>
      </c>
      <c r="G4059" s="8">
        <v>40330</v>
      </c>
      <c r="Y4059" s="8"/>
    </row>
    <row r="4060" spans="1:25" x14ac:dyDescent="0.25">
      <c r="A4060" t="str">
        <f>"10-0409"</f>
        <v>10-0409</v>
      </c>
      <c r="D4060" s="8">
        <v>40330</v>
      </c>
      <c r="F4060" s="8">
        <v>40330</v>
      </c>
      <c r="G4060" s="8">
        <v>40330</v>
      </c>
      <c r="Y4060" s="8"/>
    </row>
    <row r="4061" spans="1:25" x14ac:dyDescent="0.25">
      <c r="A4061" t="str">
        <f>"10-0410"</f>
        <v>10-0410</v>
      </c>
      <c r="D4061" s="8">
        <v>40330</v>
      </c>
      <c r="F4061" s="8">
        <v>40330</v>
      </c>
      <c r="G4061" s="8">
        <v>40330</v>
      </c>
      <c r="Y4061" s="8"/>
    </row>
    <row r="4062" spans="1:25" x14ac:dyDescent="0.25">
      <c r="A4062" t="str">
        <f>"10-0411"</f>
        <v>10-0411</v>
      </c>
      <c r="D4062" s="8">
        <v>40330</v>
      </c>
      <c r="F4062" s="8">
        <v>40330</v>
      </c>
      <c r="G4062" s="8">
        <v>40330</v>
      </c>
      <c r="Y4062" s="8"/>
    </row>
    <row r="4063" spans="1:25" x14ac:dyDescent="0.25">
      <c r="A4063" t="str">
        <f>"10-0404"</f>
        <v>10-0404</v>
      </c>
      <c r="D4063" s="8">
        <v>40326</v>
      </c>
      <c r="F4063" s="8">
        <v>40326</v>
      </c>
      <c r="G4063" s="8">
        <v>40326</v>
      </c>
      <c r="Y4063" s="8"/>
    </row>
    <row r="4064" spans="1:25" x14ac:dyDescent="0.25">
      <c r="A4064" t="str">
        <f>"10-0405"</f>
        <v>10-0405</v>
      </c>
      <c r="D4064" s="8">
        <v>40326</v>
      </c>
      <c r="F4064" s="8">
        <v>40326</v>
      </c>
      <c r="G4064" s="8">
        <v>40326</v>
      </c>
      <c r="Y4064" s="8"/>
    </row>
    <row r="4065" spans="1:25" x14ac:dyDescent="0.25">
      <c r="A4065" t="str">
        <f>"10-0406"</f>
        <v>10-0406</v>
      </c>
      <c r="D4065" s="8">
        <v>40326</v>
      </c>
      <c r="F4065" s="8">
        <v>40326</v>
      </c>
      <c r="G4065" s="8">
        <v>40326</v>
      </c>
      <c r="Y4065" s="8"/>
    </row>
    <row r="4066" spans="1:25" x14ac:dyDescent="0.25">
      <c r="A4066" t="str">
        <f>"10-0403"</f>
        <v>10-0403</v>
      </c>
      <c r="D4066" s="8">
        <v>40325</v>
      </c>
      <c r="F4066" s="8">
        <v>40325</v>
      </c>
      <c r="G4066" s="8">
        <v>40325</v>
      </c>
      <c r="Y4066" s="8"/>
    </row>
    <row r="4067" spans="1:25" x14ac:dyDescent="0.25">
      <c r="A4067" t="str">
        <f>"10-0304B"</f>
        <v>10-0304B</v>
      </c>
      <c r="D4067" s="8">
        <v>40324</v>
      </c>
      <c r="F4067" s="8">
        <v>40324</v>
      </c>
      <c r="G4067" s="8">
        <v>40324</v>
      </c>
      <c r="Y4067" s="8"/>
    </row>
    <row r="4068" spans="1:25" x14ac:dyDescent="0.25">
      <c r="A4068" t="str">
        <f>"10-0400"</f>
        <v>10-0400</v>
      </c>
      <c r="D4068" s="8">
        <v>40324</v>
      </c>
      <c r="F4068" s="8">
        <v>40324</v>
      </c>
      <c r="G4068" s="8">
        <v>40324</v>
      </c>
      <c r="Y4068" s="8"/>
    </row>
    <row r="4069" spans="1:25" x14ac:dyDescent="0.25">
      <c r="A4069" t="str">
        <f>"10-0401"</f>
        <v>10-0401</v>
      </c>
      <c r="D4069" s="8">
        <v>40324</v>
      </c>
      <c r="F4069" s="8">
        <v>40336</v>
      </c>
      <c r="G4069" s="8">
        <v>40324</v>
      </c>
      <c r="Y4069" s="8"/>
    </row>
    <row r="4070" spans="1:25" x14ac:dyDescent="0.25">
      <c r="A4070" t="str">
        <f>"10-0402"</f>
        <v>10-0402</v>
      </c>
      <c r="D4070" s="8">
        <v>40324</v>
      </c>
      <c r="F4070" s="8">
        <v>40350</v>
      </c>
      <c r="G4070" s="8">
        <v>40330</v>
      </c>
      <c r="Y4070" s="8"/>
    </row>
    <row r="4071" spans="1:25" x14ac:dyDescent="0.25">
      <c r="A4071" t="str">
        <f>"10-0392"</f>
        <v>10-0392</v>
      </c>
      <c r="D4071" s="8">
        <v>40323</v>
      </c>
      <c r="F4071" s="8">
        <v>40371</v>
      </c>
      <c r="G4071" s="8">
        <v>40329</v>
      </c>
      <c r="Y4071" s="8"/>
    </row>
    <row r="4072" spans="1:25" x14ac:dyDescent="0.25">
      <c r="A4072" t="str">
        <f>"10-0393"</f>
        <v>10-0393</v>
      </c>
      <c r="D4072" s="8">
        <v>40323</v>
      </c>
      <c r="F4072" s="8">
        <v>40323</v>
      </c>
      <c r="G4072" s="8">
        <v>40329</v>
      </c>
      <c r="Y4072" s="8"/>
    </row>
    <row r="4073" spans="1:25" x14ac:dyDescent="0.25">
      <c r="A4073" t="str">
        <f>"10-0394"</f>
        <v>10-0394</v>
      </c>
      <c r="D4073" s="8">
        <v>40323</v>
      </c>
      <c r="F4073" s="8">
        <v>40925</v>
      </c>
      <c r="G4073" s="8">
        <v>40323</v>
      </c>
      <c r="Y4073" s="8"/>
    </row>
    <row r="4074" spans="1:25" x14ac:dyDescent="0.25">
      <c r="A4074" t="str">
        <f>"10-0395"</f>
        <v>10-0395</v>
      </c>
      <c r="D4074" s="8">
        <v>40323</v>
      </c>
      <c r="F4074" s="8">
        <v>40338</v>
      </c>
      <c r="G4074" s="8">
        <v>40326</v>
      </c>
      <c r="Y4074" s="8"/>
    </row>
    <row r="4075" spans="1:25" x14ac:dyDescent="0.25">
      <c r="A4075" t="str">
        <f>"10-0396"</f>
        <v>10-0396</v>
      </c>
      <c r="D4075" s="8">
        <v>40323</v>
      </c>
      <c r="F4075" s="8">
        <v>40946</v>
      </c>
      <c r="G4075" s="8">
        <v>40331</v>
      </c>
      <c r="Y4075" s="8"/>
    </row>
    <row r="4076" spans="1:25" x14ac:dyDescent="0.25">
      <c r="A4076" t="str">
        <f>"10-0397"</f>
        <v>10-0397</v>
      </c>
      <c r="D4076" s="8">
        <v>40323</v>
      </c>
      <c r="F4076" s="8">
        <v>40323</v>
      </c>
      <c r="G4076" s="8">
        <v>40323</v>
      </c>
      <c r="Y4076" s="8"/>
    </row>
    <row r="4077" spans="1:25" x14ac:dyDescent="0.25">
      <c r="A4077" t="str">
        <f>"10-0398"</f>
        <v>10-0398</v>
      </c>
      <c r="D4077" s="8">
        <v>40323</v>
      </c>
      <c r="F4077" s="8">
        <v>40338</v>
      </c>
      <c r="G4077" s="8">
        <v>40323</v>
      </c>
      <c r="Y4077" s="8"/>
    </row>
    <row r="4078" spans="1:25" x14ac:dyDescent="0.25">
      <c r="A4078" t="str">
        <f>"10-0399"</f>
        <v>10-0399</v>
      </c>
      <c r="D4078" s="8">
        <v>40323</v>
      </c>
      <c r="G4078" s="8">
        <v>40324</v>
      </c>
    </row>
    <row r="4079" spans="1:25" x14ac:dyDescent="0.25">
      <c r="A4079" t="str">
        <f>"10-0388"</f>
        <v>10-0388</v>
      </c>
      <c r="D4079" s="8">
        <v>40319</v>
      </c>
      <c r="F4079" s="8">
        <v>40319</v>
      </c>
      <c r="G4079" s="8">
        <v>40319</v>
      </c>
      <c r="Y4079" s="8"/>
    </row>
    <row r="4080" spans="1:25" x14ac:dyDescent="0.25">
      <c r="A4080" t="str">
        <f>"10-0389"</f>
        <v>10-0389</v>
      </c>
      <c r="D4080" s="8">
        <v>40319</v>
      </c>
      <c r="F4080" s="8">
        <v>40319</v>
      </c>
      <c r="G4080" s="8">
        <v>40330</v>
      </c>
      <c r="Y4080" s="8"/>
    </row>
    <row r="4081" spans="1:25" x14ac:dyDescent="0.25">
      <c r="A4081" t="str">
        <f>"10-0390"</f>
        <v>10-0390</v>
      </c>
      <c r="D4081" s="8">
        <v>40319</v>
      </c>
      <c r="F4081" s="8">
        <v>40319</v>
      </c>
      <c r="G4081" s="8">
        <v>40319</v>
      </c>
      <c r="Y4081" s="8"/>
    </row>
    <row r="4082" spans="1:25" x14ac:dyDescent="0.25">
      <c r="A4082" t="str">
        <f>"10-0391"</f>
        <v>10-0391</v>
      </c>
      <c r="D4082" s="8">
        <v>40319</v>
      </c>
      <c r="F4082" s="8">
        <v>40326</v>
      </c>
      <c r="G4082" s="8">
        <v>40319</v>
      </c>
      <c r="Y4082" s="8"/>
    </row>
    <row r="4083" spans="1:25" x14ac:dyDescent="0.25">
      <c r="A4083" t="str">
        <f>"10-0386"</f>
        <v>10-0386</v>
      </c>
      <c r="D4083" s="8">
        <v>40318</v>
      </c>
      <c r="F4083" s="8">
        <v>40318</v>
      </c>
      <c r="G4083" s="8">
        <v>40318</v>
      </c>
      <c r="Y4083" s="8"/>
    </row>
    <row r="4084" spans="1:25" x14ac:dyDescent="0.25">
      <c r="A4084" t="str">
        <f>"10-0387"</f>
        <v>10-0387</v>
      </c>
      <c r="D4084" s="8">
        <v>40318</v>
      </c>
      <c r="F4084" s="8">
        <v>40318</v>
      </c>
      <c r="G4084" s="8">
        <v>40318</v>
      </c>
      <c r="Y4084" s="8"/>
    </row>
    <row r="4085" spans="1:25" x14ac:dyDescent="0.25">
      <c r="A4085" t="str">
        <f>"10-0385"</f>
        <v>10-0385</v>
      </c>
      <c r="D4085" s="8">
        <v>40317</v>
      </c>
      <c r="F4085" s="8">
        <v>40324</v>
      </c>
      <c r="G4085" s="8">
        <v>40317</v>
      </c>
      <c r="Y4085" s="8"/>
    </row>
    <row r="4086" spans="1:25" x14ac:dyDescent="0.25">
      <c r="A4086" t="str">
        <f>"10-0376"</f>
        <v>10-0376</v>
      </c>
      <c r="D4086" s="8">
        <v>40316</v>
      </c>
      <c r="F4086" s="8">
        <v>40862</v>
      </c>
      <c r="G4086" s="8">
        <v>40316</v>
      </c>
      <c r="Y4086" s="8"/>
    </row>
    <row r="4087" spans="1:25" x14ac:dyDescent="0.25">
      <c r="A4087" t="str">
        <f>"10-0377"</f>
        <v>10-0377</v>
      </c>
      <c r="D4087" s="8">
        <v>40316</v>
      </c>
      <c r="F4087" s="8">
        <v>40336</v>
      </c>
      <c r="G4087" s="8">
        <v>40316</v>
      </c>
      <c r="Y4087" s="8"/>
    </row>
    <row r="4088" spans="1:25" x14ac:dyDescent="0.25">
      <c r="A4088" t="str">
        <f>"10-0378"</f>
        <v>10-0378</v>
      </c>
      <c r="D4088" s="8">
        <v>40316</v>
      </c>
      <c r="F4088" s="8">
        <v>40316</v>
      </c>
      <c r="G4088" s="8">
        <v>40316</v>
      </c>
      <c r="Y4088" s="8"/>
    </row>
    <row r="4089" spans="1:25" x14ac:dyDescent="0.25">
      <c r="A4089" t="str">
        <f>"10-0379"</f>
        <v>10-0379</v>
      </c>
      <c r="D4089" s="8">
        <v>40316</v>
      </c>
      <c r="F4089" s="8">
        <v>40316</v>
      </c>
      <c r="G4089" s="8">
        <v>40316</v>
      </c>
      <c r="Y4089" s="8"/>
    </row>
    <row r="4090" spans="1:25" x14ac:dyDescent="0.25">
      <c r="A4090" t="str">
        <f>"10-0380"</f>
        <v>10-0380</v>
      </c>
      <c r="D4090" s="8">
        <v>40316</v>
      </c>
      <c r="F4090" s="8">
        <v>40316</v>
      </c>
      <c r="G4090" s="8">
        <v>40316</v>
      </c>
      <c r="Y4090" s="8"/>
    </row>
    <row r="4091" spans="1:25" x14ac:dyDescent="0.25">
      <c r="A4091" t="str">
        <f>"10-0381"</f>
        <v>10-0381</v>
      </c>
      <c r="D4091" s="8">
        <v>40316</v>
      </c>
      <c r="F4091" s="8">
        <v>40316</v>
      </c>
      <c r="G4091" s="8">
        <v>40316</v>
      </c>
      <c r="Y4091" s="8"/>
    </row>
    <row r="4092" spans="1:25" x14ac:dyDescent="0.25">
      <c r="A4092" t="str">
        <f>"10-0382"</f>
        <v>10-0382</v>
      </c>
      <c r="D4092" s="8">
        <v>40316</v>
      </c>
      <c r="F4092" s="8">
        <v>40316</v>
      </c>
      <c r="G4092" s="8">
        <v>40316</v>
      </c>
      <c r="Y4092" s="8"/>
    </row>
    <row r="4093" spans="1:25" x14ac:dyDescent="0.25">
      <c r="A4093" t="str">
        <f>"10-0383"</f>
        <v>10-0383</v>
      </c>
      <c r="D4093" s="8">
        <v>40316</v>
      </c>
      <c r="F4093" s="8">
        <v>40316</v>
      </c>
      <c r="G4093" s="8">
        <v>40316</v>
      </c>
      <c r="Y4093" s="8"/>
    </row>
    <row r="4094" spans="1:25" x14ac:dyDescent="0.25">
      <c r="A4094" t="str">
        <f>"10-0384"</f>
        <v>10-0384</v>
      </c>
      <c r="D4094" s="8">
        <v>40316</v>
      </c>
      <c r="F4094" s="8">
        <v>40316</v>
      </c>
      <c r="G4094" s="8">
        <v>40316</v>
      </c>
      <c r="Y4094" s="8"/>
    </row>
    <row r="4095" spans="1:25" x14ac:dyDescent="0.25">
      <c r="A4095" t="str">
        <f>"10-0371"</f>
        <v>10-0371</v>
      </c>
      <c r="D4095" s="8">
        <v>40315</v>
      </c>
      <c r="F4095" s="8">
        <v>40315</v>
      </c>
      <c r="G4095" s="8">
        <v>40315</v>
      </c>
      <c r="Y4095" s="8"/>
    </row>
    <row r="4096" spans="1:25" x14ac:dyDescent="0.25">
      <c r="A4096" t="str">
        <f>"10-0372"</f>
        <v>10-0372</v>
      </c>
      <c r="D4096" s="8">
        <v>40315</v>
      </c>
      <c r="F4096" s="8">
        <v>40315</v>
      </c>
      <c r="G4096" s="8">
        <v>40315</v>
      </c>
      <c r="Y4096" s="8"/>
    </row>
    <row r="4097" spans="1:25" x14ac:dyDescent="0.25">
      <c r="A4097" t="str">
        <f>"10-0373"</f>
        <v>10-0373</v>
      </c>
      <c r="D4097" s="8">
        <v>40315</v>
      </c>
      <c r="F4097" s="8">
        <v>40315</v>
      </c>
      <c r="G4097" s="8">
        <v>40315</v>
      </c>
      <c r="Y4097" s="8"/>
    </row>
    <row r="4098" spans="1:25" x14ac:dyDescent="0.25">
      <c r="A4098" t="str">
        <f>"10-0374"</f>
        <v>10-0374</v>
      </c>
      <c r="D4098" s="8">
        <v>40315</v>
      </c>
      <c r="F4098" s="8">
        <v>40315</v>
      </c>
      <c r="G4098" s="8">
        <v>40315</v>
      </c>
      <c r="Y4098" s="8"/>
    </row>
    <row r="4099" spans="1:25" x14ac:dyDescent="0.25">
      <c r="A4099" t="str">
        <f>"10-0375"</f>
        <v>10-0375</v>
      </c>
      <c r="D4099" s="8">
        <v>40315</v>
      </c>
      <c r="F4099" s="8">
        <v>40315</v>
      </c>
      <c r="G4099" s="8">
        <v>40315</v>
      </c>
      <c r="Y4099" s="8"/>
    </row>
    <row r="4100" spans="1:25" x14ac:dyDescent="0.25">
      <c r="A4100" t="str">
        <f>"10-0369"</f>
        <v>10-0369</v>
      </c>
      <c r="D4100" s="8">
        <v>40312</v>
      </c>
      <c r="F4100" s="8">
        <v>40312</v>
      </c>
      <c r="G4100" s="8">
        <v>40315</v>
      </c>
      <c r="Y4100" s="8"/>
    </row>
    <row r="4101" spans="1:25" x14ac:dyDescent="0.25">
      <c r="A4101" t="str">
        <f>"10-0370"</f>
        <v>10-0370</v>
      </c>
      <c r="D4101" s="8">
        <v>40312</v>
      </c>
      <c r="F4101" s="8">
        <v>40312</v>
      </c>
      <c r="G4101" s="8">
        <v>40315</v>
      </c>
      <c r="Y4101" s="8"/>
    </row>
    <row r="4102" spans="1:25" x14ac:dyDescent="0.25">
      <c r="A4102" t="str">
        <f>"10-0367"</f>
        <v>10-0367</v>
      </c>
      <c r="D4102" s="8">
        <v>40310</v>
      </c>
      <c r="F4102" s="8">
        <v>40315</v>
      </c>
      <c r="G4102" s="8">
        <v>40310</v>
      </c>
      <c r="Y4102" s="8"/>
    </row>
    <row r="4103" spans="1:25" x14ac:dyDescent="0.25">
      <c r="A4103" t="str">
        <f>"10-0360"</f>
        <v>10-0360</v>
      </c>
      <c r="D4103" s="8">
        <v>40309</v>
      </c>
      <c r="F4103" s="8">
        <v>40315</v>
      </c>
      <c r="G4103" s="8">
        <v>40309</v>
      </c>
      <c r="Y4103" s="8"/>
    </row>
    <row r="4104" spans="1:25" x14ac:dyDescent="0.25">
      <c r="A4104" t="str">
        <f>"10-0361"</f>
        <v>10-0361</v>
      </c>
      <c r="D4104" s="8">
        <v>40309</v>
      </c>
      <c r="F4104" s="8">
        <v>40309</v>
      </c>
      <c r="G4104" s="8">
        <v>40309</v>
      </c>
      <c r="Y4104" s="8"/>
    </row>
    <row r="4105" spans="1:25" x14ac:dyDescent="0.25">
      <c r="A4105" t="str">
        <f>"10-0362"</f>
        <v>10-0362</v>
      </c>
      <c r="D4105" s="8">
        <v>40309</v>
      </c>
      <c r="F4105" s="8">
        <v>40309</v>
      </c>
      <c r="G4105" s="8">
        <v>40309</v>
      </c>
      <c r="Y4105" s="8"/>
    </row>
    <row r="4106" spans="1:25" x14ac:dyDescent="0.25">
      <c r="A4106" t="str">
        <f>"10-0363"</f>
        <v>10-0363</v>
      </c>
      <c r="D4106" s="8">
        <v>40309</v>
      </c>
      <c r="F4106" s="8">
        <v>40309</v>
      </c>
      <c r="G4106" s="8">
        <v>40310</v>
      </c>
      <c r="Y4106" s="8"/>
    </row>
    <row r="4107" spans="1:25" x14ac:dyDescent="0.25">
      <c r="A4107" t="str">
        <f>"10-0364"</f>
        <v>10-0364</v>
      </c>
      <c r="D4107" s="8">
        <v>40309</v>
      </c>
      <c r="F4107" s="8">
        <v>40309</v>
      </c>
      <c r="G4107" s="8">
        <v>40309</v>
      </c>
      <c r="Y4107" s="8"/>
    </row>
    <row r="4108" spans="1:25" x14ac:dyDescent="0.25">
      <c r="A4108" t="str">
        <f>"10-0365"</f>
        <v>10-0365</v>
      </c>
      <c r="D4108" s="8">
        <v>40309</v>
      </c>
      <c r="F4108" s="8">
        <v>40309</v>
      </c>
      <c r="G4108" s="8">
        <v>40309</v>
      </c>
      <c r="Y4108" s="8"/>
    </row>
    <row r="4109" spans="1:25" x14ac:dyDescent="0.25">
      <c r="A4109" t="str">
        <f>"10-0366"</f>
        <v>10-0366</v>
      </c>
      <c r="D4109" s="8">
        <v>40309</v>
      </c>
      <c r="F4109" s="8">
        <v>40309</v>
      </c>
      <c r="G4109" s="8">
        <v>40309</v>
      </c>
      <c r="Y4109" s="8"/>
    </row>
    <row r="4110" spans="1:25" x14ac:dyDescent="0.25">
      <c r="A4110" t="str">
        <f>"10-0353"</f>
        <v>10-0353</v>
      </c>
      <c r="D4110" s="8">
        <v>40308</v>
      </c>
      <c r="F4110" s="8">
        <v>40308</v>
      </c>
      <c r="G4110" s="8">
        <v>40308</v>
      </c>
      <c r="Y4110" s="8"/>
    </row>
    <row r="4111" spans="1:25" x14ac:dyDescent="0.25">
      <c r="A4111" t="str">
        <f>"10-0354"</f>
        <v>10-0354</v>
      </c>
      <c r="D4111" s="8">
        <v>40308</v>
      </c>
      <c r="F4111" s="8">
        <v>40308</v>
      </c>
      <c r="G4111" s="8">
        <v>40308</v>
      </c>
      <c r="Y4111" s="8"/>
    </row>
    <row r="4112" spans="1:25" x14ac:dyDescent="0.25">
      <c r="A4112" t="str">
        <f>"10-0355"</f>
        <v>10-0355</v>
      </c>
      <c r="D4112" s="8">
        <v>40308</v>
      </c>
      <c r="F4112" s="8">
        <v>40308</v>
      </c>
      <c r="G4112" s="8">
        <v>40308</v>
      </c>
      <c r="Y4112" s="8"/>
    </row>
    <row r="4113" spans="1:25" x14ac:dyDescent="0.25">
      <c r="A4113" t="str">
        <f>"10-0356"</f>
        <v>10-0356</v>
      </c>
      <c r="D4113" s="8">
        <v>40308</v>
      </c>
      <c r="F4113" s="8">
        <v>40374</v>
      </c>
      <c r="G4113" s="8">
        <v>40308</v>
      </c>
      <c r="Y4113" s="8"/>
    </row>
    <row r="4114" spans="1:25" x14ac:dyDescent="0.25">
      <c r="A4114" t="str">
        <f>"10-0357"</f>
        <v>10-0357</v>
      </c>
      <c r="D4114" s="8">
        <v>40308</v>
      </c>
      <c r="F4114" s="8">
        <v>40326</v>
      </c>
      <c r="G4114" s="8">
        <v>40330</v>
      </c>
      <c r="Y4114" s="8"/>
    </row>
    <row r="4115" spans="1:25" x14ac:dyDescent="0.25">
      <c r="A4115" t="str">
        <f>"10-0358"</f>
        <v>10-0358</v>
      </c>
      <c r="D4115" s="8">
        <v>40308</v>
      </c>
      <c r="F4115" s="8">
        <v>40309</v>
      </c>
      <c r="G4115" s="8">
        <v>40309</v>
      </c>
      <c r="Y4115" s="8"/>
    </row>
    <row r="4116" spans="1:25" x14ac:dyDescent="0.25">
      <c r="A4116" t="str">
        <f>"10-0359"</f>
        <v>10-0359</v>
      </c>
      <c r="D4116" s="8">
        <v>40308</v>
      </c>
      <c r="F4116" s="8">
        <v>40308</v>
      </c>
      <c r="G4116" s="8">
        <v>40308</v>
      </c>
      <c r="Y4116" s="8"/>
    </row>
    <row r="4117" spans="1:25" x14ac:dyDescent="0.25">
      <c r="A4117" t="str">
        <f>"10-0346"</f>
        <v>10-0346</v>
      </c>
      <c r="D4117" s="8">
        <v>40305</v>
      </c>
      <c r="F4117" s="8">
        <v>40305</v>
      </c>
      <c r="G4117" s="8">
        <v>40305</v>
      </c>
      <c r="Y4117" s="8"/>
    </row>
    <row r="4118" spans="1:25" x14ac:dyDescent="0.25">
      <c r="A4118" t="str">
        <f>"10-0347"</f>
        <v>10-0347</v>
      </c>
      <c r="D4118" s="8">
        <v>40305</v>
      </c>
      <c r="F4118" s="8">
        <v>40305</v>
      </c>
      <c r="G4118" s="8">
        <v>40305</v>
      </c>
      <c r="Y4118" s="8"/>
    </row>
    <row r="4119" spans="1:25" x14ac:dyDescent="0.25">
      <c r="A4119" t="str">
        <f>"10-0348"</f>
        <v>10-0348</v>
      </c>
      <c r="D4119" s="8">
        <v>40305</v>
      </c>
      <c r="F4119" s="8">
        <v>40305</v>
      </c>
      <c r="G4119" s="8">
        <v>40305</v>
      </c>
      <c r="Y4119" s="8"/>
    </row>
    <row r="4120" spans="1:25" x14ac:dyDescent="0.25">
      <c r="A4120" t="str">
        <f>"10-0349"</f>
        <v>10-0349</v>
      </c>
      <c r="D4120" s="8">
        <v>40305</v>
      </c>
      <c r="F4120" s="8">
        <v>40305</v>
      </c>
      <c r="G4120" s="8">
        <v>40306</v>
      </c>
      <c r="Y4120" s="8"/>
    </row>
    <row r="4121" spans="1:25" x14ac:dyDescent="0.25">
      <c r="A4121" t="str">
        <f>"10-0350"</f>
        <v>10-0350</v>
      </c>
      <c r="D4121" s="8">
        <v>40305</v>
      </c>
      <c r="F4121" s="8">
        <v>40305</v>
      </c>
      <c r="G4121" s="8">
        <v>40305</v>
      </c>
      <c r="Y4121" s="8"/>
    </row>
    <row r="4122" spans="1:25" x14ac:dyDescent="0.25">
      <c r="A4122" t="str">
        <f>"10-0351"</f>
        <v>10-0351</v>
      </c>
      <c r="D4122" s="8">
        <v>40305</v>
      </c>
      <c r="F4122" s="8">
        <v>40305</v>
      </c>
      <c r="G4122" s="8">
        <v>40305</v>
      </c>
      <c r="Y4122" s="8"/>
    </row>
    <row r="4123" spans="1:25" x14ac:dyDescent="0.25">
      <c r="A4123" t="str">
        <f>"10-0352"</f>
        <v>10-0352</v>
      </c>
      <c r="D4123" s="8">
        <v>40305</v>
      </c>
      <c r="F4123" s="8">
        <v>40305</v>
      </c>
      <c r="G4123" s="8">
        <v>40305</v>
      </c>
      <c r="Y4123" s="8"/>
    </row>
    <row r="4124" spans="1:25" x14ac:dyDescent="0.25">
      <c r="A4124" t="str">
        <f>"10-0335"</f>
        <v>10-0335</v>
      </c>
      <c r="D4124" s="8">
        <v>40304</v>
      </c>
      <c r="F4124" s="8">
        <v>40304</v>
      </c>
      <c r="G4124" s="8">
        <v>40306</v>
      </c>
      <c r="Y4124" s="8"/>
    </row>
    <row r="4125" spans="1:25" x14ac:dyDescent="0.25">
      <c r="A4125" t="str">
        <f>"10-0336"</f>
        <v>10-0336</v>
      </c>
      <c r="D4125" s="8">
        <v>40304</v>
      </c>
      <c r="F4125" s="8">
        <v>40304</v>
      </c>
      <c r="G4125" s="8">
        <v>40304</v>
      </c>
      <c r="Y4125" s="8"/>
    </row>
    <row r="4126" spans="1:25" x14ac:dyDescent="0.25">
      <c r="A4126" t="str">
        <f>"10-0337"</f>
        <v>10-0337</v>
      </c>
      <c r="D4126" s="8">
        <v>40304</v>
      </c>
      <c r="F4126" s="8">
        <v>40304</v>
      </c>
      <c r="G4126" s="8">
        <v>40304</v>
      </c>
      <c r="Y4126" s="8"/>
    </row>
    <row r="4127" spans="1:25" x14ac:dyDescent="0.25">
      <c r="A4127" t="str">
        <f>"10-0338"</f>
        <v>10-0338</v>
      </c>
      <c r="D4127" s="8">
        <v>40304</v>
      </c>
      <c r="F4127" s="8">
        <v>40304</v>
      </c>
      <c r="G4127" s="8">
        <v>40304</v>
      </c>
      <c r="Y4127" s="8"/>
    </row>
    <row r="4128" spans="1:25" x14ac:dyDescent="0.25">
      <c r="A4128" t="str">
        <f>"10-0339"</f>
        <v>10-0339</v>
      </c>
      <c r="D4128" s="8">
        <v>40304</v>
      </c>
      <c r="F4128" s="8">
        <v>40304</v>
      </c>
      <c r="G4128" s="8">
        <v>40304</v>
      </c>
      <c r="Y4128" s="8"/>
    </row>
    <row r="4129" spans="1:25" x14ac:dyDescent="0.25">
      <c r="A4129" t="str">
        <f>"10-0340"</f>
        <v>10-0340</v>
      </c>
      <c r="D4129" s="8">
        <v>40304</v>
      </c>
      <c r="F4129" s="8">
        <v>40304</v>
      </c>
      <c r="G4129" s="8">
        <v>40304</v>
      </c>
      <c r="Y4129" s="8"/>
    </row>
    <row r="4130" spans="1:25" x14ac:dyDescent="0.25">
      <c r="A4130" t="str">
        <f>"10-0341"</f>
        <v>10-0341</v>
      </c>
      <c r="D4130" s="8">
        <v>40304</v>
      </c>
      <c r="F4130" s="8">
        <v>40337</v>
      </c>
      <c r="G4130" s="8">
        <v>40304</v>
      </c>
      <c r="Y4130" s="8"/>
    </row>
    <row r="4131" spans="1:25" x14ac:dyDescent="0.25">
      <c r="A4131" t="str">
        <f>"10-0342"</f>
        <v>10-0342</v>
      </c>
      <c r="D4131" s="8">
        <v>40304</v>
      </c>
      <c r="F4131" s="8">
        <v>40809</v>
      </c>
      <c r="G4131" s="8">
        <v>40305</v>
      </c>
      <c r="Y4131" s="8"/>
    </row>
    <row r="4132" spans="1:25" x14ac:dyDescent="0.25">
      <c r="A4132" t="str">
        <f>"10-0344"</f>
        <v>10-0344</v>
      </c>
      <c r="D4132" s="8">
        <v>40304</v>
      </c>
      <c r="F4132" s="8">
        <v>40304</v>
      </c>
      <c r="G4132" s="8">
        <v>40306</v>
      </c>
      <c r="Y4132" s="8"/>
    </row>
    <row r="4133" spans="1:25" x14ac:dyDescent="0.25">
      <c r="A4133" t="str">
        <f>"10-0345"</f>
        <v>10-0345</v>
      </c>
      <c r="D4133" s="8">
        <v>40304</v>
      </c>
      <c r="F4133" s="8">
        <v>40304</v>
      </c>
      <c r="G4133" s="8">
        <v>40304</v>
      </c>
      <c r="Y4133" s="8"/>
    </row>
    <row r="4134" spans="1:25" x14ac:dyDescent="0.25">
      <c r="A4134" t="str">
        <f>"10-0269B"</f>
        <v>10-0269B</v>
      </c>
      <c r="D4134" s="8">
        <v>40303</v>
      </c>
      <c r="F4134" s="8">
        <v>40303</v>
      </c>
      <c r="G4134" s="8">
        <v>40303</v>
      </c>
      <c r="Y4134" s="8"/>
    </row>
    <row r="4135" spans="1:25" x14ac:dyDescent="0.25">
      <c r="A4135" t="str">
        <f>"10-0318B"</f>
        <v>10-0318B</v>
      </c>
      <c r="D4135" s="8">
        <v>40303</v>
      </c>
      <c r="F4135" s="8">
        <v>40303</v>
      </c>
      <c r="G4135" s="8">
        <v>40303</v>
      </c>
      <c r="Y4135" s="8"/>
    </row>
    <row r="4136" spans="1:25" x14ac:dyDescent="0.25">
      <c r="A4136" t="str">
        <f>"10-0334"</f>
        <v>10-0334</v>
      </c>
      <c r="D4136" s="8">
        <v>40303</v>
      </c>
      <c r="F4136" s="8">
        <v>40303</v>
      </c>
      <c r="G4136" s="8">
        <v>40304</v>
      </c>
      <c r="Y4136" s="8"/>
    </row>
    <row r="4137" spans="1:25" x14ac:dyDescent="0.25">
      <c r="A4137" t="str">
        <f>"10-0330B"</f>
        <v>10-0330B</v>
      </c>
      <c r="D4137" s="8">
        <v>40302</v>
      </c>
      <c r="F4137" s="8">
        <v>40302</v>
      </c>
      <c r="G4137" s="8">
        <v>40302</v>
      </c>
      <c r="Y4137" s="8"/>
    </row>
    <row r="4138" spans="1:25" x14ac:dyDescent="0.25">
      <c r="A4138" t="str">
        <f>"10-0331"</f>
        <v>10-0331</v>
      </c>
      <c r="D4138" s="8">
        <v>40302</v>
      </c>
      <c r="F4138" s="8">
        <v>40302</v>
      </c>
      <c r="G4138" s="8">
        <v>40304</v>
      </c>
      <c r="Y4138" s="8"/>
    </row>
    <row r="4139" spans="1:25" x14ac:dyDescent="0.25">
      <c r="A4139" t="str">
        <f>"10-0332"</f>
        <v>10-0332</v>
      </c>
      <c r="D4139" s="8">
        <v>40302</v>
      </c>
      <c r="F4139" s="8">
        <v>40310</v>
      </c>
      <c r="G4139" s="8">
        <v>40319</v>
      </c>
      <c r="Y4139" s="8"/>
    </row>
    <row r="4140" spans="1:25" x14ac:dyDescent="0.25">
      <c r="A4140" t="str">
        <f>"10-0333"</f>
        <v>10-0333</v>
      </c>
      <c r="D4140" s="8">
        <v>40302</v>
      </c>
      <c r="F4140" s="8">
        <v>40302</v>
      </c>
      <c r="G4140" s="8">
        <v>40304</v>
      </c>
      <c r="Y4140" s="8"/>
    </row>
    <row r="4141" spans="1:25" x14ac:dyDescent="0.25">
      <c r="A4141" t="str">
        <f>"10-0327"</f>
        <v>10-0327</v>
      </c>
      <c r="D4141" s="8">
        <v>40301</v>
      </c>
      <c r="F4141" s="8">
        <v>40301</v>
      </c>
      <c r="G4141" s="8">
        <v>40297</v>
      </c>
      <c r="Y4141" s="8"/>
    </row>
    <row r="4142" spans="1:25" x14ac:dyDescent="0.25">
      <c r="A4142" t="str">
        <f>"10-0328"</f>
        <v>10-0328</v>
      </c>
      <c r="D4142" s="8">
        <v>40301</v>
      </c>
      <c r="F4142" s="8">
        <v>40301</v>
      </c>
      <c r="G4142" s="8">
        <v>40289</v>
      </c>
      <c r="Y4142" s="8"/>
    </row>
    <row r="4143" spans="1:25" x14ac:dyDescent="0.25">
      <c r="A4143" t="str">
        <f>"10-0329"</f>
        <v>10-0329</v>
      </c>
      <c r="D4143" s="8">
        <v>40301</v>
      </c>
      <c r="F4143" s="8">
        <v>40301</v>
      </c>
      <c r="G4143" s="8">
        <v>40298</v>
      </c>
      <c r="Y4143" s="8"/>
    </row>
    <row r="4144" spans="1:25" x14ac:dyDescent="0.25">
      <c r="A4144" t="str">
        <f>"10-0330"</f>
        <v>10-0330</v>
      </c>
      <c r="D4144" s="8">
        <v>40301</v>
      </c>
      <c r="F4144" s="8">
        <v>40301</v>
      </c>
      <c r="G4144" s="8">
        <v>40301</v>
      </c>
      <c r="Y4144" s="8"/>
    </row>
    <row r="4145" spans="1:25" x14ac:dyDescent="0.25">
      <c r="A4145" t="str">
        <f>"10-0324"</f>
        <v>10-0324</v>
      </c>
      <c r="D4145" s="8">
        <v>40298</v>
      </c>
      <c r="F4145" s="8">
        <v>40298</v>
      </c>
      <c r="G4145" s="8">
        <v>40298</v>
      </c>
      <c r="Y4145" s="8"/>
    </row>
    <row r="4146" spans="1:25" x14ac:dyDescent="0.25">
      <c r="A4146" t="str">
        <f>"10-0325"</f>
        <v>10-0325</v>
      </c>
      <c r="D4146" s="8">
        <v>40298</v>
      </c>
      <c r="G4146" s="8">
        <v>40305</v>
      </c>
    </row>
    <row r="4147" spans="1:25" x14ac:dyDescent="0.25">
      <c r="A4147" t="str">
        <f>"10-0326"</f>
        <v>10-0326</v>
      </c>
      <c r="D4147" s="8">
        <v>40298</v>
      </c>
      <c r="F4147" s="8">
        <v>40298</v>
      </c>
      <c r="G4147" s="8">
        <v>40298</v>
      </c>
      <c r="Y4147" s="8"/>
    </row>
    <row r="4148" spans="1:25" x14ac:dyDescent="0.25">
      <c r="A4148" t="str">
        <f>"10-0002B"</f>
        <v>10-0002B</v>
      </c>
      <c r="D4148" s="8">
        <v>40296</v>
      </c>
      <c r="F4148" s="8">
        <v>40296</v>
      </c>
      <c r="G4148" s="8">
        <v>40296</v>
      </c>
      <c r="Y4148" s="8"/>
    </row>
    <row r="4149" spans="1:25" x14ac:dyDescent="0.25">
      <c r="A4149" t="str">
        <f>"10-0320"</f>
        <v>10-0320</v>
      </c>
      <c r="D4149" s="8">
        <v>40296</v>
      </c>
      <c r="F4149" s="8">
        <v>40297</v>
      </c>
      <c r="G4149" s="8">
        <v>40298</v>
      </c>
      <c r="Y4149" s="8"/>
    </row>
    <row r="4150" spans="1:25" x14ac:dyDescent="0.25">
      <c r="A4150" t="str">
        <f>"10-0321"</f>
        <v>10-0321</v>
      </c>
      <c r="D4150" s="8">
        <v>40296</v>
      </c>
      <c r="F4150" s="8">
        <v>40296</v>
      </c>
      <c r="G4150" s="8">
        <v>40294</v>
      </c>
      <c r="Y4150" s="8"/>
    </row>
    <row r="4151" spans="1:25" x14ac:dyDescent="0.25">
      <c r="A4151" t="str">
        <f>"10-0322"</f>
        <v>10-0322</v>
      </c>
      <c r="D4151" s="8">
        <v>40296</v>
      </c>
      <c r="F4151" s="8">
        <v>40296</v>
      </c>
      <c r="G4151" s="8">
        <v>40296</v>
      </c>
      <c r="Y4151" s="8"/>
    </row>
    <row r="4152" spans="1:25" x14ac:dyDescent="0.25">
      <c r="A4152" t="str">
        <f>"10-0323"</f>
        <v>10-0323</v>
      </c>
      <c r="D4152" s="8">
        <v>40296</v>
      </c>
      <c r="F4152" s="8">
        <v>40296</v>
      </c>
      <c r="G4152" s="8">
        <v>40298</v>
      </c>
      <c r="Y4152" s="8"/>
    </row>
    <row r="4153" spans="1:25" x14ac:dyDescent="0.25">
      <c r="A4153" t="str">
        <f>"10-0318"</f>
        <v>10-0318</v>
      </c>
      <c r="D4153" s="8">
        <v>40295</v>
      </c>
      <c r="F4153" s="8">
        <v>40303</v>
      </c>
      <c r="G4153" s="8">
        <v>40291</v>
      </c>
      <c r="Y4153" s="8"/>
    </row>
    <row r="4154" spans="1:25" x14ac:dyDescent="0.25">
      <c r="A4154" t="str">
        <f>"10-0319"</f>
        <v>10-0319</v>
      </c>
      <c r="D4154" s="8">
        <v>40295</v>
      </c>
      <c r="F4154" s="8">
        <v>40295</v>
      </c>
      <c r="G4154" s="8">
        <v>40294</v>
      </c>
      <c r="Y4154" s="8"/>
    </row>
    <row r="4155" spans="1:25" x14ac:dyDescent="0.25">
      <c r="A4155" t="str">
        <f>"10-0312"</f>
        <v>10-0312</v>
      </c>
      <c r="D4155" s="8">
        <v>40294</v>
      </c>
      <c r="F4155" s="8">
        <v>40294</v>
      </c>
      <c r="G4155" s="8">
        <v>40294</v>
      </c>
      <c r="Y4155" s="8"/>
    </row>
    <row r="4156" spans="1:25" x14ac:dyDescent="0.25">
      <c r="A4156" t="str">
        <f>"10-0313"</f>
        <v>10-0313</v>
      </c>
      <c r="D4156" s="8">
        <v>40294</v>
      </c>
      <c r="F4156" s="8">
        <v>40295</v>
      </c>
      <c r="G4156" s="8">
        <v>40294</v>
      </c>
      <c r="Y4156" s="8"/>
    </row>
    <row r="4157" spans="1:25" x14ac:dyDescent="0.25">
      <c r="A4157" t="str">
        <f>"10-0314"</f>
        <v>10-0314</v>
      </c>
      <c r="D4157" s="8">
        <v>40294</v>
      </c>
      <c r="F4157" s="8">
        <v>40294</v>
      </c>
      <c r="G4157" s="8">
        <v>40294</v>
      </c>
      <c r="Y4157" s="8"/>
    </row>
    <row r="4158" spans="1:25" x14ac:dyDescent="0.25">
      <c r="A4158" t="str">
        <f>"10-0315"</f>
        <v>10-0315</v>
      </c>
      <c r="D4158" s="8">
        <v>40294</v>
      </c>
      <c r="F4158" s="8">
        <v>40294</v>
      </c>
      <c r="G4158" s="8">
        <v>40294</v>
      </c>
      <c r="Y4158" s="8"/>
    </row>
    <row r="4159" spans="1:25" x14ac:dyDescent="0.25">
      <c r="A4159" t="str">
        <f>"10-0316"</f>
        <v>10-0316</v>
      </c>
      <c r="D4159" s="8">
        <v>40294</v>
      </c>
      <c r="F4159" s="8">
        <v>40309</v>
      </c>
      <c r="G4159" s="8">
        <v>40291</v>
      </c>
      <c r="Y4159" s="8"/>
    </row>
    <row r="4160" spans="1:25" x14ac:dyDescent="0.25">
      <c r="A4160" t="str">
        <f>"10-0317"</f>
        <v>10-0317</v>
      </c>
      <c r="D4160" s="8">
        <v>40294</v>
      </c>
      <c r="F4160" s="8">
        <v>40297</v>
      </c>
      <c r="G4160" s="8">
        <v>40295</v>
      </c>
      <c r="Y4160" s="8"/>
    </row>
    <row r="4161" spans="1:25" x14ac:dyDescent="0.25">
      <c r="A4161" t="str">
        <f>"10-0309"</f>
        <v>10-0309</v>
      </c>
      <c r="D4161" s="8">
        <v>40291</v>
      </c>
      <c r="F4161" s="8">
        <v>40291</v>
      </c>
      <c r="G4161" s="8">
        <v>40291</v>
      </c>
      <c r="Y4161" s="8"/>
    </row>
    <row r="4162" spans="1:25" x14ac:dyDescent="0.25">
      <c r="A4162" t="str">
        <f>"10-0310"</f>
        <v>10-0310</v>
      </c>
      <c r="D4162" s="8">
        <v>40291</v>
      </c>
      <c r="F4162" s="8">
        <v>40291</v>
      </c>
      <c r="G4162" s="8">
        <v>40291</v>
      </c>
      <c r="Y4162" s="8"/>
    </row>
    <row r="4163" spans="1:25" x14ac:dyDescent="0.25">
      <c r="A4163" t="str">
        <f>"10-0311"</f>
        <v>10-0311</v>
      </c>
      <c r="D4163" s="8">
        <v>40291</v>
      </c>
      <c r="F4163" s="8">
        <v>40295</v>
      </c>
      <c r="G4163" s="8">
        <v>40296</v>
      </c>
      <c r="Y4163" s="8"/>
    </row>
    <row r="4164" spans="1:25" x14ac:dyDescent="0.25">
      <c r="A4164" t="str">
        <f>"09-0877B"</f>
        <v>09-0877B</v>
      </c>
      <c r="D4164" s="8">
        <v>40290</v>
      </c>
      <c r="F4164" s="8">
        <v>40290</v>
      </c>
      <c r="G4164" s="8">
        <v>40290</v>
      </c>
      <c r="Y4164" s="8"/>
    </row>
    <row r="4165" spans="1:25" x14ac:dyDescent="0.25">
      <c r="A4165" t="str">
        <f>"10-0205A"</f>
        <v>10-0205A</v>
      </c>
      <c r="D4165" s="8">
        <v>40290</v>
      </c>
      <c r="F4165" s="8">
        <v>40290</v>
      </c>
      <c r="G4165" s="8">
        <v>40290</v>
      </c>
      <c r="Y4165" s="8"/>
    </row>
    <row r="4166" spans="1:25" x14ac:dyDescent="0.25">
      <c r="A4166" t="str">
        <f>"10-0287B"</f>
        <v>10-0287B</v>
      </c>
      <c r="D4166" s="8">
        <v>40290</v>
      </c>
      <c r="F4166" s="8">
        <v>40290</v>
      </c>
      <c r="G4166" s="8">
        <v>40290</v>
      </c>
      <c r="Y4166" s="8"/>
    </row>
    <row r="4167" spans="1:25" x14ac:dyDescent="0.25">
      <c r="A4167" t="str">
        <f>"10-0302"</f>
        <v>10-0302</v>
      </c>
      <c r="D4167" s="8">
        <v>40290</v>
      </c>
      <c r="F4167" s="8">
        <v>40290</v>
      </c>
      <c r="G4167" s="8">
        <v>40290</v>
      </c>
      <c r="Y4167" s="8"/>
    </row>
    <row r="4168" spans="1:25" x14ac:dyDescent="0.25">
      <c r="A4168" t="str">
        <f>"10-0303"</f>
        <v>10-0303</v>
      </c>
      <c r="D4168" s="8">
        <v>40290</v>
      </c>
      <c r="F4168" s="8">
        <v>40290</v>
      </c>
      <c r="G4168" s="8">
        <v>40290</v>
      </c>
      <c r="Y4168" s="8"/>
    </row>
    <row r="4169" spans="1:25" x14ac:dyDescent="0.25">
      <c r="A4169" t="str">
        <f>"10-0304"</f>
        <v>10-0304</v>
      </c>
      <c r="D4169" s="8">
        <v>40290</v>
      </c>
      <c r="F4169" s="8">
        <v>40296</v>
      </c>
      <c r="G4169" s="8">
        <v>40296</v>
      </c>
      <c r="Y4169" s="8"/>
    </row>
    <row r="4170" spans="1:25" x14ac:dyDescent="0.25">
      <c r="A4170" t="str">
        <f>"10-0305"</f>
        <v>10-0305</v>
      </c>
      <c r="D4170" s="8">
        <v>40290</v>
      </c>
      <c r="F4170" s="8">
        <v>40290</v>
      </c>
      <c r="G4170" s="8">
        <v>40291</v>
      </c>
      <c r="Y4170" s="8"/>
    </row>
    <row r="4171" spans="1:25" x14ac:dyDescent="0.25">
      <c r="A4171" t="str">
        <f>"10-0306"</f>
        <v>10-0306</v>
      </c>
      <c r="D4171" s="8">
        <v>40290</v>
      </c>
      <c r="F4171" s="8">
        <v>40290</v>
      </c>
      <c r="G4171" s="8">
        <v>40290</v>
      </c>
      <c r="Y4171" s="8"/>
    </row>
    <row r="4172" spans="1:25" x14ac:dyDescent="0.25">
      <c r="A4172" t="str">
        <f>"10-0307"</f>
        <v>10-0307</v>
      </c>
      <c r="D4172" s="8">
        <v>40290</v>
      </c>
      <c r="F4172" s="8">
        <v>40290</v>
      </c>
      <c r="G4172" s="8">
        <v>40290</v>
      </c>
      <c r="Y4172" s="8"/>
    </row>
    <row r="4173" spans="1:25" x14ac:dyDescent="0.25">
      <c r="A4173" t="str">
        <f>"10-0308"</f>
        <v>10-0308</v>
      </c>
      <c r="D4173" s="8">
        <v>40290</v>
      </c>
      <c r="F4173" s="8">
        <v>41723</v>
      </c>
      <c r="G4173" s="8">
        <v>40290</v>
      </c>
      <c r="Y4173" s="8"/>
    </row>
    <row r="4174" spans="1:25" x14ac:dyDescent="0.25">
      <c r="A4174" t="str">
        <f>"10-0299"</f>
        <v>10-0299</v>
      </c>
      <c r="D4174" s="8">
        <v>40289</v>
      </c>
      <c r="F4174" s="8">
        <v>40289</v>
      </c>
      <c r="G4174" s="8">
        <v>40289</v>
      </c>
      <c r="Y4174" s="8"/>
    </row>
    <row r="4175" spans="1:25" x14ac:dyDescent="0.25">
      <c r="A4175" t="str">
        <f>"10-0300"</f>
        <v>10-0300</v>
      </c>
      <c r="D4175" s="8">
        <v>40289</v>
      </c>
      <c r="F4175" s="8">
        <v>40289</v>
      </c>
      <c r="G4175" s="8">
        <v>40290</v>
      </c>
      <c r="Y4175" s="8"/>
    </row>
    <row r="4176" spans="1:25" x14ac:dyDescent="0.25">
      <c r="A4176" t="str">
        <f>"10-0301"</f>
        <v>10-0301</v>
      </c>
      <c r="D4176" s="8">
        <v>40289</v>
      </c>
      <c r="F4176" s="8">
        <v>40289</v>
      </c>
      <c r="G4176" s="8">
        <v>40289</v>
      </c>
      <c r="Y4176" s="8"/>
    </row>
    <row r="4177" spans="1:25" x14ac:dyDescent="0.25">
      <c r="A4177" t="str">
        <f>"10-0296"</f>
        <v>10-0296</v>
      </c>
      <c r="D4177" s="8">
        <v>40288</v>
      </c>
      <c r="F4177" s="8">
        <v>40288</v>
      </c>
      <c r="G4177" s="8">
        <v>40288</v>
      </c>
      <c r="Y4177" s="8"/>
    </row>
    <row r="4178" spans="1:25" x14ac:dyDescent="0.25">
      <c r="A4178" t="str">
        <f>"10-0297"</f>
        <v>10-0297</v>
      </c>
      <c r="D4178" s="8">
        <v>40288</v>
      </c>
      <c r="F4178" s="8">
        <v>40288</v>
      </c>
      <c r="G4178" s="8">
        <v>40288</v>
      </c>
      <c r="Y4178" s="8"/>
    </row>
    <row r="4179" spans="1:25" x14ac:dyDescent="0.25">
      <c r="A4179" t="str">
        <f>"10-0298"</f>
        <v>10-0298</v>
      </c>
      <c r="D4179" s="8">
        <v>40288</v>
      </c>
      <c r="F4179" s="8">
        <v>40288</v>
      </c>
      <c r="G4179" s="8">
        <v>40290</v>
      </c>
      <c r="Y4179" s="8"/>
    </row>
    <row r="4180" spans="1:25" x14ac:dyDescent="0.25">
      <c r="A4180" t="str">
        <f>"10-0295"</f>
        <v>10-0295</v>
      </c>
      <c r="D4180" s="8">
        <v>40287</v>
      </c>
      <c r="F4180" s="8">
        <v>40287</v>
      </c>
      <c r="G4180" s="8">
        <v>40287</v>
      </c>
      <c r="Y4180" s="8"/>
    </row>
    <row r="4181" spans="1:25" x14ac:dyDescent="0.25">
      <c r="A4181" t="str">
        <f>"10-0289"</f>
        <v>10-0289</v>
      </c>
      <c r="D4181" s="8">
        <v>40284</v>
      </c>
      <c r="F4181" s="8">
        <v>40284</v>
      </c>
      <c r="G4181" s="8">
        <v>40284</v>
      </c>
      <c r="Y4181" s="8"/>
    </row>
    <row r="4182" spans="1:25" x14ac:dyDescent="0.25">
      <c r="A4182" t="str">
        <f>"10-0290"</f>
        <v>10-0290</v>
      </c>
      <c r="D4182" s="8">
        <v>40284</v>
      </c>
      <c r="F4182" s="8">
        <v>40284</v>
      </c>
      <c r="G4182" s="8">
        <v>40284</v>
      </c>
      <c r="Y4182" s="8"/>
    </row>
    <row r="4183" spans="1:25" x14ac:dyDescent="0.25">
      <c r="A4183" t="str">
        <f>"10-0291"</f>
        <v>10-0291</v>
      </c>
      <c r="D4183" s="8">
        <v>40284</v>
      </c>
      <c r="F4183" s="8">
        <v>40316</v>
      </c>
      <c r="G4183" s="8">
        <v>40284</v>
      </c>
      <c r="Y4183" s="8"/>
    </row>
    <row r="4184" spans="1:25" x14ac:dyDescent="0.25">
      <c r="A4184" t="str">
        <f>"10-0292"</f>
        <v>10-0292</v>
      </c>
      <c r="D4184" s="8">
        <v>40284</v>
      </c>
      <c r="F4184" s="8">
        <v>40289</v>
      </c>
      <c r="G4184" s="8">
        <v>40284</v>
      </c>
      <c r="Y4184" s="8"/>
    </row>
    <row r="4185" spans="1:25" x14ac:dyDescent="0.25">
      <c r="A4185" t="str">
        <f>"10-0293"</f>
        <v>10-0293</v>
      </c>
      <c r="D4185" s="8">
        <v>40284</v>
      </c>
      <c r="F4185" s="8">
        <v>40284</v>
      </c>
      <c r="G4185" s="8">
        <v>40282</v>
      </c>
      <c r="Y4185" s="8"/>
    </row>
    <row r="4186" spans="1:25" x14ac:dyDescent="0.25">
      <c r="A4186" t="str">
        <f>"10-0294"</f>
        <v>10-0294</v>
      </c>
      <c r="D4186" s="8">
        <v>40284</v>
      </c>
      <c r="F4186" s="8">
        <v>40284</v>
      </c>
      <c r="G4186" s="8">
        <v>40284</v>
      </c>
      <c r="Y4186" s="8"/>
    </row>
    <row r="4187" spans="1:25" x14ac:dyDescent="0.25">
      <c r="A4187" t="str">
        <f>"10-0268B"</f>
        <v>10-0268B</v>
      </c>
      <c r="D4187" s="8">
        <v>40283</v>
      </c>
      <c r="F4187" s="8">
        <v>40283</v>
      </c>
      <c r="G4187" s="8">
        <v>40288</v>
      </c>
      <c r="Y4187" s="8"/>
    </row>
    <row r="4188" spans="1:25" x14ac:dyDescent="0.25">
      <c r="A4188" t="str">
        <f>"10-0272B"</f>
        <v>10-0272B</v>
      </c>
      <c r="D4188" s="8">
        <v>40283</v>
      </c>
      <c r="F4188" s="8">
        <v>40283</v>
      </c>
      <c r="G4188" s="8">
        <v>40283</v>
      </c>
      <c r="Y4188" s="8"/>
    </row>
    <row r="4189" spans="1:25" x14ac:dyDescent="0.25">
      <c r="A4189" t="str">
        <f>"10-0284"</f>
        <v>10-0284</v>
      </c>
      <c r="D4189" s="8">
        <v>40283</v>
      </c>
      <c r="F4189" s="8">
        <v>40283</v>
      </c>
      <c r="G4189" s="8">
        <v>40283</v>
      </c>
      <c r="Y4189" s="8"/>
    </row>
    <row r="4190" spans="1:25" x14ac:dyDescent="0.25">
      <c r="A4190" t="str">
        <f>"10-0285"</f>
        <v>10-0285</v>
      </c>
      <c r="D4190" s="8">
        <v>40283</v>
      </c>
      <c r="F4190" s="8">
        <v>40283</v>
      </c>
      <c r="G4190" s="8">
        <v>40281</v>
      </c>
      <c r="Y4190" s="8"/>
    </row>
    <row r="4191" spans="1:25" x14ac:dyDescent="0.25">
      <c r="A4191" t="str">
        <f>"10-0286"</f>
        <v>10-0286</v>
      </c>
      <c r="D4191" s="8">
        <v>40283</v>
      </c>
      <c r="F4191" s="8">
        <v>40283</v>
      </c>
      <c r="G4191" s="8">
        <v>40281</v>
      </c>
      <c r="Y4191" s="8"/>
    </row>
    <row r="4192" spans="1:25" x14ac:dyDescent="0.25">
      <c r="A4192" t="str">
        <f>"10-0287"</f>
        <v>10-0287</v>
      </c>
      <c r="D4192" s="8">
        <v>40283</v>
      </c>
      <c r="F4192" s="8">
        <v>40283</v>
      </c>
      <c r="G4192" s="8">
        <v>40283</v>
      </c>
      <c r="Y4192" s="8"/>
    </row>
    <row r="4193" spans="1:25" x14ac:dyDescent="0.25">
      <c r="A4193" t="str">
        <f>"10-0288"</f>
        <v>10-0288</v>
      </c>
      <c r="D4193" s="8">
        <v>40283</v>
      </c>
      <c r="F4193" s="8">
        <v>40283</v>
      </c>
      <c r="G4193" s="8">
        <v>40283</v>
      </c>
      <c r="Y4193" s="8"/>
    </row>
    <row r="4194" spans="1:25" x14ac:dyDescent="0.25">
      <c r="A4194" t="str">
        <f>"10-0280"</f>
        <v>10-0280</v>
      </c>
      <c r="D4194" s="8">
        <v>40282</v>
      </c>
      <c r="F4194" s="8">
        <v>40282</v>
      </c>
      <c r="G4194" s="8">
        <v>40283</v>
      </c>
      <c r="Y4194" s="8"/>
    </row>
    <row r="4195" spans="1:25" x14ac:dyDescent="0.25">
      <c r="A4195" t="str">
        <f>"10-0281"</f>
        <v>10-0281</v>
      </c>
      <c r="D4195" s="8">
        <v>40282</v>
      </c>
      <c r="F4195" s="8">
        <v>40282</v>
      </c>
      <c r="G4195" s="8">
        <v>40282</v>
      </c>
      <c r="Y4195" s="8"/>
    </row>
    <row r="4196" spans="1:25" x14ac:dyDescent="0.25">
      <c r="A4196" t="str">
        <f>"10-0282"</f>
        <v>10-0282</v>
      </c>
      <c r="D4196" s="8">
        <v>40282</v>
      </c>
      <c r="F4196" s="8">
        <v>40282</v>
      </c>
      <c r="G4196" s="8">
        <v>40282</v>
      </c>
      <c r="Y4196" s="8"/>
    </row>
    <row r="4197" spans="1:25" x14ac:dyDescent="0.25">
      <c r="A4197" t="str">
        <f>"10-0283"</f>
        <v>10-0283</v>
      </c>
      <c r="D4197" s="8">
        <v>40282</v>
      </c>
      <c r="F4197" s="8">
        <v>40282</v>
      </c>
      <c r="G4197" s="8">
        <v>40282</v>
      </c>
      <c r="Y4197" s="8"/>
    </row>
    <row r="4198" spans="1:25" x14ac:dyDescent="0.25">
      <c r="A4198" t="str">
        <f>"10-0271"</f>
        <v>10-0271</v>
      </c>
      <c r="D4198" s="8">
        <v>40281</v>
      </c>
      <c r="F4198" s="8">
        <v>40281</v>
      </c>
      <c r="G4198" s="8">
        <v>40281</v>
      </c>
      <c r="Y4198" s="8"/>
    </row>
    <row r="4199" spans="1:25" x14ac:dyDescent="0.25">
      <c r="A4199" t="str">
        <f>"10-0272"</f>
        <v>10-0272</v>
      </c>
      <c r="D4199" s="8">
        <v>40281</v>
      </c>
      <c r="F4199" s="8">
        <v>40281</v>
      </c>
      <c r="G4199" s="8">
        <v>40282</v>
      </c>
      <c r="Y4199" s="8"/>
    </row>
    <row r="4200" spans="1:25" x14ac:dyDescent="0.25">
      <c r="A4200" t="str">
        <f>"10-0273"</f>
        <v>10-0273</v>
      </c>
      <c r="D4200" s="8">
        <v>40281</v>
      </c>
      <c r="F4200" s="8">
        <v>40281</v>
      </c>
      <c r="G4200" s="8">
        <v>40281</v>
      </c>
      <c r="Y4200" s="8"/>
    </row>
    <row r="4201" spans="1:25" x14ac:dyDescent="0.25">
      <c r="A4201" t="str">
        <f>"10-0274"</f>
        <v>10-0274</v>
      </c>
      <c r="D4201" s="8">
        <v>40281</v>
      </c>
      <c r="F4201" s="8">
        <v>40281</v>
      </c>
      <c r="G4201" s="8">
        <v>40281</v>
      </c>
      <c r="Y4201" s="8"/>
    </row>
    <row r="4202" spans="1:25" x14ac:dyDescent="0.25">
      <c r="A4202" t="str">
        <f>"10-0275"</f>
        <v>10-0275</v>
      </c>
      <c r="D4202" s="8">
        <v>40281</v>
      </c>
      <c r="F4202" s="8">
        <v>40281</v>
      </c>
      <c r="G4202" s="8">
        <v>40280</v>
      </c>
      <c r="Y4202" s="8"/>
    </row>
    <row r="4203" spans="1:25" x14ac:dyDescent="0.25">
      <c r="A4203" t="str">
        <f>"10-0276"</f>
        <v>10-0276</v>
      </c>
      <c r="D4203" s="8">
        <v>40281</v>
      </c>
      <c r="F4203" s="8">
        <v>40281</v>
      </c>
      <c r="G4203" s="8">
        <v>40282</v>
      </c>
      <c r="Y4203" s="8"/>
    </row>
    <row r="4204" spans="1:25" x14ac:dyDescent="0.25">
      <c r="A4204" t="str">
        <f>"10-0277"</f>
        <v>10-0277</v>
      </c>
      <c r="D4204" s="8">
        <v>40281</v>
      </c>
      <c r="F4204" s="8">
        <v>40281</v>
      </c>
      <c r="G4204" s="8">
        <v>40281</v>
      </c>
      <c r="Y4204" s="8"/>
    </row>
    <row r="4205" spans="1:25" x14ac:dyDescent="0.25">
      <c r="A4205" t="str">
        <f>"10-0278"</f>
        <v>10-0278</v>
      </c>
      <c r="D4205" s="8">
        <v>40281</v>
      </c>
      <c r="F4205" s="8">
        <v>40281</v>
      </c>
      <c r="G4205" s="8">
        <v>40281</v>
      </c>
      <c r="Y4205" s="8"/>
    </row>
    <row r="4206" spans="1:25" x14ac:dyDescent="0.25">
      <c r="A4206" t="str">
        <f>"10-0279"</f>
        <v>10-0279</v>
      </c>
      <c r="D4206" s="8">
        <v>40281</v>
      </c>
      <c r="F4206" s="8">
        <v>40449</v>
      </c>
      <c r="G4206" s="8">
        <v>40282</v>
      </c>
      <c r="Y4206" s="8"/>
    </row>
    <row r="4207" spans="1:25" x14ac:dyDescent="0.25">
      <c r="A4207" t="str">
        <f>"10-0247B"</f>
        <v>10-0247B</v>
      </c>
      <c r="D4207" s="8">
        <v>40280</v>
      </c>
      <c r="F4207" s="8">
        <v>40280</v>
      </c>
      <c r="G4207" s="8">
        <v>40280</v>
      </c>
      <c r="Y4207" s="8"/>
    </row>
    <row r="4208" spans="1:25" x14ac:dyDescent="0.25">
      <c r="A4208" t="str">
        <f>"10-0268"</f>
        <v>10-0268</v>
      </c>
      <c r="D4208" s="8">
        <v>40280</v>
      </c>
      <c r="F4208" s="8">
        <v>40280</v>
      </c>
      <c r="G4208" s="8">
        <v>40281</v>
      </c>
      <c r="Y4208" s="8"/>
    </row>
    <row r="4209" spans="1:25" x14ac:dyDescent="0.25">
      <c r="A4209" t="str">
        <f>"10-0269"</f>
        <v>10-0269</v>
      </c>
      <c r="D4209" s="8">
        <v>40280</v>
      </c>
      <c r="F4209" s="8">
        <v>40280</v>
      </c>
      <c r="G4209" s="8">
        <v>40280</v>
      </c>
      <c r="Y4209" s="8"/>
    </row>
    <row r="4210" spans="1:25" x14ac:dyDescent="0.25">
      <c r="A4210" t="str">
        <f>"10-0270"</f>
        <v>10-0270</v>
      </c>
      <c r="D4210" s="8">
        <v>40280</v>
      </c>
      <c r="F4210" s="8">
        <v>40280</v>
      </c>
      <c r="G4210" s="8">
        <v>40280</v>
      </c>
      <c r="Y4210" s="8"/>
    </row>
    <row r="4211" spans="1:25" x14ac:dyDescent="0.25">
      <c r="A4211" t="str">
        <f>"10-0266"</f>
        <v>10-0266</v>
      </c>
      <c r="D4211" s="8">
        <v>40277</v>
      </c>
      <c r="F4211" s="8">
        <v>40281</v>
      </c>
      <c r="G4211" s="8">
        <v>40277</v>
      </c>
      <c r="Y4211" s="8"/>
    </row>
    <row r="4212" spans="1:25" x14ac:dyDescent="0.25">
      <c r="A4212" t="str">
        <f>"10-0267"</f>
        <v>10-0267</v>
      </c>
      <c r="D4212" s="8">
        <v>40277</v>
      </c>
      <c r="G4212" s="8">
        <v>40284</v>
      </c>
    </row>
    <row r="4213" spans="1:25" x14ac:dyDescent="0.25">
      <c r="A4213" t="str">
        <f>"10-0262"</f>
        <v>10-0262</v>
      </c>
      <c r="D4213" s="8">
        <v>40276</v>
      </c>
      <c r="F4213" s="8">
        <v>40276</v>
      </c>
      <c r="G4213" s="8">
        <v>40276</v>
      </c>
      <c r="Y4213" s="8"/>
    </row>
    <row r="4214" spans="1:25" x14ac:dyDescent="0.25">
      <c r="A4214" t="str">
        <f>"10-0263"</f>
        <v>10-0263</v>
      </c>
      <c r="D4214" s="8">
        <v>40276</v>
      </c>
      <c r="F4214" s="8">
        <v>40276</v>
      </c>
      <c r="G4214" s="8">
        <v>40276</v>
      </c>
      <c r="Y4214" s="8"/>
    </row>
    <row r="4215" spans="1:25" x14ac:dyDescent="0.25">
      <c r="A4215" t="str">
        <f>"10-0264"</f>
        <v>10-0264</v>
      </c>
      <c r="D4215" s="8">
        <v>40276</v>
      </c>
      <c r="F4215" s="8">
        <v>40276</v>
      </c>
      <c r="G4215" s="8">
        <v>40280</v>
      </c>
      <c r="Y4215" s="8"/>
    </row>
    <row r="4216" spans="1:25" x14ac:dyDescent="0.25">
      <c r="A4216" t="str">
        <f>"10-0265"</f>
        <v>10-0265</v>
      </c>
      <c r="D4216" s="8">
        <v>40276</v>
      </c>
      <c r="F4216" s="8">
        <v>40277</v>
      </c>
      <c r="G4216" s="8">
        <v>40276</v>
      </c>
      <c r="Y4216" s="8"/>
    </row>
    <row r="4217" spans="1:25" x14ac:dyDescent="0.25">
      <c r="A4217" t="str">
        <f>"10-0256"</f>
        <v>10-0256</v>
      </c>
      <c r="D4217" s="8">
        <v>40275</v>
      </c>
      <c r="F4217" s="8">
        <v>40275</v>
      </c>
      <c r="G4217" s="8">
        <v>40275</v>
      </c>
      <c r="Y4217" s="8"/>
    </row>
    <row r="4218" spans="1:25" x14ac:dyDescent="0.25">
      <c r="A4218" t="str">
        <f>"10-0257"</f>
        <v>10-0257</v>
      </c>
      <c r="D4218" s="8">
        <v>40275</v>
      </c>
      <c r="F4218" s="8">
        <v>40275</v>
      </c>
      <c r="G4218" s="8">
        <v>40275</v>
      </c>
      <c r="Y4218" s="8"/>
    </row>
    <row r="4219" spans="1:25" x14ac:dyDescent="0.25">
      <c r="A4219" t="str">
        <f>"10-0258"</f>
        <v>10-0258</v>
      </c>
      <c r="D4219" s="8">
        <v>40275</v>
      </c>
      <c r="F4219" s="8">
        <v>40275</v>
      </c>
      <c r="G4219" s="8">
        <v>40275</v>
      </c>
      <c r="Y4219" s="8"/>
    </row>
    <row r="4220" spans="1:25" x14ac:dyDescent="0.25">
      <c r="A4220" t="str">
        <f>"10-0259"</f>
        <v>10-0259</v>
      </c>
      <c r="D4220" s="8">
        <v>40275</v>
      </c>
      <c r="F4220" s="8">
        <v>40280</v>
      </c>
      <c r="G4220" s="8">
        <v>40275</v>
      </c>
      <c r="Y4220" s="8"/>
    </row>
    <row r="4221" spans="1:25" x14ac:dyDescent="0.25">
      <c r="A4221" t="str">
        <f>"10-0260"</f>
        <v>10-0260</v>
      </c>
      <c r="D4221" s="8">
        <v>40275</v>
      </c>
      <c r="F4221" s="8">
        <v>40275</v>
      </c>
      <c r="G4221" s="8">
        <v>40275</v>
      </c>
      <c r="Y4221" s="8"/>
    </row>
    <row r="4222" spans="1:25" x14ac:dyDescent="0.25">
      <c r="A4222" t="str">
        <f>"10-0261"</f>
        <v>10-0261</v>
      </c>
      <c r="D4222" s="8">
        <v>40275</v>
      </c>
      <c r="F4222" s="8">
        <v>40275</v>
      </c>
      <c r="G4222" s="8">
        <v>40275</v>
      </c>
      <c r="Y4222" s="8"/>
    </row>
    <row r="4223" spans="1:25" x14ac:dyDescent="0.25">
      <c r="A4223" t="str">
        <f>"10-0253"</f>
        <v>10-0253</v>
      </c>
      <c r="D4223" s="8">
        <v>40274</v>
      </c>
      <c r="F4223" s="8">
        <v>40274</v>
      </c>
      <c r="G4223" s="8">
        <v>40274</v>
      </c>
      <c r="Y4223" s="8"/>
    </row>
    <row r="4224" spans="1:25" x14ac:dyDescent="0.25">
      <c r="A4224" t="str">
        <f>"10-0254"</f>
        <v>10-0254</v>
      </c>
      <c r="D4224" s="8">
        <v>40274</v>
      </c>
      <c r="F4224" s="8">
        <v>40281</v>
      </c>
      <c r="G4224" s="8">
        <v>40274</v>
      </c>
      <c r="Y4224" s="8"/>
    </row>
    <row r="4225" spans="1:25" x14ac:dyDescent="0.25">
      <c r="A4225" t="str">
        <f>"10-0255"</f>
        <v>10-0255</v>
      </c>
      <c r="D4225" s="8">
        <v>40274</v>
      </c>
      <c r="F4225" s="8">
        <v>40274</v>
      </c>
      <c r="G4225" s="8">
        <v>40274</v>
      </c>
      <c r="Y4225" s="8"/>
    </row>
    <row r="4226" spans="1:25" x14ac:dyDescent="0.25">
      <c r="A4226" t="str">
        <f>"10-0250"</f>
        <v>10-0250</v>
      </c>
      <c r="D4226" s="8">
        <v>40270</v>
      </c>
      <c r="F4226" s="8">
        <v>40270</v>
      </c>
      <c r="G4226" s="8">
        <v>40270</v>
      </c>
      <c r="Y4226" s="8"/>
    </row>
    <row r="4227" spans="1:25" x14ac:dyDescent="0.25">
      <c r="A4227" t="str">
        <f>"10-0252"</f>
        <v>10-0252</v>
      </c>
      <c r="D4227" s="8">
        <v>40270</v>
      </c>
      <c r="F4227" s="8">
        <v>40280</v>
      </c>
      <c r="G4227" s="8">
        <v>40277</v>
      </c>
      <c r="Y4227" s="8"/>
    </row>
    <row r="4228" spans="1:25" x14ac:dyDescent="0.25">
      <c r="A4228" t="str">
        <f>"10-0225"</f>
        <v>10-0225</v>
      </c>
      <c r="D4228" s="8">
        <v>40269</v>
      </c>
      <c r="F4228" s="8">
        <v>40427</v>
      </c>
      <c r="G4228" s="8">
        <v>40269</v>
      </c>
      <c r="Y4228" s="8"/>
    </row>
    <row r="4229" spans="1:25" x14ac:dyDescent="0.25">
      <c r="A4229" t="str">
        <f>"10-0246"</f>
        <v>10-0246</v>
      </c>
      <c r="D4229" s="8">
        <v>40269</v>
      </c>
      <c r="F4229" s="8">
        <v>40269</v>
      </c>
      <c r="G4229" s="8">
        <v>40269</v>
      </c>
      <c r="Y4229" s="8"/>
    </row>
    <row r="4230" spans="1:25" x14ac:dyDescent="0.25">
      <c r="A4230" t="str">
        <f>"10-0247"</f>
        <v>10-0247</v>
      </c>
      <c r="D4230" s="8">
        <v>40269</v>
      </c>
      <c r="F4230" s="8">
        <v>40269</v>
      </c>
      <c r="G4230" s="8">
        <v>40269</v>
      </c>
      <c r="Y4230" s="8"/>
    </row>
    <row r="4231" spans="1:25" x14ac:dyDescent="0.25">
      <c r="A4231" t="str">
        <f>"10-0248"</f>
        <v>10-0248</v>
      </c>
      <c r="D4231" s="8">
        <v>40269</v>
      </c>
      <c r="F4231" s="8">
        <v>40269</v>
      </c>
      <c r="G4231" s="8">
        <v>40269</v>
      </c>
      <c r="Y4231" s="8"/>
    </row>
    <row r="4232" spans="1:25" x14ac:dyDescent="0.25">
      <c r="A4232" t="str">
        <f>"10-0249"</f>
        <v>10-0249</v>
      </c>
      <c r="D4232" s="8">
        <v>40269</v>
      </c>
      <c r="F4232" s="8">
        <v>40269</v>
      </c>
      <c r="G4232" s="8">
        <v>40269</v>
      </c>
      <c r="Y4232" s="8"/>
    </row>
    <row r="4233" spans="1:25" x14ac:dyDescent="0.25">
      <c r="A4233" t="str">
        <f>"10-0076B"</f>
        <v>10-0076B</v>
      </c>
      <c r="D4233" s="8">
        <v>40268</v>
      </c>
      <c r="F4233" s="8">
        <v>40269</v>
      </c>
      <c r="G4233" s="8">
        <v>40268</v>
      </c>
      <c r="Y4233" s="8"/>
    </row>
    <row r="4234" spans="1:25" x14ac:dyDescent="0.25">
      <c r="A4234" t="str">
        <f>"10-0243"</f>
        <v>10-0243</v>
      </c>
      <c r="D4234" s="8">
        <v>40268</v>
      </c>
      <c r="F4234" s="8">
        <v>40268</v>
      </c>
      <c r="G4234" s="8">
        <v>40268</v>
      </c>
      <c r="Y4234" s="8"/>
    </row>
    <row r="4235" spans="1:25" x14ac:dyDescent="0.25">
      <c r="A4235" t="str">
        <f>"10-0244"</f>
        <v>10-0244</v>
      </c>
      <c r="D4235" s="8">
        <v>40268</v>
      </c>
      <c r="F4235" s="8">
        <v>40268</v>
      </c>
      <c r="G4235" s="8">
        <v>40268</v>
      </c>
      <c r="Y4235" s="8"/>
    </row>
    <row r="4236" spans="1:25" x14ac:dyDescent="0.25">
      <c r="A4236" t="str">
        <f>"10-0245"</f>
        <v>10-0245</v>
      </c>
      <c r="D4236" s="8">
        <v>40268</v>
      </c>
      <c r="F4236" s="8">
        <v>40270</v>
      </c>
      <c r="G4236" s="8">
        <v>40268</v>
      </c>
      <c r="Y4236" s="8"/>
    </row>
    <row r="4237" spans="1:25" x14ac:dyDescent="0.25">
      <c r="A4237" t="str">
        <f>"10-0239"</f>
        <v>10-0239</v>
      </c>
      <c r="D4237" s="8">
        <v>40267</v>
      </c>
      <c r="F4237" s="8">
        <v>40269</v>
      </c>
      <c r="G4237" s="8">
        <v>40268</v>
      </c>
      <c r="Y4237" s="8"/>
    </row>
    <row r="4238" spans="1:25" x14ac:dyDescent="0.25">
      <c r="A4238" t="str">
        <f>"10-0240"</f>
        <v>10-0240</v>
      </c>
      <c r="D4238" s="8">
        <v>40267</v>
      </c>
      <c r="F4238" s="8">
        <v>40269</v>
      </c>
      <c r="G4238" s="8">
        <v>40268</v>
      </c>
      <c r="Y4238" s="8"/>
    </row>
    <row r="4239" spans="1:25" x14ac:dyDescent="0.25">
      <c r="A4239" t="str">
        <f>"10-0241"</f>
        <v>10-0241</v>
      </c>
      <c r="D4239" s="8">
        <v>40267</v>
      </c>
      <c r="F4239" s="8">
        <v>40267</v>
      </c>
      <c r="G4239" s="8">
        <v>40267</v>
      </c>
      <c r="Y4239" s="8"/>
    </row>
    <row r="4240" spans="1:25" x14ac:dyDescent="0.25">
      <c r="A4240" t="str">
        <f>"10-0242"</f>
        <v>10-0242</v>
      </c>
      <c r="D4240" s="8">
        <v>40267</v>
      </c>
      <c r="F4240" s="8">
        <v>40267</v>
      </c>
      <c r="G4240" s="8">
        <v>40267</v>
      </c>
      <c r="Y4240" s="8"/>
    </row>
    <row r="4241" spans="1:25" x14ac:dyDescent="0.25">
      <c r="A4241" t="str">
        <f>"10-0218B"</f>
        <v>10-0218B</v>
      </c>
      <c r="D4241" s="8">
        <v>40266</v>
      </c>
      <c r="F4241" s="8">
        <v>40266</v>
      </c>
      <c r="G4241" s="8">
        <v>40266</v>
      </c>
      <c r="Y4241" s="8"/>
    </row>
    <row r="4242" spans="1:25" x14ac:dyDescent="0.25">
      <c r="A4242" t="str">
        <f>"10-0232"</f>
        <v>10-0232</v>
      </c>
      <c r="D4242" s="8">
        <v>40266</v>
      </c>
      <c r="F4242" s="8">
        <v>40266</v>
      </c>
      <c r="G4242" s="8">
        <v>40266</v>
      </c>
      <c r="Y4242" s="8"/>
    </row>
    <row r="4243" spans="1:25" x14ac:dyDescent="0.25">
      <c r="A4243" t="str">
        <f>"10-0233"</f>
        <v>10-0233</v>
      </c>
      <c r="D4243" s="8">
        <v>40266</v>
      </c>
      <c r="F4243" s="8">
        <v>40266</v>
      </c>
      <c r="G4243" s="8">
        <v>40266</v>
      </c>
      <c r="Y4243" s="8"/>
    </row>
    <row r="4244" spans="1:25" x14ac:dyDescent="0.25">
      <c r="A4244" t="str">
        <f>"10-0234"</f>
        <v>10-0234</v>
      </c>
      <c r="D4244" s="8">
        <v>40266</v>
      </c>
      <c r="F4244" s="8">
        <v>40266</v>
      </c>
      <c r="G4244" s="8">
        <v>40266</v>
      </c>
      <c r="Y4244" s="8"/>
    </row>
    <row r="4245" spans="1:25" x14ac:dyDescent="0.25">
      <c r="A4245" t="str">
        <f>"10-0235"</f>
        <v>10-0235</v>
      </c>
      <c r="D4245" s="8">
        <v>40266</v>
      </c>
      <c r="F4245" s="8">
        <v>40266</v>
      </c>
      <c r="G4245" s="8">
        <v>40266</v>
      </c>
      <c r="Y4245" s="8"/>
    </row>
    <row r="4246" spans="1:25" x14ac:dyDescent="0.25">
      <c r="A4246" t="str">
        <f>"10-0236"</f>
        <v>10-0236</v>
      </c>
      <c r="D4246" s="8">
        <v>40266</v>
      </c>
      <c r="F4246" s="8">
        <v>40266</v>
      </c>
      <c r="G4246" s="8">
        <v>40266</v>
      </c>
      <c r="Y4246" s="8"/>
    </row>
    <row r="4247" spans="1:25" x14ac:dyDescent="0.25">
      <c r="A4247" t="str">
        <f>"10-0237"</f>
        <v>10-0237</v>
      </c>
      <c r="D4247" s="8">
        <v>40266</v>
      </c>
      <c r="F4247" s="8">
        <v>40266</v>
      </c>
      <c r="G4247" s="8">
        <v>40266</v>
      </c>
      <c r="Y4247" s="8"/>
    </row>
    <row r="4248" spans="1:25" x14ac:dyDescent="0.25">
      <c r="A4248" t="str">
        <f>"10-0238"</f>
        <v>10-0238</v>
      </c>
      <c r="D4248" s="8">
        <v>40266</v>
      </c>
      <c r="F4248" s="8">
        <v>40274</v>
      </c>
      <c r="G4248" s="8">
        <v>40268</v>
      </c>
      <c r="Y4248" s="8"/>
    </row>
    <row r="4249" spans="1:25" x14ac:dyDescent="0.25">
      <c r="A4249" t="str">
        <f>"10-0231"</f>
        <v>10-0231</v>
      </c>
      <c r="D4249" s="8">
        <v>40263</v>
      </c>
      <c r="F4249" s="8">
        <v>40263</v>
      </c>
      <c r="G4249" s="8">
        <v>40263</v>
      </c>
      <c r="Y4249" s="8"/>
    </row>
    <row r="4250" spans="1:25" x14ac:dyDescent="0.25">
      <c r="A4250" t="str">
        <f>"10-0224"</f>
        <v>10-0224</v>
      </c>
      <c r="D4250" s="8">
        <v>40262</v>
      </c>
      <c r="F4250" s="8">
        <v>40262</v>
      </c>
      <c r="G4250" s="8">
        <v>40262</v>
      </c>
      <c r="Y4250" s="8"/>
    </row>
    <row r="4251" spans="1:25" x14ac:dyDescent="0.25">
      <c r="A4251" t="str">
        <f>"10-0226"</f>
        <v>10-0226</v>
      </c>
      <c r="D4251" s="8">
        <v>40262</v>
      </c>
      <c r="F4251" s="8">
        <v>40262</v>
      </c>
      <c r="G4251" s="8">
        <v>40262</v>
      </c>
      <c r="Y4251" s="8"/>
    </row>
    <row r="4252" spans="1:25" x14ac:dyDescent="0.25">
      <c r="A4252" t="str">
        <f>"10-0227"</f>
        <v>10-0227</v>
      </c>
      <c r="D4252" s="8">
        <v>40262</v>
      </c>
      <c r="F4252" s="8">
        <v>40262</v>
      </c>
      <c r="G4252" s="8">
        <v>40262</v>
      </c>
      <c r="Y4252" s="8"/>
    </row>
    <row r="4253" spans="1:25" x14ac:dyDescent="0.25">
      <c r="A4253" t="str">
        <f>"10-0228"</f>
        <v>10-0228</v>
      </c>
      <c r="D4253" s="8">
        <v>40262</v>
      </c>
      <c r="F4253" s="8">
        <v>40262</v>
      </c>
      <c r="G4253" s="8">
        <v>40262</v>
      </c>
      <c r="Y4253" s="8"/>
    </row>
    <row r="4254" spans="1:25" x14ac:dyDescent="0.25">
      <c r="A4254" t="str">
        <f>"10-0229"</f>
        <v>10-0229</v>
      </c>
      <c r="D4254" s="8">
        <v>40262</v>
      </c>
      <c r="F4254" s="8">
        <v>40262</v>
      </c>
      <c r="G4254" s="8">
        <v>40262</v>
      </c>
      <c r="Y4254" s="8"/>
    </row>
    <row r="4255" spans="1:25" x14ac:dyDescent="0.25">
      <c r="A4255" t="str">
        <f>"10-0230"</f>
        <v>10-0230</v>
      </c>
      <c r="D4255" s="8">
        <v>40262</v>
      </c>
      <c r="F4255" s="8">
        <v>40262</v>
      </c>
      <c r="G4255" s="8">
        <v>40262</v>
      </c>
      <c r="Y4255" s="8"/>
    </row>
    <row r="4256" spans="1:25" x14ac:dyDescent="0.25">
      <c r="A4256" t="str">
        <f>"10-0220"</f>
        <v>10-0220</v>
      </c>
      <c r="D4256" s="8">
        <v>40261</v>
      </c>
      <c r="F4256" s="8">
        <v>40261</v>
      </c>
      <c r="G4256" s="8">
        <v>40261</v>
      </c>
      <c r="Y4256" s="8"/>
    </row>
    <row r="4257" spans="1:25" x14ac:dyDescent="0.25">
      <c r="A4257" t="str">
        <f>"10-0221"</f>
        <v>10-0221</v>
      </c>
      <c r="D4257" s="8">
        <v>40261</v>
      </c>
      <c r="F4257" s="8">
        <v>40269</v>
      </c>
      <c r="G4257" s="8">
        <v>40263</v>
      </c>
      <c r="Y4257" s="8"/>
    </row>
    <row r="4258" spans="1:25" x14ac:dyDescent="0.25">
      <c r="A4258" t="str">
        <f>"10-0222"</f>
        <v>10-0222</v>
      </c>
      <c r="D4258" s="8">
        <v>40261</v>
      </c>
      <c r="F4258" s="8">
        <v>40261</v>
      </c>
      <c r="G4258" s="8">
        <v>40262</v>
      </c>
      <c r="Y4258" s="8"/>
    </row>
    <row r="4259" spans="1:25" x14ac:dyDescent="0.25">
      <c r="A4259" t="str">
        <f>"10-0223"</f>
        <v>10-0223</v>
      </c>
      <c r="D4259" s="8">
        <v>40261</v>
      </c>
      <c r="F4259" s="8">
        <v>40268</v>
      </c>
      <c r="G4259" s="8">
        <v>40261</v>
      </c>
      <c r="Y4259" s="8"/>
    </row>
    <row r="4260" spans="1:25" x14ac:dyDescent="0.25">
      <c r="A4260" t="str">
        <f>"10-0217"</f>
        <v>10-0217</v>
      </c>
      <c r="D4260" s="8">
        <v>40260</v>
      </c>
      <c r="F4260" s="8">
        <v>40260</v>
      </c>
      <c r="G4260" s="8">
        <v>40260</v>
      </c>
      <c r="Y4260" s="8"/>
    </row>
    <row r="4261" spans="1:25" x14ac:dyDescent="0.25">
      <c r="A4261" t="str">
        <f>"10-0218"</f>
        <v>10-0218</v>
      </c>
      <c r="D4261" s="8">
        <v>40260</v>
      </c>
      <c r="F4261" s="8">
        <v>40262</v>
      </c>
      <c r="G4261" s="8">
        <v>40261</v>
      </c>
      <c r="Y4261" s="8"/>
    </row>
    <row r="4262" spans="1:25" x14ac:dyDescent="0.25">
      <c r="A4262" t="str">
        <f>"10-0219"</f>
        <v>10-0219</v>
      </c>
      <c r="D4262" s="8">
        <v>40260</v>
      </c>
      <c r="F4262" s="8">
        <v>40268</v>
      </c>
      <c r="G4262" s="8">
        <v>40262</v>
      </c>
      <c r="Y4262" s="8"/>
    </row>
    <row r="4263" spans="1:25" x14ac:dyDescent="0.25">
      <c r="A4263" t="str">
        <f>"10-0213B"</f>
        <v>10-0213B</v>
      </c>
      <c r="D4263" s="8">
        <v>40259</v>
      </c>
      <c r="F4263" s="8">
        <v>40259</v>
      </c>
      <c r="G4263" s="8">
        <v>40259</v>
      </c>
      <c r="Y4263" s="8"/>
    </row>
    <row r="4264" spans="1:25" x14ac:dyDescent="0.25">
      <c r="A4264" t="str">
        <f>"10-0214"</f>
        <v>10-0214</v>
      </c>
      <c r="D4264" s="8">
        <v>40259</v>
      </c>
      <c r="F4264" s="8">
        <v>40259</v>
      </c>
      <c r="G4264" s="8">
        <v>40256</v>
      </c>
      <c r="Y4264" s="8"/>
    </row>
    <row r="4265" spans="1:25" x14ac:dyDescent="0.25">
      <c r="A4265" t="str">
        <f>"10-0215"</f>
        <v>10-0215</v>
      </c>
      <c r="D4265" s="8">
        <v>40259</v>
      </c>
      <c r="F4265" s="8">
        <v>40259</v>
      </c>
      <c r="G4265" s="8">
        <v>40260</v>
      </c>
      <c r="Y4265" s="8"/>
    </row>
    <row r="4266" spans="1:25" x14ac:dyDescent="0.25">
      <c r="A4266" t="str">
        <f>"10-0216"</f>
        <v>10-0216</v>
      </c>
      <c r="D4266" s="8">
        <v>40259</v>
      </c>
      <c r="F4266" s="8">
        <v>40262</v>
      </c>
      <c r="G4266" s="8">
        <v>40259</v>
      </c>
      <c r="Y4266" s="8"/>
    </row>
    <row r="4267" spans="1:25" x14ac:dyDescent="0.25">
      <c r="A4267" t="str">
        <f>"10-0210"</f>
        <v>10-0210</v>
      </c>
      <c r="D4267" s="8">
        <v>40256</v>
      </c>
      <c r="F4267" s="8">
        <v>40256</v>
      </c>
      <c r="G4267" s="8">
        <v>40256</v>
      </c>
      <c r="Y4267" s="8"/>
    </row>
    <row r="4268" spans="1:25" x14ac:dyDescent="0.25">
      <c r="A4268" t="str">
        <f>"10-0211"</f>
        <v>10-0211</v>
      </c>
      <c r="D4268" s="8">
        <v>40256</v>
      </c>
      <c r="F4268" s="8">
        <v>40256</v>
      </c>
      <c r="G4268" s="8">
        <v>40256</v>
      </c>
      <c r="Y4268" s="8"/>
    </row>
    <row r="4269" spans="1:25" x14ac:dyDescent="0.25">
      <c r="A4269" t="str">
        <f>"10-0212"</f>
        <v>10-0212</v>
      </c>
      <c r="D4269" s="8">
        <v>40256</v>
      </c>
      <c r="F4269" s="8">
        <v>40256</v>
      </c>
      <c r="G4269" s="8">
        <v>40256</v>
      </c>
      <c r="Y4269" s="8"/>
    </row>
    <row r="4270" spans="1:25" x14ac:dyDescent="0.25">
      <c r="A4270" t="str">
        <f>"10-0213"</f>
        <v>10-0213</v>
      </c>
      <c r="D4270" s="8">
        <v>40256</v>
      </c>
      <c r="F4270" s="8">
        <v>40256</v>
      </c>
      <c r="G4270" s="8">
        <v>40256</v>
      </c>
      <c r="Y4270" s="8"/>
    </row>
    <row r="4271" spans="1:25" x14ac:dyDescent="0.25">
      <c r="A4271" t="str">
        <f>"09-0497B"</f>
        <v>09-0497B</v>
      </c>
      <c r="D4271" s="8">
        <v>40255</v>
      </c>
      <c r="F4271" s="8">
        <v>40263</v>
      </c>
      <c r="G4271" s="8">
        <v>40255</v>
      </c>
      <c r="Y4271" s="8"/>
    </row>
    <row r="4272" spans="1:25" x14ac:dyDescent="0.25">
      <c r="A4272" t="str">
        <f>"10-0140B"</f>
        <v>10-0140B</v>
      </c>
      <c r="D4272" s="8">
        <v>40255</v>
      </c>
      <c r="F4272" s="8">
        <v>40261</v>
      </c>
      <c r="G4272" s="8">
        <v>40255</v>
      </c>
      <c r="Y4272" s="8"/>
    </row>
    <row r="4273" spans="1:25" x14ac:dyDescent="0.25">
      <c r="A4273" t="str">
        <f>"10-0206B"</f>
        <v>10-0206B</v>
      </c>
      <c r="D4273" s="8">
        <v>40255</v>
      </c>
      <c r="F4273" s="8">
        <v>40255</v>
      </c>
      <c r="G4273" s="8">
        <v>40255</v>
      </c>
      <c r="Y4273" s="8"/>
    </row>
    <row r="4274" spans="1:25" x14ac:dyDescent="0.25">
      <c r="A4274" t="str">
        <f>"10-0209"</f>
        <v>10-0209</v>
      </c>
      <c r="D4274" s="8">
        <v>40255</v>
      </c>
      <c r="F4274" s="8">
        <v>40255</v>
      </c>
      <c r="G4274" s="8">
        <v>40255</v>
      </c>
      <c r="Y4274" s="8"/>
    </row>
    <row r="4275" spans="1:25" x14ac:dyDescent="0.25">
      <c r="A4275" t="str">
        <f>"10-0202"</f>
        <v>10-0202</v>
      </c>
      <c r="D4275" s="8">
        <v>40254</v>
      </c>
      <c r="F4275" s="8">
        <v>40254</v>
      </c>
      <c r="G4275" s="8">
        <v>40254</v>
      </c>
      <c r="Y4275" s="8"/>
    </row>
    <row r="4276" spans="1:25" x14ac:dyDescent="0.25">
      <c r="A4276" t="str">
        <f>"10-0203"</f>
        <v>10-0203</v>
      </c>
      <c r="D4276" s="8">
        <v>40254</v>
      </c>
      <c r="F4276" s="8">
        <v>40254</v>
      </c>
      <c r="G4276" s="8">
        <v>40254</v>
      </c>
      <c r="Y4276" s="8"/>
    </row>
    <row r="4277" spans="1:25" x14ac:dyDescent="0.25">
      <c r="A4277" t="str">
        <f>"10-0204"</f>
        <v>10-0204</v>
      </c>
      <c r="D4277" s="8">
        <v>40254</v>
      </c>
      <c r="F4277" s="8">
        <v>40254</v>
      </c>
      <c r="G4277" s="8">
        <v>40254</v>
      </c>
      <c r="Y4277" s="8"/>
    </row>
    <row r="4278" spans="1:25" x14ac:dyDescent="0.25">
      <c r="A4278" t="str">
        <f>"10-0205"</f>
        <v>10-0205</v>
      </c>
      <c r="D4278" s="8">
        <v>40254</v>
      </c>
      <c r="G4278" s="8">
        <v>40259</v>
      </c>
    </row>
    <row r="4279" spans="1:25" x14ac:dyDescent="0.25">
      <c r="A4279" t="str">
        <f>"10-0206"</f>
        <v>10-0206</v>
      </c>
      <c r="D4279" s="8">
        <v>40254</v>
      </c>
      <c r="F4279" s="8">
        <v>40254</v>
      </c>
      <c r="G4279" s="8">
        <v>40254</v>
      </c>
      <c r="Y4279" s="8"/>
    </row>
    <row r="4280" spans="1:25" x14ac:dyDescent="0.25">
      <c r="A4280" t="str">
        <f>"10-0207"</f>
        <v>10-0207</v>
      </c>
      <c r="D4280" s="8">
        <v>40254</v>
      </c>
      <c r="F4280" s="8">
        <v>40254</v>
      </c>
      <c r="G4280" s="8">
        <v>40254</v>
      </c>
      <c r="Y4280" s="8"/>
    </row>
    <row r="4281" spans="1:25" x14ac:dyDescent="0.25">
      <c r="A4281" t="str">
        <f>"10-0208"</f>
        <v>10-0208</v>
      </c>
      <c r="D4281" s="8">
        <v>40254</v>
      </c>
      <c r="F4281" s="8">
        <v>40254</v>
      </c>
      <c r="G4281" s="8">
        <v>40254</v>
      </c>
      <c r="Y4281" s="8"/>
    </row>
    <row r="4282" spans="1:25" x14ac:dyDescent="0.25">
      <c r="A4282" t="str">
        <f>"10-0198"</f>
        <v>10-0198</v>
      </c>
      <c r="D4282" s="8">
        <v>40253</v>
      </c>
      <c r="F4282" s="8">
        <v>40302</v>
      </c>
      <c r="G4282" s="8">
        <v>40253</v>
      </c>
      <c r="Y4282" s="8"/>
    </row>
    <row r="4283" spans="1:25" x14ac:dyDescent="0.25">
      <c r="A4283" t="str">
        <f>"10-0199"</f>
        <v>10-0199</v>
      </c>
      <c r="D4283" s="8">
        <v>40253</v>
      </c>
      <c r="F4283" s="8">
        <v>40253</v>
      </c>
      <c r="G4283" s="8">
        <v>40253</v>
      </c>
      <c r="Y4283" s="8"/>
    </row>
    <row r="4284" spans="1:25" x14ac:dyDescent="0.25">
      <c r="A4284" t="str">
        <f>"10-0200"</f>
        <v>10-0200</v>
      </c>
      <c r="D4284" s="8">
        <v>40253</v>
      </c>
      <c r="F4284" s="8">
        <v>40253</v>
      </c>
      <c r="G4284" s="8">
        <v>40253</v>
      </c>
      <c r="Y4284" s="8"/>
    </row>
    <row r="4285" spans="1:25" x14ac:dyDescent="0.25">
      <c r="A4285" t="str">
        <f>"10-0201"</f>
        <v>10-0201</v>
      </c>
      <c r="D4285" s="8">
        <v>40253</v>
      </c>
      <c r="F4285" s="8">
        <v>40253</v>
      </c>
      <c r="G4285" s="8">
        <v>40253</v>
      </c>
      <c r="Y4285" s="8"/>
    </row>
    <row r="4286" spans="1:25" x14ac:dyDescent="0.25">
      <c r="A4286" t="str">
        <f>"10-0193"</f>
        <v>10-0193</v>
      </c>
      <c r="D4286" s="8">
        <v>40252</v>
      </c>
      <c r="F4286" s="8">
        <v>40252</v>
      </c>
      <c r="G4286" s="8">
        <v>40252</v>
      </c>
      <c r="Y4286" s="8"/>
    </row>
    <row r="4287" spans="1:25" x14ac:dyDescent="0.25">
      <c r="A4287" t="str">
        <f>"10-0194"</f>
        <v>10-0194</v>
      </c>
      <c r="D4287" s="8">
        <v>40252</v>
      </c>
      <c r="F4287" s="8">
        <v>40252</v>
      </c>
      <c r="G4287" s="8">
        <v>40252</v>
      </c>
      <c r="Y4287" s="8"/>
    </row>
    <row r="4288" spans="1:25" x14ac:dyDescent="0.25">
      <c r="A4288" t="str">
        <f>"10-0195"</f>
        <v>10-0195</v>
      </c>
      <c r="D4288" s="8">
        <v>40252</v>
      </c>
      <c r="F4288" s="8">
        <v>40252</v>
      </c>
      <c r="G4288" s="8">
        <v>40252</v>
      </c>
      <c r="Y4288" s="8"/>
    </row>
    <row r="4289" spans="1:25" x14ac:dyDescent="0.25">
      <c r="A4289" t="str">
        <f>"10-0196"</f>
        <v>10-0196</v>
      </c>
      <c r="D4289" s="8">
        <v>40252</v>
      </c>
      <c r="F4289" s="8">
        <v>40252</v>
      </c>
      <c r="G4289" s="8">
        <v>40252</v>
      </c>
      <c r="Y4289" s="8"/>
    </row>
    <row r="4290" spans="1:25" x14ac:dyDescent="0.25">
      <c r="A4290" t="str">
        <f>"10-0197"</f>
        <v>10-0197</v>
      </c>
      <c r="D4290" s="8">
        <v>40252</v>
      </c>
      <c r="F4290" s="8">
        <v>40252</v>
      </c>
      <c r="G4290" s="8">
        <v>40252</v>
      </c>
      <c r="Y4290" s="8"/>
    </row>
    <row r="4291" spans="1:25" x14ac:dyDescent="0.25">
      <c r="A4291" t="str">
        <f>"10-0191"</f>
        <v>10-0191</v>
      </c>
      <c r="D4291" s="8">
        <v>40249</v>
      </c>
      <c r="F4291" s="8">
        <v>40249</v>
      </c>
      <c r="G4291" s="8">
        <v>40249</v>
      </c>
      <c r="Y4291" s="8"/>
    </row>
    <row r="4292" spans="1:25" x14ac:dyDescent="0.25">
      <c r="A4292" t="str">
        <f>"10-0192"</f>
        <v>10-0192</v>
      </c>
      <c r="D4292" s="8">
        <v>40249</v>
      </c>
      <c r="F4292" s="8">
        <v>40252</v>
      </c>
      <c r="G4292" s="8">
        <v>40252</v>
      </c>
      <c r="Y4292" s="8"/>
    </row>
    <row r="4293" spans="1:25" x14ac:dyDescent="0.25">
      <c r="A4293" t="str">
        <f>"10-0188"</f>
        <v>10-0188</v>
      </c>
      <c r="D4293" s="8">
        <v>40248</v>
      </c>
      <c r="F4293" s="8">
        <v>40248</v>
      </c>
      <c r="G4293" s="8">
        <v>40248</v>
      </c>
      <c r="Y4293" s="8"/>
    </row>
    <row r="4294" spans="1:25" x14ac:dyDescent="0.25">
      <c r="A4294" t="str">
        <f>"10-0189"</f>
        <v>10-0189</v>
      </c>
      <c r="D4294" s="8">
        <v>40248</v>
      </c>
      <c r="F4294" s="8">
        <v>40248</v>
      </c>
      <c r="G4294" s="8">
        <v>40248</v>
      </c>
      <c r="Y4294" s="8"/>
    </row>
    <row r="4295" spans="1:25" x14ac:dyDescent="0.25">
      <c r="A4295" t="str">
        <f>"10-0190"</f>
        <v>10-0190</v>
      </c>
      <c r="D4295" s="8">
        <v>40248</v>
      </c>
      <c r="F4295" s="8">
        <v>40248</v>
      </c>
      <c r="G4295" s="8">
        <v>40248</v>
      </c>
      <c r="Y4295" s="8"/>
    </row>
    <row r="4296" spans="1:25" x14ac:dyDescent="0.25">
      <c r="A4296" t="str">
        <f>"10-0184"</f>
        <v>10-0184</v>
      </c>
      <c r="D4296" s="8">
        <v>40247</v>
      </c>
      <c r="F4296" s="8">
        <v>40247</v>
      </c>
      <c r="G4296" s="8">
        <v>40249</v>
      </c>
      <c r="Y4296" s="8"/>
    </row>
    <row r="4297" spans="1:25" x14ac:dyDescent="0.25">
      <c r="A4297" t="str">
        <f>"10-0185"</f>
        <v>10-0185</v>
      </c>
      <c r="D4297" s="8">
        <v>40247</v>
      </c>
      <c r="F4297" s="8">
        <v>40247</v>
      </c>
      <c r="G4297" s="8">
        <v>40247</v>
      </c>
      <c r="Y4297" s="8"/>
    </row>
    <row r="4298" spans="1:25" x14ac:dyDescent="0.25">
      <c r="A4298" t="str">
        <f>"10-0186"</f>
        <v>10-0186</v>
      </c>
      <c r="D4298" s="8">
        <v>40247</v>
      </c>
      <c r="F4298" s="8">
        <v>40247</v>
      </c>
      <c r="G4298" s="8">
        <v>40249</v>
      </c>
      <c r="Y4298" s="8"/>
    </row>
    <row r="4299" spans="1:25" x14ac:dyDescent="0.25">
      <c r="A4299" t="str">
        <f>"10-0187"</f>
        <v>10-0187</v>
      </c>
      <c r="D4299" s="8">
        <v>40247</v>
      </c>
      <c r="F4299" s="8">
        <v>40331</v>
      </c>
      <c r="G4299" s="8">
        <v>40247</v>
      </c>
      <c r="Y4299" s="8"/>
    </row>
    <row r="4300" spans="1:25" x14ac:dyDescent="0.25">
      <c r="A4300" t="str">
        <f>"10-0031B"</f>
        <v>10-0031B</v>
      </c>
      <c r="D4300" s="8">
        <v>40246</v>
      </c>
      <c r="F4300" s="8">
        <v>40246</v>
      </c>
      <c r="G4300" s="8">
        <v>40246</v>
      </c>
      <c r="Y4300" s="8"/>
    </row>
    <row r="4301" spans="1:25" x14ac:dyDescent="0.25">
      <c r="A4301" t="str">
        <f>"10-0178"</f>
        <v>10-0178</v>
      </c>
      <c r="D4301" s="8">
        <v>40246</v>
      </c>
      <c r="F4301" s="8">
        <v>40253</v>
      </c>
      <c r="G4301" s="8">
        <v>40246</v>
      </c>
      <c r="Y4301" s="8"/>
    </row>
    <row r="4302" spans="1:25" x14ac:dyDescent="0.25">
      <c r="A4302" t="str">
        <f>"10-0179"</f>
        <v>10-0179</v>
      </c>
      <c r="D4302" s="8">
        <v>40246</v>
      </c>
      <c r="F4302" s="8">
        <v>40255</v>
      </c>
      <c r="G4302" s="8">
        <v>40246</v>
      </c>
      <c r="Y4302" s="8"/>
    </row>
    <row r="4303" spans="1:25" x14ac:dyDescent="0.25">
      <c r="A4303" t="str">
        <f>"10-0180"</f>
        <v>10-0180</v>
      </c>
      <c r="D4303" s="8">
        <v>40246</v>
      </c>
      <c r="F4303" s="8">
        <v>40246</v>
      </c>
      <c r="G4303" s="8">
        <v>40246</v>
      </c>
      <c r="Y4303" s="8"/>
    </row>
    <row r="4304" spans="1:25" x14ac:dyDescent="0.25">
      <c r="A4304" t="str">
        <f>"10-0181"</f>
        <v>10-0181</v>
      </c>
      <c r="D4304" s="8">
        <v>40246</v>
      </c>
      <c r="F4304" s="8">
        <v>40246</v>
      </c>
      <c r="G4304" s="8">
        <v>40246</v>
      </c>
      <c r="Y4304" s="8"/>
    </row>
    <row r="4305" spans="1:25" x14ac:dyDescent="0.25">
      <c r="A4305" t="str">
        <f>"10-0182"</f>
        <v>10-0182</v>
      </c>
      <c r="D4305" s="8">
        <v>40246</v>
      </c>
      <c r="F4305" s="8">
        <v>40246</v>
      </c>
      <c r="G4305" s="8">
        <v>40246</v>
      </c>
      <c r="Y4305" s="8"/>
    </row>
    <row r="4306" spans="1:25" x14ac:dyDescent="0.25">
      <c r="A4306" t="str">
        <f>"10-0183"</f>
        <v>10-0183</v>
      </c>
      <c r="D4306" s="8">
        <v>40246</v>
      </c>
      <c r="F4306" s="8">
        <v>40248</v>
      </c>
      <c r="G4306" s="8">
        <v>40246</v>
      </c>
      <c r="Y4306" s="8"/>
    </row>
    <row r="4307" spans="1:25" x14ac:dyDescent="0.25">
      <c r="A4307" t="str">
        <f>"10-0176"</f>
        <v>10-0176</v>
      </c>
      <c r="D4307" s="8">
        <v>40245</v>
      </c>
      <c r="F4307" s="8">
        <v>40245</v>
      </c>
      <c r="G4307" s="8">
        <v>40245</v>
      </c>
      <c r="Y4307" s="8"/>
    </row>
    <row r="4308" spans="1:25" x14ac:dyDescent="0.25">
      <c r="A4308" t="str">
        <f>"10-0177"</f>
        <v>10-0177</v>
      </c>
      <c r="D4308" s="8">
        <v>40245</v>
      </c>
      <c r="F4308" s="8">
        <v>40245</v>
      </c>
      <c r="G4308" s="8">
        <v>40245</v>
      </c>
      <c r="Y4308" s="8"/>
    </row>
    <row r="4309" spans="1:25" x14ac:dyDescent="0.25">
      <c r="A4309" t="str">
        <f>"10-0172"</f>
        <v>10-0172</v>
      </c>
      <c r="D4309" s="8">
        <v>40242</v>
      </c>
      <c r="F4309" s="8">
        <v>40242</v>
      </c>
      <c r="G4309" s="8">
        <v>40242</v>
      </c>
      <c r="Y4309" s="8"/>
    </row>
    <row r="4310" spans="1:25" x14ac:dyDescent="0.25">
      <c r="A4310" t="str">
        <f>"10-0173"</f>
        <v>10-0173</v>
      </c>
      <c r="D4310" s="8">
        <v>40242</v>
      </c>
      <c r="F4310" s="8">
        <v>40242</v>
      </c>
      <c r="G4310" s="8">
        <v>40242</v>
      </c>
      <c r="Y4310" s="8"/>
    </row>
    <row r="4311" spans="1:25" x14ac:dyDescent="0.25">
      <c r="A4311" t="str">
        <f>"10-0174"</f>
        <v>10-0174</v>
      </c>
      <c r="D4311" s="8">
        <v>40242</v>
      </c>
      <c r="F4311" s="8">
        <v>40256</v>
      </c>
      <c r="G4311" s="8">
        <v>40242</v>
      </c>
      <c r="Y4311" s="8"/>
    </row>
    <row r="4312" spans="1:25" x14ac:dyDescent="0.25">
      <c r="A4312" t="str">
        <f>"10-0175"</f>
        <v>10-0175</v>
      </c>
      <c r="D4312" s="8">
        <v>40242</v>
      </c>
      <c r="F4312" s="8">
        <v>40242</v>
      </c>
      <c r="G4312" s="8">
        <v>40242</v>
      </c>
      <c r="Y4312" s="8"/>
    </row>
    <row r="4313" spans="1:25" x14ac:dyDescent="0.25">
      <c r="A4313" t="str">
        <f>"10-0170"</f>
        <v>10-0170</v>
      </c>
      <c r="D4313" s="8">
        <v>40241</v>
      </c>
      <c r="F4313" s="8">
        <v>40353</v>
      </c>
      <c r="G4313" s="8">
        <v>40241</v>
      </c>
      <c r="Y4313" s="8"/>
    </row>
    <row r="4314" spans="1:25" x14ac:dyDescent="0.25">
      <c r="A4314" t="str">
        <f>"10-0171"</f>
        <v>10-0171</v>
      </c>
      <c r="D4314" s="8">
        <v>40241</v>
      </c>
      <c r="F4314" s="8">
        <v>40241</v>
      </c>
      <c r="G4314" s="8">
        <v>40241</v>
      </c>
      <c r="Y4314" s="8"/>
    </row>
    <row r="4315" spans="1:25" x14ac:dyDescent="0.25">
      <c r="A4315" t="str">
        <f>"10-0166"</f>
        <v>10-0166</v>
      </c>
      <c r="D4315" s="8">
        <v>40240</v>
      </c>
      <c r="F4315" s="8">
        <v>40240</v>
      </c>
      <c r="G4315" s="8">
        <v>40240</v>
      </c>
      <c r="Y4315" s="8"/>
    </row>
    <row r="4316" spans="1:25" x14ac:dyDescent="0.25">
      <c r="A4316" t="str">
        <f>"10-0167"</f>
        <v>10-0167</v>
      </c>
      <c r="D4316" s="8">
        <v>40240</v>
      </c>
      <c r="F4316" s="8">
        <v>40240</v>
      </c>
      <c r="G4316" s="8">
        <v>40242</v>
      </c>
      <c r="Y4316" s="8"/>
    </row>
    <row r="4317" spans="1:25" x14ac:dyDescent="0.25">
      <c r="A4317" t="str">
        <f>"10-0168"</f>
        <v>10-0168</v>
      </c>
      <c r="D4317" s="8">
        <v>40240</v>
      </c>
      <c r="F4317" s="8">
        <v>40240</v>
      </c>
      <c r="G4317" s="8">
        <v>40240</v>
      </c>
      <c r="Y4317" s="8"/>
    </row>
    <row r="4318" spans="1:25" x14ac:dyDescent="0.25">
      <c r="A4318" t="str">
        <f>"10-0169"</f>
        <v>10-0169</v>
      </c>
      <c r="D4318" s="8">
        <v>40240</v>
      </c>
      <c r="F4318" s="8">
        <v>40240</v>
      </c>
      <c r="G4318" s="8">
        <v>40240</v>
      </c>
      <c r="Y4318" s="8"/>
    </row>
    <row r="4319" spans="1:25" x14ac:dyDescent="0.25">
      <c r="A4319" t="str">
        <f>"10-0165"</f>
        <v>10-0165</v>
      </c>
      <c r="D4319" s="8">
        <v>40239</v>
      </c>
      <c r="F4319" s="8">
        <v>40240</v>
      </c>
      <c r="G4319" s="8">
        <v>40242</v>
      </c>
      <c r="Y4319" s="8"/>
    </row>
    <row r="4320" spans="1:25" x14ac:dyDescent="0.25">
      <c r="A4320" t="str">
        <f>"10-0160"</f>
        <v>10-0160</v>
      </c>
      <c r="D4320" s="8">
        <v>40238</v>
      </c>
      <c r="F4320" s="8">
        <v>40238</v>
      </c>
      <c r="G4320" s="8">
        <v>40238</v>
      </c>
      <c r="Y4320" s="8"/>
    </row>
    <row r="4321" spans="1:25" x14ac:dyDescent="0.25">
      <c r="A4321" t="str">
        <f>"10-0161"</f>
        <v>10-0161</v>
      </c>
      <c r="D4321" s="8">
        <v>40238</v>
      </c>
      <c r="F4321" s="8">
        <v>40238</v>
      </c>
      <c r="G4321" s="8">
        <v>40238</v>
      </c>
      <c r="Y4321" s="8"/>
    </row>
    <row r="4322" spans="1:25" x14ac:dyDescent="0.25">
      <c r="A4322" t="str">
        <f>"10-0162"</f>
        <v>10-0162</v>
      </c>
      <c r="D4322" s="8">
        <v>40238</v>
      </c>
      <c r="F4322" s="8">
        <v>40238</v>
      </c>
      <c r="G4322" s="8">
        <v>40238</v>
      </c>
      <c r="Y4322" s="8"/>
    </row>
    <row r="4323" spans="1:25" x14ac:dyDescent="0.25">
      <c r="A4323" t="str">
        <f>"10-0163"</f>
        <v>10-0163</v>
      </c>
      <c r="D4323" s="8">
        <v>40238</v>
      </c>
      <c r="F4323" s="8">
        <v>40238</v>
      </c>
      <c r="G4323" s="8">
        <v>40238</v>
      </c>
      <c r="Y4323" s="8"/>
    </row>
    <row r="4324" spans="1:25" x14ac:dyDescent="0.25">
      <c r="A4324" t="str">
        <f>"10-0164"</f>
        <v>10-0164</v>
      </c>
      <c r="D4324" s="8">
        <v>40238</v>
      </c>
      <c r="F4324" s="8">
        <v>40238</v>
      </c>
      <c r="G4324" s="8">
        <v>40238</v>
      </c>
      <c r="Y4324" s="8"/>
    </row>
    <row r="4325" spans="1:25" x14ac:dyDescent="0.25">
      <c r="A4325" t="str">
        <f>"10-0010D"</f>
        <v>10-0010D</v>
      </c>
      <c r="D4325" s="8">
        <v>40235</v>
      </c>
      <c r="F4325" s="8">
        <v>40235</v>
      </c>
      <c r="G4325" s="8">
        <v>40235</v>
      </c>
      <c r="Y4325" s="8"/>
    </row>
    <row r="4326" spans="1:25" x14ac:dyDescent="0.25">
      <c r="A4326" t="str">
        <f>"10-0012D"</f>
        <v>10-0012D</v>
      </c>
      <c r="D4326" s="8">
        <v>40235</v>
      </c>
      <c r="F4326" s="8">
        <v>40235</v>
      </c>
      <c r="G4326" s="8">
        <v>40235</v>
      </c>
      <c r="Y4326" s="8"/>
    </row>
    <row r="4327" spans="1:25" x14ac:dyDescent="0.25">
      <c r="A4327" t="str">
        <f>"10-0121C"</f>
        <v>10-0121C</v>
      </c>
      <c r="D4327" s="8">
        <v>40235</v>
      </c>
      <c r="F4327" s="8">
        <v>40235</v>
      </c>
      <c r="G4327" s="8">
        <v>40235</v>
      </c>
      <c r="Y4327" s="8"/>
    </row>
    <row r="4328" spans="1:25" x14ac:dyDescent="0.25">
      <c r="A4328" t="str">
        <f>"10-0156"</f>
        <v>10-0156</v>
      </c>
      <c r="D4328" s="8">
        <v>40235</v>
      </c>
      <c r="F4328" s="8">
        <v>40235</v>
      </c>
      <c r="G4328" s="8">
        <v>40235</v>
      </c>
      <c r="Y4328" s="8"/>
    </row>
    <row r="4329" spans="1:25" x14ac:dyDescent="0.25">
      <c r="A4329" t="str">
        <f>"10-0157"</f>
        <v>10-0157</v>
      </c>
      <c r="D4329" s="8">
        <v>40235</v>
      </c>
      <c r="F4329" s="8">
        <v>40235</v>
      </c>
      <c r="G4329" s="8">
        <v>40235</v>
      </c>
      <c r="Y4329" s="8"/>
    </row>
    <row r="4330" spans="1:25" x14ac:dyDescent="0.25">
      <c r="A4330" t="str">
        <f>"10-0158"</f>
        <v>10-0158</v>
      </c>
      <c r="D4330" s="8">
        <v>40235</v>
      </c>
      <c r="F4330" s="8">
        <v>40235</v>
      </c>
      <c r="G4330" s="8">
        <v>40239</v>
      </c>
      <c r="Y4330" s="8"/>
    </row>
    <row r="4331" spans="1:25" x14ac:dyDescent="0.25">
      <c r="A4331" t="str">
        <f>"10-0159"</f>
        <v>10-0159</v>
      </c>
      <c r="D4331" s="8">
        <v>40235</v>
      </c>
      <c r="F4331" s="8">
        <v>40235</v>
      </c>
      <c r="G4331" s="8">
        <v>40235</v>
      </c>
      <c r="Y4331" s="8"/>
    </row>
    <row r="4332" spans="1:25" x14ac:dyDescent="0.25">
      <c r="A4332" t="str">
        <f>"10-0121B"</f>
        <v>10-0121B</v>
      </c>
      <c r="D4332" s="8">
        <v>40234</v>
      </c>
      <c r="F4332" s="8">
        <v>40234</v>
      </c>
      <c r="G4332" s="8">
        <v>40234</v>
      </c>
      <c r="Y4332" s="8"/>
    </row>
    <row r="4333" spans="1:25" x14ac:dyDescent="0.25">
      <c r="A4333" t="str">
        <f>"10-0153"</f>
        <v>10-0153</v>
      </c>
      <c r="D4333" s="8">
        <v>40234</v>
      </c>
      <c r="F4333" s="8">
        <v>40234</v>
      </c>
      <c r="G4333" s="8">
        <v>40234</v>
      </c>
      <c r="Y4333" s="8"/>
    </row>
    <row r="4334" spans="1:25" x14ac:dyDescent="0.25">
      <c r="A4334" t="str">
        <f>"10-0154"</f>
        <v>10-0154</v>
      </c>
      <c r="D4334" s="8">
        <v>40234</v>
      </c>
      <c r="F4334" s="8">
        <v>40234</v>
      </c>
      <c r="G4334" s="8">
        <v>40234</v>
      </c>
      <c r="Y4334" s="8"/>
    </row>
    <row r="4335" spans="1:25" x14ac:dyDescent="0.25">
      <c r="A4335" t="str">
        <f>"10-0155"</f>
        <v>10-0155</v>
      </c>
      <c r="D4335" s="8">
        <v>40234</v>
      </c>
      <c r="F4335" s="8">
        <v>40234</v>
      </c>
      <c r="G4335" s="8">
        <v>40234</v>
      </c>
      <c r="Y4335" s="8"/>
    </row>
    <row r="4336" spans="1:25" x14ac:dyDescent="0.25">
      <c r="A4336" t="str">
        <f>"10-0150"</f>
        <v>10-0150</v>
      </c>
      <c r="D4336" s="8">
        <v>40233</v>
      </c>
      <c r="F4336" s="8">
        <v>40233</v>
      </c>
      <c r="G4336" s="8">
        <v>40233</v>
      </c>
      <c r="Y4336" s="8"/>
    </row>
    <row r="4337" spans="1:25" x14ac:dyDescent="0.25">
      <c r="A4337" t="str">
        <f>"10-0151"</f>
        <v>10-0151</v>
      </c>
      <c r="D4337" s="8">
        <v>40233</v>
      </c>
      <c r="F4337" s="8">
        <v>40233</v>
      </c>
      <c r="G4337" s="8">
        <v>40233</v>
      </c>
      <c r="Y4337" s="8"/>
    </row>
    <row r="4338" spans="1:25" x14ac:dyDescent="0.25">
      <c r="A4338" t="str">
        <f>"10-0152"</f>
        <v>10-0152</v>
      </c>
      <c r="D4338" s="8">
        <v>40233</v>
      </c>
      <c r="F4338" s="8">
        <v>40233</v>
      </c>
      <c r="G4338" s="8">
        <v>40233</v>
      </c>
      <c r="Y4338" s="8"/>
    </row>
    <row r="4339" spans="1:25" x14ac:dyDescent="0.25">
      <c r="A4339" t="str">
        <f>"10-0143"</f>
        <v>10-0143</v>
      </c>
      <c r="D4339" s="8">
        <v>40232</v>
      </c>
      <c r="F4339" s="8">
        <v>40233</v>
      </c>
      <c r="G4339" s="8">
        <v>40233</v>
      </c>
      <c r="Y4339" s="8"/>
    </row>
    <row r="4340" spans="1:25" x14ac:dyDescent="0.25">
      <c r="A4340" t="str">
        <f>"10-0144"</f>
        <v>10-0144</v>
      </c>
      <c r="D4340" s="8">
        <v>40232</v>
      </c>
      <c r="F4340" s="8">
        <v>40234</v>
      </c>
      <c r="G4340" s="8">
        <v>40234</v>
      </c>
      <c r="Y4340" s="8"/>
    </row>
    <row r="4341" spans="1:25" x14ac:dyDescent="0.25">
      <c r="A4341" t="str">
        <f>"10-0145"</f>
        <v>10-0145</v>
      </c>
      <c r="D4341" s="8">
        <v>40232</v>
      </c>
      <c r="F4341" s="8">
        <v>40232</v>
      </c>
      <c r="G4341" s="8">
        <v>40232</v>
      </c>
      <c r="Y4341" s="8"/>
    </row>
    <row r="4342" spans="1:25" x14ac:dyDescent="0.25">
      <c r="A4342" t="str">
        <f>"10-0146"</f>
        <v>10-0146</v>
      </c>
      <c r="D4342" s="8">
        <v>40232</v>
      </c>
      <c r="G4342" s="8">
        <v>40234</v>
      </c>
    </row>
    <row r="4343" spans="1:25" x14ac:dyDescent="0.25">
      <c r="A4343" t="str">
        <f>"10-0147"</f>
        <v>10-0147</v>
      </c>
      <c r="D4343" s="8">
        <v>40232</v>
      </c>
      <c r="F4343" s="8">
        <v>40232</v>
      </c>
      <c r="G4343" s="8">
        <v>40232</v>
      </c>
      <c r="Y4343" s="8"/>
    </row>
    <row r="4344" spans="1:25" x14ac:dyDescent="0.25">
      <c r="A4344" t="str">
        <f>"10-0148"</f>
        <v>10-0148</v>
      </c>
      <c r="D4344" s="8">
        <v>40232</v>
      </c>
      <c r="F4344" s="8">
        <v>40234</v>
      </c>
      <c r="G4344" s="8">
        <v>40234</v>
      </c>
      <c r="Y4344" s="8"/>
    </row>
    <row r="4345" spans="1:25" x14ac:dyDescent="0.25">
      <c r="A4345" t="str">
        <f>"10-0149"</f>
        <v>10-0149</v>
      </c>
      <c r="D4345" s="8">
        <v>40232</v>
      </c>
      <c r="F4345" s="8">
        <v>40238</v>
      </c>
      <c r="G4345" s="8">
        <v>40232</v>
      </c>
      <c r="Y4345" s="8"/>
    </row>
    <row r="4346" spans="1:25" x14ac:dyDescent="0.25">
      <c r="A4346" t="str">
        <f>"10-0136B"</f>
        <v>10-0136B</v>
      </c>
      <c r="D4346" s="8">
        <v>40231</v>
      </c>
      <c r="F4346" s="8">
        <v>40231</v>
      </c>
      <c r="G4346" s="8">
        <v>40231</v>
      </c>
      <c r="Y4346" s="8"/>
    </row>
    <row r="4347" spans="1:25" x14ac:dyDescent="0.25">
      <c r="A4347" t="str">
        <f>"10-0138"</f>
        <v>10-0138</v>
      </c>
      <c r="D4347" s="8">
        <v>40231</v>
      </c>
      <c r="F4347" s="8">
        <v>40359</v>
      </c>
      <c r="G4347" s="8">
        <v>40231</v>
      </c>
      <c r="Y4347" s="8"/>
    </row>
    <row r="4348" spans="1:25" x14ac:dyDescent="0.25">
      <c r="A4348" t="str">
        <f>"10-0139"</f>
        <v>10-0139</v>
      </c>
      <c r="D4348" s="8">
        <v>40231</v>
      </c>
      <c r="F4348" s="8">
        <v>40231</v>
      </c>
      <c r="G4348" s="8">
        <v>40231</v>
      </c>
      <c r="Y4348" s="8"/>
    </row>
    <row r="4349" spans="1:25" x14ac:dyDescent="0.25">
      <c r="A4349" t="str">
        <f>"10-0140"</f>
        <v>10-0140</v>
      </c>
      <c r="D4349" s="8">
        <v>40231</v>
      </c>
      <c r="F4349" s="8">
        <v>40235</v>
      </c>
      <c r="G4349" s="8">
        <v>40231</v>
      </c>
      <c r="Y4349" s="8"/>
    </row>
    <row r="4350" spans="1:25" x14ac:dyDescent="0.25">
      <c r="A4350" t="str">
        <f>"10-0141"</f>
        <v>10-0141</v>
      </c>
      <c r="D4350" s="8">
        <v>40231</v>
      </c>
      <c r="F4350" s="8">
        <v>40231</v>
      </c>
      <c r="G4350" s="8">
        <v>40231</v>
      </c>
      <c r="Y4350" s="8"/>
    </row>
    <row r="4351" spans="1:25" x14ac:dyDescent="0.25">
      <c r="A4351" t="str">
        <f>"10-0142"</f>
        <v>10-0142</v>
      </c>
      <c r="D4351" s="8">
        <v>40231</v>
      </c>
      <c r="F4351" s="8">
        <v>40232</v>
      </c>
      <c r="G4351" s="8">
        <v>40234</v>
      </c>
      <c r="Y4351" s="8"/>
    </row>
    <row r="4352" spans="1:25" x14ac:dyDescent="0.25">
      <c r="A4352" t="str">
        <f>"10-0134"</f>
        <v>10-0134</v>
      </c>
      <c r="D4352" s="8">
        <v>40228</v>
      </c>
      <c r="F4352" s="8">
        <v>40231</v>
      </c>
      <c r="G4352" s="8">
        <v>40228</v>
      </c>
      <c r="Y4352" s="8"/>
    </row>
    <row r="4353" spans="1:25" x14ac:dyDescent="0.25">
      <c r="A4353" t="str">
        <f>"10-0135"</f>
        <v>10-0135</v>
      </c>
      <c r="D4353" s="8">
        <v>40228</v>
      </c>
      <c r="F4353" s="8">
        <v>40228</v>
      </c>
      <c r="G4353" s="8">
        <v>40228</v>
      </c>
      <c r="Y4353" s="8"/>
    </row>
    <row r="4354" spans="1:25" x14ac:dyDescent="0.25">
      <c r="A4354" t="str">
        <f>"10-0136"</f>
        <v>10-0136</v>
      </c>
      <c r="D4354" s="8">
        <v>40228</v>
      </c>
      <c r="F4354" s="8">
        <v>40228</v>
      </c>
      <c r="G4354" s="8">
        <v>40228</v>
      </c>
      <c r="Y4354" s="8"/>
    </row>
    <row r="4355" spans="1:25" x14ac:dyDescent="0.25">
      <c r="A4355" t="str">
        <f>"10-0137"</f>
        <v>10-0137</v>
      </c>
      <c r="D4355" s="8">
        <v>40228</v>
      </c>
      <c r="F4355" s="8">
        <v>40228</v>
      </c>
      <c r="G4355" s="8">
        <v>40228</v>
      </c>
      <c r="Y4355" s="8"/>
    </row>
    <row r="4356" spans="1:25" x14ac:dyDescent="0.25">
      <c r="A4356" t="str">
        <f>"10-0132"</f>
        <v>10-0132</v>
      </c>
      <c r="D4356" s="8">
        <v>40227</v>
      </c>
      <c r="F4356" s="8">
        <v>40227</v>
      </c>
      <c r="G4356" s="8">
        <v>40227</v>
      </c>
      <c r="Y4356" s="8"/>
    </row>
    <row r="4357" spans="1:25" x14ac:dyDescent="0.25">
      <c r="A4357" t="str">
        <f>"10-0133"</f>
        <v>10-0133</v>
      </c>
      <c r="D4357" s="8">
        <v>40227</v>
      </c>
      <c r="F4357" s="8">
        <v>40227</v>
      </c>
      <c r="G4357" s="8">
        <v>40227</v>
      </c>
      <c r="Y4357" s="8"/>
    </row>
    <row r="4358" spans="1:25" x14ac:dyDescent="0.25">
      <c r="A4358" t="str">
        <f>"10-0128"</f>
        <v>10-0128</v>
      </c>
      <c r="D4358" s="8">
        <v>40226</v>
      </c>
      <c r="F4358" s="8">
        <v>40226</v>
      </c>
      <c r="G4358" s="8">
        <v>40228</v>
      </c>
      <c r="Y4358" s="8"/>
    </row>
    <row r="4359" spans="1:25" x14ac:dyDescent="0.25">
      <c r="A4359" t="str">
        <f>"10-0129"</f>
        <v>10-0129</v>
      </c>
      <c r="D4359" s="8">
        <v>40226</v>
      </c>
      <c r="F4359" s="8">
        <v>40226</v>
      </c>
      <c r="G4359" s="8">
        <v>40226</v>
      </c>
      <c r="Y4359" s="8"/>
    </row>
    <row r="4360" spans="1:25" x14ac:dyDescent="0.25">
      <c r="A4360" t="str">
        <f>"10-0130"</f>
        <v>10-0130</v>
      </c>
      <c r="D4360" s="8">
        <v>40226</v>
      </c>
      <c r="F4360" s="8">
        <v>40309</v>
      </c>
      <c r="G4360" s="8">
        <v>40234</v>
      </c>
      <c r="Y4360" s="8"/>
    </row>
    <row r="4361" spans="1:25" x14ac:dyDescent="0.25">
      <c r="A4361" t="str">
        <f>"10-0131"</f>
        <v>10-0131</v>
      </c>
      <c r="D4361" s="8">
        <v>40226</v>
      </c>
      <c r="F4361" s="8">
        <v>40232</v>
      </c>
      <c r="G4361" s="8">
        <v>40228</v>
      </c>
      <c r="Y4361" s="8"/>
    </row>
    <row r="4362" spans="1:25" x14ac:dyDescent="0.25">
      <c r="A4362" t="str">
        <f>"10-0124"</f>
        <v>10-0124</v>
      </c>
      <c r="D4362" s="8">
        <v>40225</v>
      </c>
      <c r="F4362" s="8">
        <v>40226</v>
      </c>
      <c r="G4362" s="8">
        <v>40225</v>
      </c>
      <c r="Y4362" s="8"/>
    </row>
    <row r="4363" spans="1:25" x14ac:dyDescent="0.25">
      <c r="A4363" t="str">
        <f>"10-0125"</f>
        <v>10-0125</v>
      </c>
      <c r="D4363" s="8">
        <v>40225</v>
      </c>
      <c r="F4363" s="8">
        <v>40225</v>
      </c>
      <c r="G4363" s="8">
        <v>40225</v>
      </c>
      <c r="Y4363" s="8"/>
    </row>
    <row r="4364" spans="1:25" x14ac:dyDescent="0.25">
      <c r="A4364" t="str">
        <f>"10-0127"</f>
        <v>10-0127</v>
      </c>
      <c r="D4364" s="8">
        <v>40225</v>
      </c>
      <c r="F4364" s="8">
        <v>40225</v>
      </c>
      <c r="G4364" s="8">
        <v>40225</v>
      </c>
      <c r="Y4364" s="8"/>
    </row>
    <row r="4365" spans="1:25" x14ac:dyDescent="0.25">
      <c r="A4365" t="str">
        <f>"10-0073B"</f>
        <v>10-0073B</v>
      </c>
      <c r="D4365" s="8">
        <v>40224</v>
      </c>
      <c r="F4365" s="8">
        <v>40255</v>
      </c>
      <c r="G4365" s="8">
        <v>40224</v>
      </c>
      <c r="Y4365" s="8"/>
    </row>
    <row r="4366" spans="1:25" x14ac:dyDescent="0.25">
      <c r="A4366" t="str">
        <f>"10-0119"</f>
        <v>10-0119</v>
      </c>
      <c r="D4366" s="8">
        <v>40224</v>
      </c>
      <c r="F4366" s="8">
        <v>40226</v>
      </c>
      <c r="G4366" s="8">
        <v>40225</v>
      </c>
      <c r="Y4366" s="8"/>
    </row>
    <row r="4367" spans="1:25" x14ac:dyDescent="0.25">
      <c r="A4367" t="str">
        <f>"10-0120"</f>
        <v>10-0120</v>
      </c>
      <c r="D4367" s="8">
        <v>40224</v>
      </c>
      <c r="F4367" s="8">
        <v>40224</v>
      </c>
      <c r="G4367" s="8">
        <v>40224</v>
      </c>
      <c r="Y4367" s="8"/>
    </row>
    <row r="4368" spans="1:25" x14ac:dyDescent="0.25">
      <c r="A4368" t="str">
        <f>"10-0121"</f>
        <v>10-0121</v>
      </c>
      <c r="D4368" s="8">
        <v>40224</v>
      </c>
      <c r="F4368" s="8">
        <v>40227</v>
      </c>
      <c r="G4368" s="8">
        <v>40228</v>
      </c>
      <c r="Y4368" s="8"/>
    </row>
    <row r="4369" spans="1:25" x14ac:dyDescent="0.25">
      <c r="A4369" t="str">
        <f>"10-0122"</f>
        <v>10-0122</v>
      </c>
      <c r="D4369" s="8">
        <v>40224</v>
      </c>
      <c r="F4369" s="8">
        <v>40224</v>
      </c>
      <c r="G4369" s="8">
        <v>40224</v>
      </c>
      <c r="Y4369" s="8"/>
    </row>
    <row r="4370" spans="1:25" x14ac:dyDescent="0.25">
      <c r="A4370" t="str">
        <f>"10-0123"</f>
        <v>10-0123</v>
      </c>
      <c r="D4370" s="8">
        <v>40224</v>
      </c>
      <c r="F4370" s="8">
        <v>40224</v>
      </c>
      <c r="G4370" s="8">
        <v>40224</v>
      </c>
      <c r="Y4370" s="8"/>
    </row>
    <row r="4371" spans="1:25" x14ac:dyDescent="0.25">
      <c r="A4371" t="str">
        <f>"10-0117"</f>
        <v>10-0117</v>
      </c>
      <c r="D4371" s="8">
        <v>40221</v>
      </c>
      <c r="F4371" s="8">
        <v>40221</v>
      </c>
      <c r="G4371" s="8">
        <v>40221</v>
      </c>
      <c r="Y4371" s="8"/>
    </row>
    <row r="4372" spans="1:25" x14ac:dyDescent="0.25">
      <c r="A4372" t="str">
        <f>"10-0118"</f>
        <v>10-0118</v>
      </c>
      <c r="D4372" s="8">
        <v>40221</v>
      </c>
      <c r="F4372" s="8">
        <v>40221</v>
      </c>
      <c r="G4372" s="8">
        <v>40221</v>
      </c>
      <c r="Y4372" s="8"/>
    </row>
    <row r="4373" spans="1:25" x14ac:dyDescent="0.25">
      <c r="A4373" t="str">
        <f>"10-0072B"</f>
        <v>10-0072B</v>
      </c>
      <c r="D4373" s="8">
        <v>40220</v>
      </c>
      <c r="F4373" s="8">
        <v>40220</v>
      </c>
      <c r="G4373" s="8">
        <v>40220</v>
      </c>
      <c r="Y4373" s="8"/>
    </row>
    <row r="4374" spans="1:25" x14ac:dyDescent="0.25">
      <c r="A4374" t="str">
        <f>"10-0072C"</f>
        <v>10-0072C</v>
      </c>
      <c r="D4374" s="8">
        <v>40220</v>
      </c>
      <c r="F4374" s="8">
        <v>40221</v>
      </c>
      <c r="G4374" s="8">
        <v>40220</v>
      </c>
      <c r="Y4374" s="8"/>
    </row>
    <row r="4375" spans="1:25" x14ac:dyDescent="0.25">
      <c r="A4375" t="str">
        <f>"10-0092B"</f>
        <v>10-0092B</v>
      </c>
      <c r="D4375" s="8">
        <v>40220</v>
      </c>
      <c r="F4375" s="8">
        <v>40224</v>
      </c>
      <c r="G4375" s="8">
        <v>40220</v>
      </c>
      <c r="Y4375" s="8"/>
    </row>
    <row r="4376" spans="1:25" x14ac:dyDescent="0.25">
      <c r="A4376" t="str">
        <f>"10-0116"</f>
        <v>10-0116</v>
      </c>
      <c r="D4376" s="8">
        <v>40220</v>
      </c>
      <c r="F4376" s="8">
        <v>40220</v>
      </c>
      <c r="G4376" s="8">
        <v>40220</v>
      </c>
      <c r="Y4376" s="8"/>
    </row>
    <row r="4377" spans="1:25" x14ac:dyDescent="0.25">
      <c r="A4377" t="str">
        <f>"10-0109"</f>
        <v>10-0109</v>
      </c>
      <c r="D4377" s="8">
        <v>40219</v>
      </c>
      <c r="F4377" s="8">
        <v>40220</v>
      </c>
      <c r="G4377" s="8">
        <v>40220</v>
      </c>
      <c r="Y4377" s="8"/>
    </row>
    <row r="4378" spans="1:25" x14ac:dyDescent="0.25">
      <c r="A4378" t="str">
        <f>"10-0110"</f>
        <v>10-0110</v>
      </c>
      <c r="D4378" s="8">
        <v>40219</v>
      </c>
      <c r="F4378" s="8">
        <v>40219</v>
      </c>
      <c r="G4378" s="8">
        <v>40219</v>
      </c>
      <c r="Y4378" s="8"/>
    </row>
    <row r="4379" spans="1:25" x14ac:dyDescent="0.25">
      <c r="A4379" t="str">
        <f>"10-0111"</f>
        <v>10-0111</v>
      </c>
      <c r="D4379" s="8">
        <v>40219</v>
      </c>
      <c r="F4379" s="8">
        <v>40219</v>
      </c>
      <c r="G4379" s="8">
        <v>40219</v>
      </c>
      <c r="Y4379" s="8"/>
    </row>
    <row r="4380" spans="1:25" x14ac:dyDescent="0.25">
      <c r="A4380" t="str">
        <f>"10-0112"</f>
        <v>10-0112</v>
      </c>
      <c r="D4380" s="8">
        <v>40219</v>
      </c>
      <c r="F4380" s="8">
        <v>40219</v>
      </c>
      <c r="G4380" s="8">
        <v>40220</v>
      </c>
      <c r="Y4380" s="8"/>
    </row>
    <row r="4381" spans="1:25" x14ac:dyDescent="0.25">
      <c r="A4381" t="str">
        <f>"10-0113"</f>
        <v>10-0113</v>
      </c>
      <c r="D4381" s="8">
        <v>40219</v>
      </c>
      <c r="F4381" s="8">
        <v>40219</v>
      </c>
      <c r="G4381" s="8">
        <v>40219</v>
      </c>
      <c r="Y4381" s="8"/>
    </row>
    <row r="4382" spans="1:25" x14ac:dyDescent="0.25">
      <c r="A4382" t="str">
        <f>"10-0114"</f>
        <v>10-0114</v>
      </c>
      <c r="D4382" s="8">
        <v>40219</v>
      </c>
      <c r="F4382" s="8">
        <v>40219</v>
      </c>
      <c r="G4382" s="8">
        <v>40219</v>
      </c>
      <c r="Y4382" s="8"/>
    </row>
    <row r="4383" spans="1:25" x14ac:dyDescent="0.25">
      <c r="A4383" t="str">
        <f>"10-0115"</f>
        <v>10-0115</v>
      </c>
      <c r="D4383" s="8">
        <v>40219</v>
      </c>
      <c r="F4383" s="8">
        <v>40225</v>
      </c>
      <c r="G4383" s="8">
        <v>40221</v>
      </c>
      <c r="Y4383" s="8"/>
    </row>
    <row r="4384" spans="1:25" x14ac:dyDescent="0.25">
      <c r="A4384" t="str">
        <f>"10-0097B"</f>
        <v>10-0097B</v>
      </c>
      <c r="D4384" s="8">
        <v>40218</v>
      </c>
      <c r="F4384" s="8">
        <v>40218</v>
      </c>
      <c r="G4384" s="8">
        <v>40218</v>
      </c>
      <c r="Y4384" s="8"/>
    </row>
    <row r="4385" spans="1:25" x14ac:dyDescent="0.25">
      <c r="A4385" t="str">
        <f>"10-0105"</f>
        <v>10-0105</v>
      </c>
      <c r="D4385" s="8">
        <v>40218</v>
      </c>
      <c r="F4385" s="8">
        <v>40218</v>
      </c>
      <c r="G4385" s="8">
        <v>40218</v>
      </c>
      <c r="Y4385" s="8"/>
    </row>
    <row r="4386" spans="1:25" x14ac:dyDescent="0.25">
      <c r="A4386" t="str">
        <f>"10-0106"</f>
        <v>10-0106</v>
      </c>
      <c r="D4386" s="8">
        <v>40218</v>
      </c>
      <c r="F4386" s="8">
        <v>40218</v>
      </c>
      <c r="G4386" s="8">
        <v>40218</v>
      </c>
      <c r="Y4386" s="8"/>
    </row>
    <row r="4387" spans="1:25" x14ac:dyDescent="0.25">
      <c r="A4387" t="str">
        <f>"10-0107"</f>
        <v>10-0107</v>
      </c>
      <c r="D4387" s="8">
        <v>40218</v>
      </c>
      <c r="F4387" s="8">
        <v>40218</v>
      </c>
      <c r="G4387" s="8">
        <v>40218</v>
      </c>
      <c r="Y4387" s="8"/>
    </row>
    <row r="4388" spans="1:25" x14ac:dyDescent="0.25">
      <c r="A4388" t="str">
        <f>"10-0108"</f>
        <v>10-0108</v>
      </c>
      <c r="D4388" s="8">
        <v>40218</v>
      </c>
      <c r="F4388" s="8">
        <v>40218</v>
      </c>
      <c r="G4388" s="8">
        <v>40218</v>
      </c>
      <c r="Y4388" s="8"/>
    </row>
    <row r="4389" spans="1:25" x14ac:dyDescent="0.25">
      <c r="A4389" t="str">
        <f>"10-0102"</f>
        <v>10-0102</v>
      </c>
      <c r="D4389" s="8">
        <v>40217</v>
      </c>
      <c r="F4389" s="8">
        <v>40217</v>
      </c>
      <c r="G4389" s="8">
        <v>40219</v>
      </c>
      <c r="Y4389" s="8"/>
    </row>
    <row r="4390" spans="1:25" x14ac:dyDescent="0.25">
      <c r="A4390" t="str">
        <f>"10-0103"</f>
        <v>10-0103</v>
      </c>
      <c r="D4390" s="8">
        <v>40217</v>
      </c>
      <c r="F4390" s="8">
        <v>40217</v>
      </c>
      <c r="G4390" s="8">
        <v>40217</v>
      </c>
      <c r="Y4390" s="8"/>
    </row>
    <row r="4391" spans="1:25" x14ac:dyDescent="0.25">
      <c r="A4391" t="str">
        <f>"10-0104"</f>
        <v>10-0104</v>
      </c>
      <c r="D4391" s="8">
        <v>40217</v>
      </c>
      <c r="F4391" s="8">
        <v>40217</v>
      </c>
      <c r="G4391" s="8">
        <v>40218</v>
      </c>
      <c r="Y4391" s="8"/>
    </row>
    <row r="4392" spans="1:25" x14ac:dyDescent="0.25">
      <c r="A4392" t="str">
        <f>"09-0946B"</f>
        <v>09-0946B</v>
      </c>
      <c r="D4392" s="8">
        <v>40214</v>
      </c>
      <c r="F4392" s="8">
        <v>40242</v>
      </c>
      <c r="G4392" s="8">
        <v>40214</v>
      </c>
      <c r="Y4392" s="8"/>
    </row>
    <row r="4393" spans="1:25" x14ac:dyDescent="0.25">
      <c r="A4393" t="str">
        <f>"10-0098"</f>
        <v>10-0098</v>
      </c>
      <c r="D4393" s="8">
        <v>40214</v>
      </c>
      <c r="F4393" s="8">
        <v>40214</v>
      </c>
      <c r="G4393" s="8">
        <v>40214</v>
      </c>
      <c r="Y4393" s="8"/>
    </row>
    <row r="4394" spans="1:25" x14ac:dyDescent="0.25">
      <c r="A4394" t="str">
        <f>"10-0099"</f>
        <v>10-0099</v>
      </c>
      <c r="D4394" s="8">
        <v>40214</v>
      </c>
      <c r="F4394" s="8">
        <v>40214</v>
      </c>
      <c r="G4394" s="8">
        <v>40214</v>
      </c>
      <c r="Y4394" s="8"/>
    </row>
    <row r="4395" spans="1:25" x14ac:dyDescent="0.25">
      <c r="A4395" t="str">
        <f>"10-0100"</f>
        <v>10-0100</v>
      </c>
      <c r="D4395" s="8">
        <v>40214</v>
      </c>
      <c r="F4395" s="8">
        <v>40214</v>
      </c>
      <c r="G4395" s="8">
        <v>40214</v>
      </c>
      <c r="Y4395" s="8"/>
    </row>
    <row r="4396" spans="1:25" x14ac:dyDescent="0.25">
      <c r="A4396" t="str">
        <f>"10-0101"</f>
        <v>10-0101</v>
      </c>
      <c r="D4396" s="8">
        <v>40214</v>
      </c>
      <c r="F4396" s="8">
        <v>40219</v>
      </c>
      <c r="G4396" s="8">
        <v>40218</v>
      </c>
      <c r="Y4396" s="8"/>
    </row>
    <row r="4397" spans="1:25" x14ac:dyDescent="0.25">
      <c r="A4397" t="str">
        <f>"09-0847B"</f>
        <v>09-0847B</v>
      </c>
      <c r="D4397" s="8">
        <v>40213</v>
      </c>
      <c r="F4397" s="8">
        <v>40231</v>
      </c>
      <c r="G4397" s="8">
        <v>40214</v>
      </c>
      <c r="Y4397" s="8"/>
    </row>
    <row r="4398" spans="1:25" x14ac:dyDescent="0.25">
      <c r="A4398" t="str">
        <f>"10-0010C"</f>
        <v>10-0010C</v>
      </c>
      <c r="D4398" s="8">
        <v>40213</v>
      </c>
      <c r="F4398" s="8">
        <v>40213</v>
      </c>
      <c r="G4398" s="8">
        <v>40213</v>
      </c>
      <c r="Y4398" s="8"/>
    </row>
    <row r="4399" spans="1:25" x14ac:dyDescent="0.25">
      <c r="A4399" t="str">
        <f>"10-0011C"</f>
        <v>10-0011C</v>
      </c>
      <c r="D4399" s="8">
        <v>40213</v>
      </c>
      <c r="F4399" s="8">
        <v>40213</v>
      </c>
      <c r="G4399" s="8">
        <v>40213</v>
      </c>
      <c r="Y4399" s="8"/>
    </row>
    <row r="4400" spans="1:25" x14ac:dyDescent="0.25">
      <c r="A4400" t="str">
        <f>"10-0012C"</f>
        <v>10-0012C</v>
      </c>
      <c r="D4400" s="8">
        <v>40213</v>
      </c>
      <c r="F4400" s="8">
        <v>40213</v>
      </c>
      <c r="G4400" s="8">
        <v>40213</v>
      </c>
      <c r="Y4400" s="8"/>
    </row>
    <row r="4401" spans="1:25" x14ac:dyDescent="0.25">
      <c r="A4401" t="str">
        <f>"10-0046B"</f>
        <v>10-0046B</v>
      </c>
      <c r="D4401" s="8">
        <v>40213</v>
      </c>
      <c r="F4401" s="8">
        <v>40213</v>
      </c>
      <c r="G4401" s="8">
        <v>40213</v>
      </c>
      <c r="Y4401" s="8"/>
    </row>
    <row r="4402" spans="1:25" x14ac:dyDescent="0.25">
      <c r="A4402" t="str">
        <f>"10-0089"</f>
        <v>10-0089</v>
      </c>
      <c r="D4402" s="8">
        <v>40213</v>
      </c>
      <c r="F4402" s="8">
        <v>40584</v>
      </c>
      <c r="G4402" s="8">
        <v>40213</v>
      </c>
      <c r="Y4402" s="8"/>
    </row>
    <row r="4403" spans="1:25" x14ac:dyDescent="0.25">
      <c r="A4403" t="str">
        <f>"10-0090"</f>
        <v>10-0090</v>
      </c>
      <c r="D4403" s="8">
        <v>40213</v>
      </c>
      <c r="F4403" s="8">
        <v>40213</v>
      </c>
      <c r="G4403" s="8">
        <v>40213</v>
      </c>
      <c r="Y4403" s="8"/>
    </row>
    <row r="4404" spans="1:25" x14ac:dyDescent="0.25">
      <c r="A4404" t="str">
        <f>"10-0091"</f>
        <v>10-0091</v>
      </c>
      <c r="D4404" s="8">
        <v>40213</v>
      </c>
      <c r="F4404" s="8">
        <v>40219</v>
      </c>
      <c r="G4404" s="8">
        <v>40213</v>
      </c>
      <c r="Y4404" s="8"/>
    </row>
    <row r="4405" spans="1:25" x14ac:dyDescent="0.25">
      <c r="A4405" t="str">
        <f>"10-0092"</f>
        <v>10-0092</v>
      </c>
      <c r="D4405" s="8">
        <v>40213</v>
      </c>
      <c r="F4405" s="8">
        <v>40214</v>
      </c>
      <c r="G4405" s="8">
        <v>40213</v>
      </c>
      <c r="Y4405" s="8"/>
    </row>
    <row r="4406" spans="1:25" x14ac:dyDescent="0.25">
      <c r="A4406" t="str">
        <f>"10-0093"</f>
        <v>10-0093</v>
      </c>
      <c r="D4406" s="8">
        <v>40213</v>
      </c>
      <c r="F4406" s="8">
        <v>40213</v>
      </c>
      <c r="G4406" s="8">
        <v>40213</v>
      </c>
      <c r="Y4406" s="8"/>
    </row>
    <row r="4407" spans="1:25" x14ac:dyDescent="0.25">
      <c r="A4407" t="str">
        <f>"10-0094"</f>
        <v>10-0094</v>
      </c>
      <c r="D4407" s="8">
        <v>40213</v>
      </c>
      <c r="F4407" s="8">
        <v>40213</v>
      </c>
      <c r="G4407" s="8">
        <v>40213</v>
      </c>
      <c r="Y4407" s="8"/>
    </row>
    <row r="4408" spans="1:25" x14ac:dyDescent="0.25">
      <c r="A4408" t="str">
        <f>"10-0095"</f>
        <v>10-0095</v>
      </c>
      <c r="D4408" s="8">
        <v>40213</v>
      </c>
      <c r="F4408" s="8">
        <v>40213</v>
      </c>
      <c r="G4408" s="8">
        <v>40213</v>
      </c>
      <c r="Y4408" s="8"/>
    </row>
    <row r="4409" spans="1:25" x14ac:dyDescent="0.25">
      <c r="A4409" t="str">
        <f>"10-0096"</f>
        <v>10-0096</v>
      </c>
      <c r="D4409" s="8">
        <v>40213</v>
      </c>
      <c r="F4409" s="8">
        <v>40213</v>
      </c>
      <c r="G4409" s="8">
        <v>40213</v>
      </c>
      <c r="Y4409" s="8"/>
    </row>
    <row r="4410" spans="1:25" x14ac:dyDescent="0.25">
      <c r="A4410" t="str">
        <f>"10-0097"</f>
        <v>10-0097</v>
      </c>
      <c r="D4410" s="8">
        <v>40213</v>
      </c>
      <c r="F4410" s="8">
        <v>40218</v>
      </c>
      <c r="G4410" s="8">
        <v>40217</v>
      </c>
      <c r="Y4410" s="8"/>
    </row>
    <row r="4411" spans="1:25" x14ac:dyDescent="0.25">
      <c r="A4411" t="str">
        <f>"10-0084"</f>
        <v>10-0084</v>
      </c>
      <c r="D4411" s="8">
        <v>40212</v>
      </c>
      <c r="F4411" s="8">
        <v>40212</v>
      </c>
      <c r="G4411" s="8">
        <v>40212</v>
      </c>
      <c r="Y4411" s="8"/>
    </row>
    <row r="4412" spans="1:25" x14ac:dyDescent="0.25">
      <c r="A4412" t="str">
        <f>"10-0085"</f>
        <v>10-0085</v>
      </c>
      <c r="D4412" s="8">
        <v>40212</v>
      </c>
      <c r="F4412" s="8">
        <v>40212</v>
      </c>
      <c r="G4412" s="8">
        <v>40212</v>
      </c>
      <c r="Y4412" s="8"/>
    </row>
    <row r="4413" spans="1:25" x14ac:dyDescent="0.25">
      <c r="A4413" t="str">
        <f>"10-0086"</f>
        <v>10-0086</v>
      </c>
      <c r="D4413" s="8">
        <v>40212</v>
      </c>
      <c r="F4413" s="8">
        <v>40213</v>
      </c>
      <c r="G4413" s="8">
        <v>40212</v>
      </c>
      <c r="Y4413" s="8"/>
    </row>
    <row r="4414" spans="1:25" x14ac:dyDescent="0.25">
      <c r="A4414" t="str">
        <f>"10-0087"</f>
        <v>10-0087</v>
      </c>
      <c r="D4414" s="8">
        <v>40212</v>
      </c>
      <c r="F4414" s="8">
        <v>40212</v>
      </c>
      <c r="G4414" s="8">
        <v>40212</v>
      </c>
      <c r="Y4414" s="8"/>
    </row>
    <row r="4415" spans="1:25" x14ac:dyDescent="0.25">
      <c r="A4415" t="str">
        <f>"10-0088"</f>
        <v>10-0088</v>
      </c>
      <c r="D4415" s="8">
        <v>40212</v>
      </c>
      <c r="F4415" s="8">
        <v>41681</v>
      </c>
      <c r="G4415" s="8">
        <v>40212</v>
      </c>
      <c r="Y4415" s="8"/>
    </row>
    <row r="4416" spans="1:25" x14ac:dyDescent="0.25">
      <c r="A4416" t="str">
        <f>"10-0079"</f>
        <v>10-0079</v>
      </c>
      <c r="D4416" s="8">
        <v>40211</v>
      </c>
      <c r="F4416" s="8">
        <v>40213</v>
      </c>
      <c r="G4416" s="8">
        <v>40211</v>
      </c>
      <c r="Y4416" s="8"/>
    </row>
    <row r="4417" spans="1:25" x14ac:dyDescent="0.25">
      <c r="A4417" t="str">
        <f>"10-0080"</f>
        <v>10-0080</v>
      </c>
      <c r="D4417" s="8">
        <v>40211</v>
      </c>
      <c r="F4417" s="8">
        <v>40211</v>
      </c>
      <c r="G4417" s="8">
        <v>40211</v>
      </c>
      <c r="Y4417" s="8"/>
    </row>
    <row r="4418" spans="1:25" x14ac:dyDescent="0.25">
      <c r="A4418" t="str">
        <f>"10-0081"</f>
        <v>10-0081</v>
      </c>
      <c r="D4418" s="8">
        <v>40211</v>
      </c>
      <c r="F4418" s="8">
        <v>40211</v>
      </c>
      <c r="G4418" s="8">
        <v>40211</v>
      </c>
      <c r="Y4418" s="8"/>
    </row>
    <row r="4419" spans="1:25" x14ac:dyDescent="0.25">
      <c r="A4419" t="str">
        <f>"10-0082"</f>
        <v>10-0082</v>
      </c>
      <c r="D4419" s="8">
        <v>40211</v>
      </c>
      <c r="F4419" s="8">
        <v>40211</v>
      </c>
      <c r="G4419" s="8">
        <v>40211</v>
      </c>
      <c r="Y4419" s="8"/>
    </row>
    <row r="4420" spans="1:25" x14ac:dyDescent="0.25">
      <c r="A4420" t="str">
        <f>"10-0083"</f>
        <v>10-0083</v>
      </c>
      <c r="D4420" s="8">
        <v>40211</v>
      </c>
      <c r="F4420" s="8">
        <v>40211</v>
      </c>
      <c r="G4420" s="8">
        <v>40211</v>
      </c>
      <c r="Y4420" s="8"/>
    </row>
    <row r="4421" spans="1:25" x14ac:dyDescent="0.25">
      <c r="A4421" t="str">
        <f>"10-0030B"</f>
        <v>10-0030B</v>
      </c>
      <c r="D4421" s="8">
        <v>40210</v>
      </c>
      <c r="F4421" s="8">
        <v>40210</v>
      </c>
      <c r="G4421" s="8">
        <v>40207</v>
      </c>
      <c r="Y4421" s="8"/>
    </row>
    <row r="4422" spans="1:25" x14ac:dyDescent="0.25">
      <c r="A4422" t="str">
        <f>"10-0075"</f>
        <v>10-0075</v>
      </c>
      <c r="D4422" s="8">
        <v>40210</v>
      </c>
      <c r="F4422" s="8">
        <v>40210</v>
      </c>
      <c r="G4422" s="8">
        <v>40210</v>
      </c>
      <c r="Y4422" s="8"/>
    </row>
    <row r="4423" spans="1:25" x14ac:dyDescent="0.25">
      <c r="A4423" t="str">
        <f>"10-0076"</f>
        <v>10-0076</v>
      </c>
      <c r="D4423" s="8">
        <v>40210</v>
      </c>
      <c r="F4423" s="8">
        <v>40212</v>
      </c>
      <c r="G4423" s="8">
        <v>40213</v>
      </c>
      <c r="Y4423" s="8"/>
    </row>
    <row r="4424" spans="1:25" x14ac:dyDescent="0.25">
      <c r="A4424" t="str">
        <f>"10-0077"</f>
        <v>10-0077</v>
      </c>
      <c r="D4424" s="8">
        <v>40210</v>
      </c>
      <c r="F4424" s="8">
        <v>40210</v>
      </c>
      <c r="G4424" s="8">
        <v>40210</v>
      </c>
      <c r="Y4424" s="8"/>
    </row>
    <row r="4425" spans="1:25" x14ac:dyDescent="0.25">
      <c r="A4425" t="str">
        <f>"10-0078"</f>
        <v>10-0078</v>
      </c>
      <c r="D4425" s="8">
        <v>40210</v>
      </c>
      <c r="F4425" s="8">
        <v>40214</v>
      </c>
      <c r="G4425" s="8">
        <v>40568</v>
      </c>
      <c r="Y4425" s="8"/>
    </row>
    <row r="4426" spans="1:25" x14ac:dyDescent="0.25">
      <c r="A4426" t="str">
        <f>"10-0068"</f>
        <v>10-0068</v>
      </c>
      <c r="D4426" s="8">
        <v>40207</v>
      </c>
      <c r="F4426" s="8">
        <v>40207</v>
      </c>
      <c r="G4426" s="8">
        <v>40207</v>
      </c>
      <c r="Y4426" s="8"/>
    </row>
    <row r="4427" spans="1:25" x14ac:dyDescent="0.25">
      <c r="A4427" t="str">
        <f>"10-0069"</f>
        <v>10-0069</v>
      </c>
      <c r="D4427" s="8">
        <v>40207</v>
      </c>
      <c r="F4427" s="8">
        <v>40207</v>
      </c>
      <c r="G4427" s="8">
        <v>40207</v>
      </c>
      <c r="Y4427" s="8"/>
    </row>
    <row r="4428" spans="1:25" x14ac:dyDescent="0.25">
      <c r="A4428" t="str">
        <f>"10-0070"</f>
        <v>10-0070</v>
      </c>
      <c r="D4428" s="8">
        <v>40207</v>
      </c>
      <c r="F4428" s="8">
        <v>40207</v>
      </c>
      <c r="G4428" s="8">
        <v>40207</v>
      </c>
      <c r="Y4428" s="8"/>
    </row>
    <row r="4429" spans="1:25" x14ac:dyDescent="0.25">
      <c r="A4429" t="str">
        <f>"10-0071"</f>
        <v>10-0071</v>
      </c>
      <c r="D4429" s="8">
        <v>40207</v>
      </c>
      <c r="F4429" s="8">
        <v>40207</v>
      </c>
      <c r="G4429" s="8">
        <v>40207</v>
      </c>
      <c r="Y4429" s="8"/>
    </row>
    <row r="4430" spans="1:25" x14ac:dyDescent="0.25">
      <c r="A4430" t="str">
        <f>"10-0072"</f>
        <v>10-0072</v>
      </c>
      <c r="D4430" s="8">
        <v>40207</v>
      </c>
      <c r="F4430" s="8">
        <v>40213</v>
      </c>
      <c r="G4430" s="8">
        <v>40207</v>
      </c>
      <c r="Y4430" s="8"/>
    </row>
    <row r="4431" spans="1:25" x14ac:dyDescent="0.25">
      <c r="A4431" t="str">
        <f>"10-0073"</f>
        <v>10-0073</v>
      </c>
      <c r="D4431" s="8">
        <v>40207</v>
      </c>
      <c r="F4431" s="8">
        <v>40242</v>
      </c>
      <c r="G4431" s="8">
        <v>40207</v>
      </c>
      <c r="Y4431" s="8"/>
    </row>
    <row r="4432" spans="1:25" x14ac:dyDescent="0.25">
      <c r="A4432" t="str">
        <f>"10-0074"</f>
        <v>10-0074</v>
      </c>
      <c r="D4432" s="8">
        <v>40207</v>
      </c>
      <c r="F4432" s="8">
        <v>40290</v>
      </c>
      <c r="G4432" s="8">
        <v>40207</v>
      </c>
      <c r="Y4432" s="8"/>
    </row>
    <row r="4433" spans="1:25" x14ac:dyDescent="0.25">
      <c r="A4433" t="str">
        <f>"10-0064"</f>
        <v>10-0064</v>
      </c>
      <c r="D4433" s="8">
        <v>40206</v>
      </c>
      <c r="F4433" s="8">
        <v>40206</v>
      </c>
      <c r="G4433" s="8">
        <v>40206</v>
      </c>
      <c r="Y4433" s="8"/>
    </row>
    <row r="4434" spans="1:25" x14ac:dyDescent="0.25">
      <c r="A4434" t="str">
        <f>"10-0065"</f>
        <v>10-0065</v>
      </c>
      <c r="D4434" s="8">
        <v>40206</v>
      </c>
      <c r="F4434" s="8">
        <v>40206</v>
      </c>
      <c r="G4434" s="8">
        <v>40205</v>
      </c>
      <c r="Y4434" s="8"/>
    </row>
    <row r="4435" spans="1:25" x14ac:dyDescent="0.25">
      <c r="A4435" t="str">
        <f>"10-0066"</f>
        <v>10-0066</v>
      </c>
      <c r="D4435" s="8">
        <v>40206</v>
      </c>
      <c r="F4435" s="8">
        <v>40206</v>
      </c>
      <c r="G4435" s="8">
        <v>40206</v>
      </c>
      <c r="Y4435" s="8"/>
    </row>
    <row r="4436" spans="1:25" x14ac:dyDescent="0.25">
      <c r="A4436" t="str">
        <f>"10-0067"</f>
        <v>10-0067</v>
      </c>
      <c r="D4436" s="8">
        <v>40206</v>
      </c>
      <c r="F4436" s="8">
        <v>40213</v>
      </c>
      <c r="G4436" s="8">
        <v>40206</v>
      </c>
      <c r="Y4436" s="8"/>
    </row>
    <row r="4437" spans="1:25" x14ac:dyDescent="0.25">
      <c r="A4437" t="str">
        <f>"10-0060"</f>
        <v>10-0060</v>
      </c>
      <c r="D4437" s="8">
        <v>40205</v>
      </c>
      <c r="F4437" s="8">
        <v>40205</v>
      </c>
      <c r="G4437" s="8">
        <v>40205</v>
      </c>
      <c r="Y4437" s="8"/>
    </row>
    <row r="4438" spans="1:25" x14ac:dyDescent="0.25">
      <c r="A4438" t="str">
        <f>"10-0061"</f>
        <v>10-0061</v>
      </c>
      <c r="D4438" s="8">
        <v>40205</v>
      </c>
      <c r="F4438" s="8">
        <v>40205</v>
      </c>
      <c r="G4438" s="8">
        <v>40205</v>
      </c>
      <c r="Y4438" s="8"/>
    </row>
    <row r="4439" spans="1:25" x14ac:dyDescent="0.25">
      <c r="A4439" t="str">
        <f>"10-0062"</f>
        <v>10-0062</v>
      </c>
      <c r="D4439" s="8">
        <v>40205</v>
      </c>
      <c r="F4439" s="8">
        <v>40205</v>
      </c>
      <c r="G4439" s="8">
        <v>40205</v>
      </c>
      <c r="Y4439" s="8"/>
    </row>
    <row r="4440" spans="1:25" x14ac:dyDescent="0.25">
      <c r="A4440" t="str">
        <f>"10-0063"</f>
        <v>10-0063</v>
      </c>
      <c r="D4440" s="8">
        <v>40205</v>
      </c>
      <c r="F4440" s="8">
        <v>40205</v>
      </c>
      <c r="G4440" s="8">
        <v>40205</v>
      </c>
      <c r="Y4440" s="8"/>
    </row>
    <row r="4441" spans="1:25" x14ac:dyDescent="0.25">
      <c r="A4441" t="str">
        <f>"10-0056"</f>
        <v>10-0056</v>
      </c>
      <c r="D4441" s="8">
        <v>40204</v>
      </c>
      <c r="F4441" s="8">
        <v>40205</v>
      </c>
      <c r="G4441" s="8">
        <v>40205</v>
      </c>
      <c r="Y4441" s="8"/>
    </row>
    <row r="4442" spans="1:25" x14ac:dyDescent="0.25">
      <c r="A4442" t="str">
        <f>"10-0058"</f>
        <v>10-0058</v>
      </c>
      <c r="D4442" s="8">
        <v>40204</v>
      </c>
      <c r="F4442" s="8">
        <v>40206</v>
      </c>
      <c r="G4442" s="8">
        <v>40204</v>
      </c>
      <c r="Y4442" s="8"/>
    </row>
    <row r="4443" spans="1:25" x14ac:dyDescent="0.25">
      <c r="A4443" t="str">
        <f>"10-0059"</f>
        <v>10-0059</v>
      </c>
      <c r="D4443" s="8">
        <v>40204</v>
      </c>
      <c r="F4443" s="8">
        <v>40204</v>
      </c>
      <c r="G4443" s="8">
        <v>40204</v>
      </c>
      <c r="Y4443" s="8"/>
    </row>
    <row r="4444" spans="1:25" x14ac:dyDescent="0.25">
      <c r="A4444" t="str">
        <f>"10-0051"</f>
        <v>10-0051</v>
      </c>
      <c r="D4444" s="8">
        <v>40203</v>
      </c>
      <c r="F4444" s="8">
        <v>40203</v>
      </c>
      <c r="G4444" s="8">
        <v>40203</v>
      </c>
      <c r="Y4444" s="8"/>
    </row>
    <row r="4445" spans="1:25" x14ac:dyDescent="0.25">
      <c r="A4445" t="str">
        <f>"10-0051B"</f>
        <v>10-0051B</v>
      </c>
      <c r="D4445" s="8">
        <v>40203</v>
      </c>
      <c r="F4445" s="8">
        <v>40203</v>
      </c>
      <c r="G4445" s="8">
        <v>40203</v>
      </c>
      <c r="Y4445" s="8"/>
    </row>
    <row r="4446" spans="1:25" x14ac:dyDescent="0.25">
      <c r="A4446" t="str">
        <f>"10-0052"</f>
        <v>10-0052</v>
      </c>
      <c r="D4446" s="8">
        <v>40203</v>
      </c>
      <c r="F4446" s="8">
        <v>40203</v>
      </c>
      <c r="G4446" s="8">
        <v>40204</v>
      </c>
      <c r="Y4446" s="8"/>
    </row>
    <row r="4447" spans="1:25" x14ac:dyDescent="0.25">
      <c r="A4447" t="str">
        <f>"10-0053"</f>
        <v>10-0053</v>
      </c>
      <c r="D4447" s="8">
        <v>40203</v>
      </c>
      <c r="F4447" s="8">
        <v>40203</v>
      </c>
      <c r="G4447" s="8">
        <v>40203</v>
      </c>
      <c r="Y4447" s="8"/>
    </row>
    <row r="4448" spans="1:25" x14ac:dyDescent="0.25">
      <c r="A4448" t="str">
        <f>"10-0054"</f>
        <v>10-0054</v>
      </c>
      <c r="D4448" s="8">
        <v>40203</v>
      </c>
      <c r="F4448" s="8">
        <v>40203</v>
      </c>
      <c r="G4448" s="8">
        <v>40203</v>
      </c>
      <c r="Y4448" s="8"/>
    </row>
    <row r="4449" spans="1:25" x14ac:dyDescent="0.25">
      <c r="A4449" t="str">
        <f>"10-0055"</f>
        <v>10-0055</v>
      </c>
      <c r="D4449" s="8">
        <v>40203</v>
      </c>
      <c r="F4449" s="8">
        <v>40203</v>
      </c>
      <c r="G4449" s="8">
        <v>40203</v>
      </c>
      <c r="Y4449" s="8"/>
    </row>
    <row r="4450" spans="1:25" x14ac:dyDescent="0.25">
      <c r="A4450" t="str">
        <f>"10-0047B"</f>
        <v>10-0047B</v>
      </c>
      <c r="D4450" s="8">
        <v>40200</v>
      </c>
      <c r="F4450" s="8">
        <v>40200</v>
      </c>
      <c r="G4450" s="8">
        <v>40200</v>
      </c>
      <c r="Y4450" s="8"/>
    </row>
    <row r="4451" spans="1:25" x14ac:dyDescent="0.25">
      <c r="A4451" t="str">
        <f>"10-0049"</f>
        <v>10-0049</v>
      </c>
      <c r="D4451" s="8">
        <v>40200</v>
      </c>
      <c r="F4451" s="8">
        <v>40219</v>
      </c>
      <c r="G4451" s="8">
        <v>40200</v>
      </c>
      <c r="Y4451" s="8"/>
    </row>
    <row r="4452" spans="1:25" x14ac:dyDescent="0.25">
      <c r="A4452" t="str">
        <f>"10-0050"</f>
        <v>10-0050</v>
      </c>
      <c r="D4452" s="8">
        <v>40200</v>
      </c>
      <c r="F4452" s="8">
        <v>40200</v>
      </c>
      <c r="G4452" s="8">
        <v>40200</v>
      </c>
      <c r="Y4452" s="8"/>
    </row>
    <row r="4453" spans="1:25" x14ac:dyDescent="0.25">
      <c r="A4453" t="str">
        <f>"10-0010B"</f>
        <v>10-0010B</v>
      </c>
      <c r="D4453" s="8">
        <v>40199</v>
      </c>
      <c r="F4453" s="8">
        <v>40210</v>
      </c>
      <c r="G4453" s="8">
        <v>40199</v>
      </c>
      <c r="Y4453" s="8"/>
    </row>
    <row r="4454" spans="1:25" x14ac:dyDescent="0.25">
      <c r="A4454" t="str">
        <f>"10-0011B"</f>
        <v>10-0011B</v>
      </c>
      <c r="D4454" s="8">
        <v>40199</v>
      </c>
      <c r="F4454" s="8">
        <v>40210</v>
      </c>
      <c r="G4454" s="8">
        <v>40199</v>
      </c>
      <c r="Y4454" s="8"/>
    </row>
    <row r="4455" spans="1:25" x14ac:dyDescent="0.25">
      <c r="A4455" t="str">
        <f>"10-0012B"</f>
        <v>10-0012B</v>
      </c>
      <c r="D4455" s="8">
        <v>40199</v>
      </c>
      <c r="F4455" s="8">
        <v>40210</v>
      </c>
      <c r="G4455" s="8">
        <v>40199</v>
      </c>
      <c r="Y4455" s="8"/>
    </row>
    <row r="4456" spans="1:25" x14ac:dyDescent="0.25">
      <c r="A4456" t="str">
        <f>"10-0044"</f>
        <v>10-0044</v>
      </c>
      <c r="D4456" s="8">
        <v>40199</v>
      </c>
      <c r="F4456" s="8">
        <v>40199</v>
      </c>
      <c r="G4456" s="8">
        <v>40203</v>
      </c>
      <c r="Y4456" s="8"/>
    </row>
    <row r="4457" spans="1:25" x14ac:dyDescent="0.25">
      <c r="A4457" t="str">
        <f>"10-0045"</f>
        <v>10-0045</v>
      </c>
      <c r="D4457" s="8">
        <v>40199</v>
      </c>
      <c r="F4457" s="8">
        <v>40200</v>
      </c>
      <c r="G4457" s="8">
        <v>40200</v>
      </c>
      <c r="Y4457" s="8"/>
    </row>
    <row r="4458" spans="1:25" x14ac:dyDescent="0.25">
      <c r="A4458" t="str">
        <f>"10-0046"</f>
        <v>10-0046</v>
      </c>
      <c r="D4458" s="8">
        <v>40199</v>
      </c>
      <c r="F4458" s="8">
        <v>40199</v>
      </c>
      <c r="G4458" s="8">
        <v>40199</v>
      </c>
      <c r="Y4458" s="8"/>
    </row>
    <row r="4459" spans="1:25" x14ac:dyDescent="0.25">
      <c r="A4459" t="str">
        <f>"10-0047"</f>
        <v>10-0047</v>
      </c>
      <c r="D4459" s="8">
        <v>40199</v>
      </c>
      <c r="F4459" s="8">
        <v>40199</v>
      </c>
      <c r="G4459" s="8">
        <v>40199</v>
      </c>
      <c r="Y4459" s="8"/>
    </row>
    <row r="4460" spans="1:25" x14ac:dyDescent="0.25">
      <c r="A4460" t="str">
        <f>"10-0048"</f>
        <v>10-0048</v>
      </c>
      <c r="D4460" s="8">
        <v>40199</v>
      </c>
      <c r="F4460" s="8">
        <v>40199</v>
      </c>
      <c r="G4460" s="8">
        <v>40199</v>
      </c>
      <c r="Y4460" s="8"/>
    </row>
    <row r="4461" spans="1:25" x14ac:dyDescent="0.25">
      <c r="A4461" t="str">
        <f>"10-0040"</f>
        <v>10-0040</v>
      </c>
      <c r="D4461" s="8">
        <v>40198</v>
      </c>
      <c r="F4461" s="8">
        <v>40198</v>
      </c>
      <c r="G4461" s="8">
        <v>40198</v>
      </c>
      <c r="Y4461" s="8"/>
    </row>
    <row r="4462" spans="1:25" x14ac:dyDescent="0.25">
      <c r="A4462" t="str">
        <f>"10-0041"</f>
        <v>10-0041</v>
      </c>
      <c r="D4462" s="8">
        <v>40198</v>
      </c>
      <c r="F4462" s="8">
        <v>40198</v>
      </c>
      <c r="G4462" s="8">
        <v>40203</v>
      </c>
      <c r="Y4462" s="8"/>
    </row>
    <row r="4463" spans="1:25" x14ac:dyDescent="0.25">
      <c r="A4463" t="str">
        <f>"10-0042"</f>
        <v>10-0042</v>
      </c>
      <c r="D4463" s="8">
        <v>40198</v>
      </c>
      <c r="F4463" s="8">
        <v>40198</v>
      </c>
      <c r="G4463" s="8">
        <v>40198</v>
      </c>
      <c r="Y4463" s="8"/>
    </row>
    <row r="4464" spans="1:25" x14ac:dyDescent="0.25">
      <c r="A4464" t="str">
        <f>"10-0043"</f>
        <v>10-0043</v>
      </c>
      <c r="D4464" s="8">
        <v>40198</v>
      </c>
      <c r="F4464" s="8">
        <v>40199</v>
      </c>
      <c r="G4464" s="8">
        <v>40198</v>
      </c>
      <c r="Y4464" s="8"/>
    </row>
    <row r="4465" spans="1:25" x14ac:dyDescent="0.25">
      <c r="A4465" t="str">
        <f>"10-0037"</f>
        <v>10-0037</v>
      </c>
      <c r="D4465" s="8">
        <v>40197</v>
      </c>
      <c r="F4465" s="8">
        <v>40204</v>
      </c>
      <c r="G4465" s="8">
        <v>40203</v>
      </c>
      <c r="Y4465" s="8"/>
    </row>
    <row r="4466" spans="1:25" x14ac:dyDescent="0.25">
      <c r="A4466" t="str">
        <f>"10-0038"</f>
        <v>10-0038</v>
      </c>
      <c r="D4466" s="8">
        <v>40197</v>
      </c>
      <c r="F4466" s="8">
        <v>40198</v>
      </c>
      <c r="G4466" s="8">
        <v>40198</v>
      </c>
      <c r="Y4466" s="8"/>
    </row>
    <row r="4467" spans="1:25" x14ac:dyDescent="0.25">
      <c r="A4467" t="str">
        <f>"10-0039"</f>
        <v>10-0039</v>
      </c>
      <c r="D4467" s="8">
        <v>40197</v>
      </c>
      <c r="G4467" s="8">
        <v>40199</v>
      </c>
    </row>
    <row r="4468" spans="1:25" x14ac:dyDescent="0.25">
      <c r="A4468" t="str">
        <f>"10-0034"</f>
        <v>10-0034</v>
      </c>
      <c r="D4468" s="8">
        <v>40196</v>
      </c>
      <c r="F4468" s="8">
        <v>40196</v>
      </c>
      <c r="G4468" s="8">
        <v>40193</v>
      </c>
      <c r="Y4468" s="8"/>
    </row>
    <row r="4469" spans="1:25" x14ac:dyDescent="0.25">
      <c r="A4469" t="str">
        <f>"10-0035"</f>
        <v>10-0035</v>
      </c>
      <c r="D4469" s="8">
        <v>40196</v>
      </c>
      <c r="F4469" s="8">
        <v>40196</v>
      </c>
      <c r="G4469" s="8">
        <v>40199</v>
      </c>
      <c r="Y4469" s="8"/>
    </row>
    <row r="4470" spans="1:25" x14ac:dyDescent="0.25">
      <c r="A4470" t="str">
        <f>"10-0036"</f>
        <v>10-0036</v>
      </c>
      <c r="D4470" s="8">
        <v>40196</v>
      </c>
      <c r="F4470" s="8">
        <v>40196</v>
      </c>
      <c r="G4470" s="8">
        <v>40196</v>
      </c>
      <c r="Y4470" s="8"/>
    </row>
    <row r="4471" spans="1:25" x14ac:dyDescent="0.25">
      <c r="A4471" t="str">
        <f>"10-0033"</f>
        <v>10-0033</v>
      </c>
      <c r="D4471" s="8">
        <v>40193</v>
      </c>
      <c r="F4471" s="8">
        <v>40193</v>
      </c>
      <c r="G4471" s="8">
        <v>40193</v>
      </c>
      <c r="Y4471" s="8"/>
    </row>
    <row r="4472" spans="1:25" x14ac:dyDescent="0.25">
      <c r="A4472" t="str">
        <f>"10-0031"</f>
        <v>10-0031</v>
      </c>
      <c r="D4472" s="8">
        <v>40192</v>
      </c>
      <c r="F4472" s="8">
        <v>40204</v>
      </c>
      <c r="G4472" s="8">
        <v>40208</v>
      </c>
      <c r="Y4472" s="8"/>
    </row>
    <row r="4473" spans="1:25" x14ac:dyDescent="0.25">
      <c r="A4473" t="str">
        <f>"10-0032"</f>
        <v>10-0032</v>
      </c>
      <c r="D4473" s="8">
        <v>40192</v>
      </c>
      <c r="F4473" s="8">
        <v>40192</v>
      </c>
      <c r="G4473" s="8">
        <v>40192</v>
      </c>
      <c r="Y4473" s="8"/>
    </row>
    <row r="4474" spans="1:25" x14ac:dyDescent="0.25">
      <c r="A4474" t="str">
        <f>"09-0861B"</f>
        <v>09-0861B</v>
      </c>
      <c r="D4474" s="8">
        <v>40191</v>
      </c>
      <c r="F4474" s="8">
        <v>40191</v>
      </c>
      <c r="G4474" s="8">
        <v>40191</v>
      </c>
      <c r="Y4474" s="8"/>
    </row>
    <row r="4475" spans="1:25" x14ac:dyDescent="0.25">
      <c r="A4475" t="str">
        <f>"10-0025"</f>
        <v>10-0025</v>
      </c>
      <c r="D4475" s="8">
        <v>40191</v>
      </c>
      <c r="F4475" s="8">
        <v>40191</v>
      </c>
      <c r="G4475" s="8">
        <v>40191</v>
      </c>
      <c r="Y4475" s="8"/>
    </row>
    <row r="4476" spans="1:25" x14ac:dyDescent="0.25">
      <c r="A4476" t="str">
        <f>"10-0026"</f>
        <v>10-0026</v>
      </c>
      <c r="D4476" s="8">
        <v>40191</v>
      </c>
      <c r="F4476" s="8">
        <v>40191</v>
      </c>
      <c r="G4476" s="8">
        <v>40191</v>
      </c>
      <c r="Y4476" s="8"/>
    </row>
    <row r="4477" spans="1:25" x14ac:dyDescent="0.25">
      <c r="A4477" t="str">
        <f>"10-0027"</f>
        <v>10-0027</v>
      </c>
      <c r="D4477" s="8">
        <v>40191</v>
      </c>
      <c r="F4477" s="8">
        <v>40191</v>
      </c>
      <c r="G4477" s="8">
        <v>40191</v>
      </c>
      <c r="Y4477" s="8"/>
    </row>
    <row r="4478" spans="1:25" x14ac:dyDescent="0.25">
      <c r="A4478" t="str">
        <f>"10-0028"</f>
        <v>10-0028</v>
      </c>
      <c r="D4478" s="8">
        <v>40191</v>
      </c>
      <c r="F4478" s="8">
        <v>40191</v>
      </c>
      <c r="G4478" s="8">
        <v>40191</v>
      </c>
      <c r="Y4478" s="8"/>
    </row>
    <row r="4479" spans="1:25" x14ac:dyDescent="0.25">
      <c r="A4479" t="str">
        <f>"10-0029"</f>
        <v>10-0029</v>
      </c>
      <c r="D4479" s="8">
        <v>40191</v>
      </c>
      <c r="F4479" s="8">
        <v>40191</v>
      </c>
      <c r="G4479" s="8">
        <v>40191</v>
      </c>
      <c r="Y4479" s="8"/>
    </row>
    <row r="4480" spans="1:25" x14ac:dyDescent="0.25">
      <c r="A4480" t="str">
        <f>"10-0030"</f>
        <v>10-0030</v>
      </c>
      <c r="D4480" s="8">
        <v>40191</v>
      </c>
      <c r="F4480" s="8">
        <v>40191</v>
      </c>
      <c r="G4480" s="8">
        <v>40191</v>
      </c>
      <c r="Y4480" s="8"/>
    </row>
    <row r="4481" spans="1:25" x14ac:dyDescent="0.25">
      <c r="A4481" t="str">
        <f>"09-0937B"</f>
        <v>09-0937B</v>
      </c>
      <c r="D4481" s="8">
        <v>40190</v>
      </c>
      <c r="F4481" s="8">
        <v>40190</v>
      </c>
      <c r="G4481" s="8">
        <v>40190</v>
      </c>
      <c r="Y4481" s="8"/>
    </row>
    <row r="4482" spans="1:25" x14ac:dyDescent="0.25">
      <c r="A4482" t="str">
        <f>"10-0024"</f>
        <v>10-0024</v>
      </c>
      <c r="D4482" s="8">
        <v>40190</v>
      </c>
      <c r="F4482" s="8">
        <v>40190</v>
      </c>
      <c r="G4482" s="8">
        <v>40190</v>
      </c>
      <c r="Y4482" s="8"/>
    </row>
    <row r="4483" spans="1:25" x14ac:dyDescent="0.25">
      <c r="A4483" t="str">
        <f>"10-0018"</f>
        <v>10-0018</v>
      </c>
      <c r="D4483" s="8">
        <v>40189</v>
      </c>
      <c r="F4483" s="8">
        <v>40228</v>
      </c>
      <c r="G4483" s="8">
        <v>40189</v>
      </c>
      <c r="Y4483" s="8"/>
    </row>
    <row r="4484" spans="1:25" x14ac:dyDescent="0.25">
      <c r="A4484" t="str">
        <f>"10-0019"</f>
        <v>10-0019</v>
      </c>
      <c r="D4484" s="8">
        <v>40189</v>
      </c>
      <c r="F4484" s="8">
        <v>40189</v>
      </c>
      <c r="G4484" s="8">
        <v>40189</v>
      </c>
      <c r="Y4484" s="8"/>
    </row>
    <row r="4485" spans="1:25" x14ac:dyDescent="0.25">
      <c r="A4485" t="str">
        <f>"10-0020"</f>
        <v>10-0020</v>
      </c>
      <c r="D4485" s="8">
        <v>40189</v>
      </c>
      <c r="F4485" s="8">
        <v>40189</v>
      </c>
      <c r="G4485" s="8">
        <v>40189</v>
      </c>
      <c r="Y4485" s="8"/>
    </row>
    <row r="4486" spans="1:25" x14ac:dyDescent="0.25">
      <c r="A4486" t="str">
        <f>"10-0021"</f>
        <v>10-0021</v>
      </c>
      <c r="D4486" s="8">
        <v>40189</v>
      </c>
      <c r="F4486" s="8">
        <v>40203</v>
      </c>
      <c r="G4486" s="8">
        <v>40193</v>
      </c>
      <c r="Y4486" s="8"/>
    </row>
    <row r="4487" spans="1:25" x14ac:dyDescent="0.25">
      <c r="A4487" t="str">
        <f>"10-0015"</f>
        <v>10-0015</v>
      </c>
      <c r="D4487" s="8">
        <v>40185</v>
      </c>
      <c r="F4487" s="8">
        <v>40185</v>
      </c>
      <c r="G4487" s="8">
        <v>40185</v>
      </c>
      <c r="Y4487" s="8"/>
    </row>
    <row r="4488" spans="1:25" x14ac:dyDescent="0.25">
      <c r="A4488" t="str">
        <f>"10-0016"</f>
        <v>10-0016</v>
      </c>
      <c r="D4488" s="8">
        <v>40185</v>
      </c>
      <c r="F4488" s="8">
        <v>40185</v>
      </c>
      <c r="G4488" s="8">
        <v>40185</v>
      </c>
      <c r="Y4488" s="8"/>
    </row>
    <row r="4489" spans="1:25" x14ac:dyDescent="0.25">
      <c r="A4489" t="str">
        <f>"10-0017"</f>
        <v>10-0017</v>
      </c>
      <c r="D4489" s="8">
        <v>40185</v>
      </c>
      <c r="F4489" s="8">
        <v>40185</v>
      </c>
      <c r="G4489" s="8">
        <v>40185</v>
      </c>
      <c r="Y4489" s="8"/>
    </row>
    <row r="4490" spans="1:25" x14ac:dyDescent="0.25">
      <c r="A4490" t="str">
        <f>"10-0008"</f>
        <v>10-0008</v>
      </c>
      <c r="D4490" s="8">
        <v>40184</v>
      </c>
      <c r="F4490" s="8">
        <v>40192</v>
      </c>
      <c r="G4490" s="8">
        <v>40184</v>
      </c>
      <c r="Y4490" s="8"/>
    </row>
    <row r="4491" spans="1:25" x14ac:dyDescent="0.25">
      <c r="A4491" t="str">
        <f>"10-0009"</f>
        <v>10-0009</v>
      </c>
      <c r="D4491" s="8">
        <v>40184</v>
      </c>
      <c r="F4491" s="8">
        <v>40184</v>
      </c>
      <c r="G4491" s="8">
        <v>40184</v>
      </c>
      <c r="Y4491" s="8"/>
    </row>
    <row r="4492" spans="1:25" x14ac:dyDescent="0.25">
      <c r="A4492" t="str">
        <f>"10-0010"</f>
        <v>10-0010</v>
      </c>
      <c r="D4492" s="8">
        <v>40184</v>
      </c>
      <c r="F4492" s="8">
        <v>40210</v>
      </c>
      <c r="G4492" s="8">
        <v>40186</v>
      </c>
      <c r="Y4492" s="8"/>
    </row>
    <row r="4493" spans="1:25" x14ac:dyDescent="0.25">
      <c r="A4493" t="str">
        <f>"10-0011"</f>
        <v>10-0011</v>
      </c>
      <c r="D4493" s="8">
        <v>40184</v>
      </c>
      <c r="F4493" s="8">
        <v>40189</v>
      </c>
      <c r="G4493" s="8">
        <v>40186</v>
      </c>
      <c r="Y4493" s="8"/>
    </row>
    <row r="4494" spans="1:25" x14ac:dyDescent="0.25">
      <c r="A4494" t="str">
        <f>"10-0012"</f>
        <v>10-0012</v>
      </c>
      <c r="D4494" s="8">
        <v>40184</v>
      </c>
      <c r="F4494" s="8">
        <v>40189</v>
      </c>
      <c r="G4494" s="8">
        <v>40186</v>
      </c>
      <c r="Y4494" s="8"/>
    </row>
    <row r="4495" spans="1:25" x14ac:dyDescent="0.25">
      <c r="A4495" t="str">
        <f>"10-0013"</f>
        <v>10-0013</v>
      </c>
      <c r="D4495" s="8">
        <v>40184</v>
      </c>
      <c r="F4495" s="8">
        <v>40294</v>
      </c>
      <c r="G4495" s="8">
        <v>40184</v>
      </c>
      <c r="Y4495" s="8"/>
    </row>
    <row r="4496" spans="1:25" x14ac:dyDescent="0.25">
      <c r="A4496" t="str">
        <f>"10-0014"</f>
        <v>10-0014</v>
      </c>
      <c r="D4496" s="8">
        <v>40184</v>
      </c>
      <c r="F4496" s="8">
        <v>40185</v>
      </c>
      <c r="G4496" s="8">
        <v>40184</v>
      </c>
      <c r="Y4496" s="8"/>
    </row>
    <row r="4497" spans="1:25" x14ac:dyDescent="0.25">
      <c r="A4497" t="str">
        <f>"10-0005"</f>
        <v>10-0005</v>
      </c>
      <c r="D4497" s="8">
        <v>40183</v>
      </c>
      <c r="F4497" s="8">
        <v>40203</v>
      </c>
      <c r="G4497" s="8">
        <v>40183</v>
      </c>
      <c r="Y4497" s="8"/>
    </row>
    <row r="4498" spans="1:25" x14ac:dyDescent="0.25">
      <c r="A4498" t="str">
        <f>"10-0006"</f>
        <v>10-0006</v>
      </c>
      <c r="D4498" s="8">
        <v>40183</v>
      </c>
      <c r="F4498" s="8">
        <v>40213</v>
      </c>
      <c r="G4498" s="8">
        <v>40183</v>
      </c>
      <c r="Y4498" s="8"/>
    </row>
    <row r="4499" spans="1:25" x14ac:dyDescent="0.25">
      <c r="A4499" t="str">
        <f>"10-0007"</f>
        <v>10-0007</v>
      </c>
      <c r="D4499" s="8">
        <v>40183</v>
      </c>
      <c r="F4499" s="8">
        <v>40183</v>
      </c>
      <c r="G4499" s="8">
        <v>40183</v>
      </c>
      <c r="Y4499" s="8"/>
    </row>
    <row r="4500" spans="1:25" x14ac:dyDescent="0.25">
      <c r="A4500" t="str">
        <f>"10-0001"</f>
        <v>10-0001</v>
      </c>
      <c r="D4500" s="8">
        <v>40182</v>
      </c>
      <c r="F4500" s="8">
        <v>40183</v>
      </c>
      <c r="G4500" s="8">
        <v>40182</v>
      </c>
      <c r="Y4500" s="8"/>
    </row>
    <row r="4501" spans="1:25" x14ac:dyDescent="0.25">
      <c r="A4501" t="str">
        <f>"10-0002"</f>
        <v>10-0002</v>
      </c>
      <c r="D4501" s="8">
        <v>40182</v>
      </c>
      <c r="F4501" s="8">
        <v>40197</v>
      </c>
      <c r="G4501" s="8">
        <v>40193</v>
      </c>
      <c r="Y4501" s="8"/>
    </row>
    <row r="4502" spans="1:25" x14ac:dyDescent="0.25">
      <c r="A4502" t="str">
        <f>"10-0003"</f>
        <v>10-0003</v>
      </c>
      <c r="D4502" s="8">
        <v>40182</v>
      </c>
      <c r="G4502" s="8">
        <v>40183</v>
      </c>
    </row>
    <row r="4503" spans="1:25" x14ac:dyDescent="0.25">
      <c r="A4503" t="str">
        <f>"10-0004"</f>
        <v>10-0004</v>
      </c>
      <c r="D4503" s="8">
        <v>40182</v>
      </c>
      <c r="F4503" s="8">
        <v>40182</v>
      </c>
      <c r="G4503" s="8">
        <v>40182</v>
      </c>
      <c r="Y4503" s="8"/>
    </row>
    <row r="4504" spans="1:25" x14ac:dyDescent="0.25">
      <c r="A4504" t="str">
        <f>"09-0955"</f>
        <v>09-0955</v>
      </c>
      <c r="D4504" s="8">
        <v>40177</v>
      </c>
      <c r="F4504" s="8">
        <v>40177</v>
      </c>
      <c r="G4504" s="8">
        <v>40177</v>
      </c>
      <c r="Y4504" s="8"/>
    </row>
    <row r="4505" spans="1:25" x14ac:dyDescent="0.25">
      <c r="A4505" t="str">
        <f>"09-0956"</f>
        <v>09-0956</v>
      </c>
      <c r="D4505" s="8">
        <v>40177</v>
      </c>
      <c r="F4505" s="8">
        <v>40207</v>
      </c>
      <c r="G4505" s="8">
        <v>40177</v>
      </c>
      <c r="Y4505" s="8"/>
    </row>
    <row r="4506" spans="1:25" x14ac:dyDescent="0.25">
      <c r="A4506" t="str">
        <f>"09-0957"</f>
        <v>09-0957</v>
      </c>
      <c r="D4506" s="8">
        <v>40177</v>
      </c>
      <c r="F4506" s="8">
        <v>40177</v>
      </c>
      <c r="G4506" s="8">
        <v>40177</v>
      </c>
      <c r="Y4506" s="8"/>
    </row>
    <row r="4507" spans="1:25" x14ac:dyDescent="0.25">
      <c r="A4507" t="str">
        <f>"09-0841-2"</f>
        <v>09-0841-2</v>
      </c>
      <c r="D4507" s="8">
        <v>40170</v>
      </c>
      <c r="F4507" s="8">
        <v>40170</v>
      </c>
      <c r="G4507" s="8">
        <v>40170</v>
      </c>
      <c r="Y4507" s="8"/>
    </row>
    <row r="4508" spans="1:25" x14ac:dyDescent="0.25">
      <c r="A4508" t="str">
        <f>"09-0948"</f>
        <v>09-0948</v>
      </c>
      <c r="D4508" s="8">
        <v>40170</v>
      </c>
      <c r="F4508" s="8">
        <v>40170</v>
      </c>
      <c r="G4508" s="8">
        <v>40170</v>
      </c>
      <c r="Y4508" s="8"/>
    </row>
    <row r="4509" spans="1:25" x14ac:dyDescent="0.25">
      <c r="A4509" t="str">
        <f>"09-0949"</f>
        <v>09-0949</v>
      </c>
      <c r="D4509" s="8">
        <v>40170</v>
      </c>
      <c r="F4509" s="8">
        <v>40170</v>
      </c>
      <c r="G4509" s="8">
        <v>40170</v>
      </c>
      <c r="Y4509" s="8"/>
    </row>
    <row r="4510" spans="1:25" x14ac:dyDescent="0.25">
      <c r="A4510" t="str">
        <f>"09-0950"</f>
        <v>09-0950</v>
      </c>
      <c r="D4510" s="8">
        <v>40170</v>
      </c>
      <c r="F4510" s="8">
        <v>40170</v>
      </c>
      <c r="G4510" s="8">
        <v>40170</v>
      </c>
      <c r="Y4510" s="8"/>
    </row>
    <row r="4511" spans="1:25" x14ac:dyDescent="0.25">
      <c r="A4511" t="str">
        <f>"09-0952"</f>
        <v>09-0952</v>
      </c>
      <c r="D4511" s="8">
        <v>40170</v>
      </c>
      <c r="F4511" s="8">
        <v>40170</v>
      </c>
      <c r="G4511" s="8">
        <v>40170</v>
      </c>
      <c r="Y4511" s="8"/>
    </row>
    <row r="4512" spans="1:25" x14ac:dyDescent="0.25">
      <c r="A4512" t="str">
        <f>"09-0953"</f>
        <v>09-0953</v>
      </c>
      <c r="D4512" s="8">
        <v>40170</v>
      </c>
      <c r="F4512" s="8">
        <v>40170</v>
      </c>
      <c r="G4512" s="8">
        <v>40170</v>
      </c>
      <c r="Y4512" s="8"/>
    </row>
    <row r="4513" spans="1:25" x14ac:dyDescent="0.25">
      <c r="A4513" t="str">
        <f>"09-0954"</f>
        <v>09-0954</v>
      </c>
      <c r="D4513" s="8">
        <v>40170</v>
      </c>
      <c r="F4513" s="8">
        <v>40170</v>
      </c>
      <c r="G4513" s="8">
        <v>40171</v>
      </c>
      <c r="Y4513" s="8"/>
    </row>
    <row r="4514" spans="1:25" x14ac:dyDescent="0.25">
      <c r="A4514" t="str">
        <f>"09-0938B"</f>
        <v>09-0938B</v>
      </c>
      <c r="D4514" s="8">
        <v>40169</v>
      </c>
      <c r="F4514" s="8">
        <v>40169</v>
      </c>
      <c r="G4514" s="8">
        <v>40170</v>
      </c>
      <c r="Y4514" s="8"/>
    </row>
    <row r="4515" spans="1:25" x14ac:dyDescent="0.25">
      <c r="A4515" t="str">
        <f>"09-0947"</f>
        <v>09-0947</v>
      </c>
      <c r="D4515" s="8">
        <v>40169</v>
      </c>
      <c r="F4515" s="8">
        <v>40169</v>
      </c>
      <c r="G4515" s="8">
        <v>40171</v>
      </c>
      <c r="Y4515" s="8"/>
    </row>
    <row r="4516" spans="1:25" x14ac:dyDescent="0.25">
      <c r="A4516" t="str">
        <f>"09-0811B"</f>
        <v>09-0811B</v>
      </c>
      <c r="D4516" s="8">
        <v>40168</v>
      </c>
      <c r="F4516" s="8">
        <v>40168</v>
      </c>
      <c r="G4516" s="8">
        <v>40168</v>
      </c>
      <c r="Y4516" s="8"/>
    </row>
    <row r="4517" spans="1:25" x14ac:dyDescent="0.25">
      <c r="A4517" t="str">
        <f>"09-0942"</f>
        <v>09-0942</v>
      </c>
      <c r="D4517" s="8">
        <v>40168</v>
      </c>
      <c r="F4517" s="8">
        <v>40168</v>
      </c>
      <c r="G4517" s="8">
        <v>40168</v>
      </c>
      <c r="Y4517" s="8"/>
    </row>
    <row r="4518" spans="1:25" x14ac:dyDescent="0.25">
      <c r="A4518" t="str">
        <f>"09-0943"</f>
        <v>09-0943</v>
      </c>
      <c r="D4518" s="8">
        <v>40168</v>
      </c>
      <c r="F4518" s="8">
        <v>40228</v>
      </c>
      <c r="G4518" s="8">
        <v>40168</v>
      </c>
      <c r="Y4518" s="8"/>
    </row>
    <row r="4519" spans="1:25" x14ac:dyDescent="0.25">
      <c r="A4519" t="str">
        <f>"09-0944"</f>
        <v>09-0944</v>
      </c>
      <c r="D4519" s="8">
        <v>40168</v>
      </c>
      <c r="F4519" s="8">
        <v>40168</v>
      </c>
      <c r="G4519" s="8">
        <v>40168</v>
      </c>
      <c r="Y4519" s="8"/>
    </row>
    <row r="4520" spans="1:25" x14ac:dyDescent="0.25">
      <c r="A4520" t="str">
        <f>"09-0945"</f>
        <v>09-0945</v>
      </c>
      <c r="D4520" s="8">
        <v>40168</v>
      </c>
      <c r="F4520" s="8">
        <v>40168</v>
      </c>
      <c r="G4520" s="8">
        <v>40168</v>
      </c>
      <c r="Y4520" s="8"/>
    </row>
    <row r="4521" spans="1:25" x14ac:dyDescent="0.25">
      <c r="A4521" t="str">
        <f>"09-0946"</f>
        <v>09-0946</v>
      </c>
      <c r="D4521" s="8">
        <v>40168</v>
      </c>
      <c r="F4521" s="8">
        <v>40168</v>
      </c>
      <c r="G4521" s="8">
        <v>40168</v>
      </c>
      <c r="Y4521" s="8"/>
    </row>
    <row r="4522" spans="1:25" x14ac:dyDescent="0.25">
      <c r="A4522" t="str">
        <f>"09-0899B"</f>
        <v>09-0899B</v>
      </c>
      <c r="D4522" s="8">
        <v>40165</v>
      </c>
      <c r="F4522" s="8">
        <v>40165</v>
      </c>
      <c r="G4522" s="8">
        <v>40165</v>
      </c>
      <c r="Y4522" s="8"/>
    </row>
    <row r="4523" spans="1:25" x14ac:dyDescent="0.25">
      <c r="A4523" t="str">
        <f>"09-0937"</f>
        <v>09-0937</v>
      </c>
      <c r="D4523" s="8">
        <v>40165</v>
      </c>
      <c r="F4523" s="8">
        <v>40259</v>
      </c>
      <c r="G4523" s="8">
        <v>40165</v>
      </c>
      <c r="Y4523" s="8"/>
    </row>
    <row r="4524" spans="1:25" x14ac:dyDescent="0.25">
      <c r="A4524" t="str">
        <f>"09-0938"</f>
        <v>09-0938</v>
      </c>
      <c r="D4524" s="8">
        <v>40165</v>
      </c>
      <c r="F4524" s="8">
        <v>40168</v>
      </c>
      <c r="G4524" s="8">
        <v>40165</v>
      </c>
      <c r="Y4524" s="8"/>
    </row>
    <row r="4525" spans="1:25" x14ac:dyDescent="0.25">
      <c r="A4525" t="str">
        <f>"09-0939"</f>
        <v>09-0939</v>
      </c>
      <c r="D4525" s="8">
        <v>40165</v>
      </c>
      <c r="F4525" s="8">
        <v>40165</v>
      </c>
      <c r="G4525" s="8">
        <v>40165</v>
      </c>
      <c r="Y4525" s="8"/>
    </row>
    <row r="4526" spans="1:25" x14ac:dyDescent="0.25">
      <c r="A4526" t="str">
        <f>"09-0940"</f>
        <v>09-0940</v>
      </c>
      <c r="D4526" s="8">
        <v>40165</v>
      </c>
      <c r="F4526" s="8">
        <v>40165</v>
      </c>
      <c r="G4526" s="8">
        <v>40165</v>
      </c>
      <c r="Y4526" s="8"/>
    </row>
    <row r="4527" spans="1:25" x14ac:dyDescent="0.25">
      <c r="A4527" t="str">
        <f>"09-0941"</f>
        <v>09-0941</v>
      </c>
      <c r="D4527" s="8">
        <v>40165</v>
      </c>
      <c r="F4527" s="8">
        <v>40165</v>
      </c>
      <c r="G4527" s="8">
        <v>40165</v>
      </c>
      <c r="Y4527" s="8"/>
    </row>
    <row r="4528" spans="1:25" x14ac:dyDescent="0.25">
      <c r="A4528" t="str">
        <f>"09-0934"</f>
        <v>09-0934</v>
      </c>
      <c r="D4528" s="8">
        <v>40164</v>
      </c>
      <c r="F4528" s="8">
        <v>40164</v>
      </c>
      <c r="G4528" s="8">
        <v>40164</v>
      </c>
      <c r="Y4528" s="8"/>
    </row>
    <row r="4529" spans="1:25" x14ac:dyDescent="0.25">
      <c r="A4529" t="str">
        <f>"09-0935"</f>
        <v>09-0935</v>
      </c>
      <c r="D4529" s="8">
        <v>40164</v>
      </c>
      <c r="F4529" s="8">
        <v>40165</v>
      </c>
      <c r="G4529" s="8">
        <v>40164</v>
      </c>
      <c r="Y4529" s="8"/>
    </row>
    <row r="4530" spans="1:25" x14ac:dyDescent="0.25">
      <c r="A4530" t="str">
        <f>"09-0936"</f>
        <v>09-0936</v>
      </c>
      <c r="D4530" s="8">
        <v>40164</v>
      </c>
      <c r="F4530" s="8">
        <v>40185</v>
      </c>
      <c r="G4530" s="8">
        <v>40164</v>
      </c>
      <c r="Y4530" s="8"/>
    </row>
    <row r="4531" spans="1:25" x14ac:dyDescent="0.25">
      <c r="A4531" t="str">
        <f>"09-0929"</f>
        <v>09-0929</v>
      </c>
      <c r="D4531" s="8">
        <v>40163</v>
      </c>
      <c r="F4531" s="8">
        <v>40163</v>
      </c>
      <c r="G4531" s="8">
        <v>40163</v>
      </c>
      <c r="Y4531" s="8"/>
    </row>
    <row r="4532" spans="1:25" x14ac:dyDescent="0.25">
      <c r="A4532" t="str">
        <f>"09-0930"</f>
        <v>09-0930</v>
      </c>
      <c r="D4532" s="8">
        <v>40163</v>
      </c>
      <c r="F4532" s="8">
        <v>40164</v>
      </c>
      <c r="G4532" s="8">
        <v>40167</v>
      </c>
      <c r="Y4532" s="8"/>
    </row>
    <row r="4533" spans="1:25" x14ac:dyDescent="0.25">
      <c r="A4533" t="str">
        <f>"09-0931"</f>
        <v>09-0931</v>
      </c>
      <c r="D4533" s="8">
        <v>40163</v>
      </c>
      <c r="F4533" s="8">
        <v>40163</v>
      </c>
      <c r="G4533" s="8">
        <v>40163</v>
      </c>
      <c r="Y4533" s="8"/>
    </row>
    <row r="4534" spans="1:25" x14ac:dyDescent="0.25">
      <c r="A4534" t="str">
        <f>"09-0932"</f>
        <v>09-0932</v>
      </c>
      <c r="D4534" s="8">
        <v>40163</v>
      </c>
      <c r="F4534" s="8">
        <v>40163</v>
      </c>
      <c r="G4534" s="8">
        <v>40163</v>
      </c>
      <c r="Y4534" s="8"/>
    </row>
    <row r="4535" spans="1:25" x14ac:dyDescent="0.25">
      <c r="A4535" t="str">
        <f>"09-0933"</f>
        <v>09-0933</v>
      </c>
      <c r="D4535" s="8">
        <v>40163</v>
      </c>
      <c r="F4535" s="8">
        <v>40163</v>
      </c>
      <c r="G4535" s="8">
        <v>40163</v>
      </c>
      <c r="Y4535" s="8"/>
    </row>
    <row r="4536" spans="1:25" x14ac:dyDescent="0.25">
      <c r="A4536" t="str">
        <f>"09-0924"</f>
        <v>09-0924</v>
      </c>
      <c r="D4536" s="8">
        <v>40162</v>
      </c>
      <c r="F4536" s="8">
        <v>40162</v>
      </c>
      <c r="G4536" s="8">
        <v>40163</v>
      </c>
      <c r="Y4536" s="8"/>
    </row>
    <row r="4537" spans="1:25" x14ac:dyDescent="0.25">
      <c r="A4537" t="str">
        <f>"09-0925"</f>
        <v>09-0925</v>
      </c>
      <c r="D4537" s="8">
        <v>40162</v>
      </c>
      <c r="F4537" s="8">
        <v>41918</v>
      </c>
      <c r="G4537" s="8">
        <v>40162</v>
      </c>
      <c r="Y4537" s="8"/>
    </row>
    <row r="4538" spans="1:25" x14ac:dyDescent="0.25">
      <c r="A4538" t="str">
        <f>"09-0926"</f>
        <v>09-0926</v>
      </c>
      <c r="D4538" s="8">
        <v>40162</v>
      </c>
      <c r="F4538" s="8">
        <v>40162</v>
      </c>
      <c r="G4538" s="8">
        <v>40162</v>
      </c>
      <c r="Y4538" s="8"/>
    </row>
    <row r="4539" spans="1:25" x14ac:dyDescent="0.25">
      <c r="A4539" t="str">
        <f>"09-0927"</f>
        <v>09-0927</v>
      </c>
      <c r="D4539" s="8">
        <v>40162</v>
      </c>
      <c r="F4539" s="8">
        <v>40163</v>
      </c>
      <c r="G4539" s="8">
        <v>40162</v>
      </c>
      <c r="Y4539" s="8"/>
    </row>
    <row r="4540" spans="1:25" x14ac:dyDescent="0.25">
      <c r="A4540" t="str">
        <f>"09-0928"</f>
        <v>09-0928</v>
      </c>
      <c r="D4540" s="8">
        <v>40162</v>
      </c>
      <c r="F4540" s="8">
        <v>40162</v>
      </c>
      <c r="G4540" s="8">
        <v>40162</v>
      </c>
      <c r="Y4540" s="8"/>
    </row>
    <row r="4541" spans="1:25" x14ac:dyDescent="0.25">
      <c r="A4541" t="str">
        <f>"09-0918"</f>
        <v>09-0918</v>
      </c>
      <c r="D4541" s="8">
        <v>40161</v>
      </c>
      <c r="F4541" s="8">
        <v>40161</v>
      </c>
      <c r="G4541" s="8">
        <v>40161</v>
      </c>
      <c r="Y4541" s="8"/>
    </row>
    <row r="4542" spans="1:25" x14ac:dyDescent="0.25">
      <c r="A4542" t="str">
        <f>"09-0919"</f>
        <v>09-0919</v>
      </c>
      <c r="D4542" s="8">
        <v>40161</v>
      </c>
      <c r="F4542" s="8">
        <v>40162</v>
      </c>
      <c r="G4542" s="8">
        <v>40165</v>
      </c>
      <c r="Y4542" s="8"/>
    </row>
    <row r="4543" spans="1:25" x14ac:dyDescent="0.25">
      <c r="A4543" t="str">
        <f>"09-0920"</f>
        <v>09-0920</v>
      </c>
      <c r="D4543" s="8">
        <v>40161</v>
      </c>
      <c r="F4543" s="8">
        <v>40161</v>
      </c>
      <c r="G4543" s="8">
        <v>40161</v>
      </c>
      <c r="Y4543" s="8"/>
    </row>
    <row r="4544" spans="1:25" x14ac:dyDescent="0.25">
      <c r="A4544" t="str">
        <f>"09-0920B"</f>
        <v>09-0920B</v>
      </c>
      <c r="D4544" s="8">
        <v>40161</v>
      </c>
      <c r="F4544" s="8">
        <v>40338</v>
      </c>
      <c r="G4544" s="8">
        <v>40161</v>
      </c>
      <c r="Y4544" s="8"/>
    </row>
    <row r="4545" spans="1:25" x14ac:dyDescent="0.25">
      <c r="A4545" t="str">
        <f>"09-0922"</f>
        <v>09-0922</v>
      </c>
      <c r="D4545" s="8">
        <v>40161</v>
      </c>
      <c r="F4545" s="8">
        <v>40161</v>
      </c>
      <c r="G4545" s="8">
        <v>40161</v>
      </c>
      <c r="Y4545" s="8"/>
    </row>
    <row r="4546" spans="1:25" x14ac:dyDescent="0.25">
      <c r="A4546" t="str">
        <f>"09-0923"</f>
        <v>09-0923</v>
      </c>
      <c r="D4546" s="8">
        <v>40161</v>
      </c>
      <c r="F4546" s="8">
        <v>40161</v>
      </c>
      <c r="G4546" s="8">
        <v>40161</v>
      </c>
      <c r="Y4546" s="8"/>
    </row>
    <row r="4547" spans="1:25" x14ac:dyDescent="0.25">
      <c r="A4547" t="str">
        <f>"09-0893B"</f>
        <v>09-0893B</v>
      </c>
      <c r="D4547" s="8">
        <v>40158</v>
      </c>
      <c r="F4547" s="8">
        <v>40158</v>
      </c>
      <c r="G4547" s="8">
        <v>40158</v>
      </c>
      <c r="Y4547" s="8"/>
    </row>
    <row r="4548" spans="1:25" x14ac:dyDescent="0.25">
      <c r="A4548" t="str">
        <f>"09-0912"</f>
        <v>09-0912</v>
      </c>
      <c r="D4548" s="8">
        <v>40158</v>
      </c>
      <c r="F4548" s="8">
        <v>40158</v>
      </c>
      <c r="G4548" s="8">
        <v>40157</v>
      </c>
      <c r="Y4548" s="8"/>
    </row>
    <row r="4549" spans="1:25" x14ac:dyDescent="0.25">
      <c r="A4549" t="str">
        <f>"09-0913"</f>
        <v>09-0913</v>
      </c>
      <c r="D4549" s="8">
        <v>40158</v>
      </c>
      <c r="F4549" s="8">
        <v>40158</v>
      </c>
      <c r="G4549" s="8">
        <v>40158</v>
      </c>
      <c r="Y4549" s="8"/>
    </row>
    <row r="4550" spans="1:25" x14ac:dyDescent="0.25">
      <c r="A4550" t="str">
        <f>"09-0914"</f>
        <v>09-0914</v>
      </c>
      <c r="D4550" s="8">
        <v>40158</v>
      </c>
      <c r="F4550" s="8">
        <v>40163</v>
      </c>
      <c r="G4550" s="8">
        <v>40161</v>
      </c>
    </row>
    <row r="4551" spans="1:25" x14ac:dyDescent="0.25">
      <c r="A4551" t="str">
        <f>"09-0915"</f>
        <v>09-0915</v>
      </c>
      <c r="D4551" s="8">
        <v>40158</v>
      </c>
      <c r="F4551" s="8">
        <v>40163</v>
      </c>
      <c r="G4551" s="8">
        <v>40161</v>
      </c>
      <c r="Y4551" s="8"/>
    </row>
    <row r="4552" spans="1:25" x14ac:dyDescent="0.25">
      <c r="A4552" t="str">
        <f>"09-0916"</f>
        <v>09-0916</v>
      </c>
      <c r="D4552" s="8">
        <v>40158</v>
      </c>
      <c r="F4552" s="8">
        <v>40161</v>
      </c>
      <c r="G4552" s="8">
        <v>40161</v>
      </c>
      <c r="Y4552" s="8"/>
    </row>
    <row r="4553" spans="1:25" x14ac:dyDescent="0.25">
      <c r="A4553" t="str">
        <f>"09-0917"</f>
        <v>09-0917</v>
      </c>
      <c r="D4553" s="8">
        <v>40158</v>
      </c>
      <c r="F4553" s="8">
        <v>40158</v>
      </c>
      <c r="G4553" s="8">
        <v>40161</v>
      </c>
      <c r="Y4553" s="8"/>
    </row>
    <row r="4554" spans="1:25" x14ac:dyDescent="0.25">
      <c r="A4554" t="str">
        <f>"09-0904"</f>
        <v>09-0904</v>
      </c>
      <c r="D4554" s="8">
        <v>40157</v>
      </c>
      <c r="F4554" s="8">
        <v>40157</v>
      </c>
      <c r="G4554" s="8">
        <v>40157</v>
      </c>
      <c r="Y4554" s="8"/>
    </row>
    <row r="4555" spans="1:25" x14ac:dyDescent="0.25">
      <c r="A4555" t="str">
        <f>"09-0905"</f>
        <v>09-0905</v>
      </c>
      <c r="D4555" s="8">
        <v>40157</v>
      </c>
      <c r="F4555" s="8">
        <v>40157</v>
      </c>
      <c r="G4555" s="8">
        <v>40158</v>
      </c>
      <c r="Y4555" s="8"/>
    </row>
    <row r="4556" spans="1:25" x14ac:dyDescent="0.25">
      <c r="A4556" t="str">
        <f>"09-0906"</f>
        <v>09-0906</v>
      </c>
      <c r="D4556" s="8">
        <v>40157</v>
      </c>
      <c r="F4556" s="8">
        <v>40157</v>
      </c>
      <c r="G4556" s="8">
        <v>40157</v>
      </c>
      <c r="Y4556" s="8"/>
    </row>
    <row r="4557" spans="1:25" x14ac:dyDescent="0.25">
      <c r="A4557" t="str">
        <f>"09-0907"</f>
        <v>09-0907</v>
      </c>
      <c r="D4557" s="8">
        <v>40157</v>
      </c>
      <c r="F4557" s="8">
        <v>40157</v>
      </c>
      <c r="G4557" s="8">
        <v>40157</v>
      </c>
      <c r="Y4557" s="8"/>
    </row>
    <row r="4558" spans="1:25" x14ac:dyDescent="0.25">
      <c r="A4558" t="str">
        <f>"09-0908"</f>
        <v>09-0908</v>
      </c>
      <c r="D4558" s="8">
        <v>40157</v>
      </c>
      <c r="F4558" s="8">
        <v>40157</v>
      </c>
      <c r="G4558" s="8">
        <v>40157</v>
      </c>
      <c r="Y4558" s="8"/>
    </row>
    <row r="4559" spans="1:25" x14ac:dyDescent="0.25">
      <c r="A4559" t="str">
        <f>"09-0909"</f>
        <v>09-0909</v>
      </c>
      <c r="D4559" s="8">
        <v>40157</v>
      </c>
      <c r="F4559" s="8">
        <v>40157</v>
      </c>
      <c r="G4559" s="8">
        <v>40157</v>
      </c>
      <c r="Y4559" s="8"/>
    </row>
    <row r="4560" spans="1:25" x14ac:dyDescent="0.25">
      <c r="A4560" t="str">
        <f>"09-0910"</f>
        <v>09-0910</v>
      </c>
      <c r="D4560" s="8">
        <v>40157</v>
      </c>
      <c r="F4560" s="8">
        <v>40157</v>
      </c>
      <c r="G4560" s="8">
        <v>40157</v>
      </c>
      <c r="Y4560" s="8"/>
    </row>
    <row r="4561" spans="1:25" x14ac:dyDescent="0.25">
      <c r="A4561" t="str">
        <f>"09-0911"</f>
        <v>09-0911</v>
      </c>
      <c r="D4561" s="8">
        <v>40157</v>
      </c>
      <c r="F4561" s="8">
        <v>40157</v>
      </c>
      <c r="G4561" s="8">
        <v>40157</v>
      </c>
      <c r="Y4561" s="8"/>
    </row>
    <row r="4562" spans="1:25" x14ac:dyDescent="0.25">
      <c r="A4562" t="str">
        <f>"09-0903"</f>
        <v>09-0903</v>
      </c>
      <c r="D4562" s="8">
        <v>40156</v>
      </c>
      <c r="F4562" s="8">
        <v>40156</v>
      </c>
      <c r="G4562" s="8">
        <v>40156</v>
      </c>
      <c r="Y4562" s="8"/>
    </row>
    <row r="4563" spans="1:25" x14ac:dyDescent="0.25">
      <c r="A4563" t="str">
        <f>"09-0896"</f>
        <v>09-0896</v>
      </c>
      <c r="D4563" s="8">
        <v>40155</v>
      </c>
      <c r="F4563" s="8">
        <v>40155</v>
      </c>
      <c r="G4563" s="8">
        <v>40156</v>
      </c>
      <c r="Y4563" s="8"/>
    </row>
    <row r="4564" spans="1:25" x14ac:dyDescent="0.25">
      <c r="A4564" t="str">
        <f>"09-0897"</f>
        <v>09-0897</v>
      </c>
      <c r="D4564" s="8">
        <v>40155</v>
      </c>
      <c r="F4564" s="8">
        <v>40155</v>
      </c>
      <c r="G4564" s="8">
        <v>40156</v>
      </c>
      <c r="Y4564" s="8"/>
    </row>
    <row r="4565" spans="1:25" x14ac:dyDescent="0.25">
      <c r="A4565" t="str">
        <f>"09-0898"</f>
        <v>09-0898</v>
      </c>
      <c r="D4565" s="8">
        <v>40155</v>
      </c>
      <c r="F4565" s="8">
        <v>40155</v>
      </c>
      <c r="G4565" s="8">
        <v>40155</v>
      </c>
      <c r="Y4565" s="8"/>
    </row>
    <row r="4566" spans="1:25" x14ac:dyDescent="0.25">
      <c r="A4566" t="str">
        <f>"09-0899"</f>
        <v>09-0899</v>
      </c>
      <c r="D4566" s="8">
        <v>40155</v>
      </c>
      <c r="F4566" s="8">
        <v>40164</v>
      </c>
      <c r="G4566" s="8">
        <v>40158</v>
      </c>
      <c r="Y4566" s="8"/>
    </row>
    <row r="4567" spans="1:25" x14ac:dyDescent="0.25">
      <c r="A4567" t="str">
        <f>"09-0900"</f>
        <v>09-0900</v>
      </c>
      <c r="D4567" s="8">
        <v>40155</v>
      </c>
      <c r="F4567" s="8">
        <v>40245</v>
      </c>
      <c r="G4567" s="8">
        <v>40157</v>
      </c>
      <c r="Y4567" s="8"/>
    </row>
    <row r="4568" spans="1:25" x14ac:dyDescent="0.25">
      <c r="A4568" t="str">
        <f>"09-0901"</f>
        <v>09-0901</v>
      </c>
      <c r="D4568" s="8">
        <v>40155</v>
      </c>
      <c r="F4568" s="8">
        <v>40231</v>
      </c>
      <c r="G4568" s="8">
        <v>40156</v>
      </c>
      <c r="Y4568" s="8"/>
    </row>
    <row r="4569" spans="1:25" x14ac:dyDescent="0.25">
      <c r="A4569" t="str">
        <f>"09-0902"</f>
        <v>09-0902</v>
      </c>
      <c r="D4569" s="8">
        <v>40155</v>
      </c>
      <c r="F4569" s="8">
        <v>40399</v>
      </c>
      <c r="G4569" s="8">
        <v>40156</v>
      </c>
      <c r="Y4569" s="8"/>
    </row>
    <row r="4570" spans="1:25" x14ac:dyDescent="0.25">
      <c r="A4570" t="str">
        <f>"09-0894B"</f>
        <v>09-0894B</v>
      </c>
      <c r="D4570" s="8">
        <v>40154</v>
      </c>
      <c r="F4570" s="8">
        <v>40154</v>
      </c>
      <c r="G4570" s="8">
        <v>40154</v>
      </c>
      <c r="Y4570" s="8"/>
    </row>
    <row r="4571" spans="1:25" x14ac:dyDescent="0.25">
      <c r="A4571" t="str">
        <f>"09-0895"</f>
        <v>09-0895</v>
      </c>
      <c r="D4571" s="8">
        <v>40154</v>
      </c>
      <c r="F4571" s="8">
        <v>41187</v>
      </c>
      <c r="G4571" s="8">
        <v>40154</v>
      </c>
      <c r="Y4571" s="8"/>
    </row>
    <row r="4572" spans="1:25" x14ac:dyDescent="0.25">
      <c r="A4572" t="str">
        <f>"09-0892"</f>
        <v>09-0892</v>
      </c>
      <c r="D4572" s="8">
        <v>40151</v>
      </c>
      <c r="F4572" s="8">
        <v>40155</v>
      </c>
      <c r="G4572" s="8">
        <v>40151</v>
      </c>
      <c r="Y4572" s="8"/>
    </row>
    <row r="4573" spans="1:25" x14ac:dyDescent="0.25">
      <c r="A4573" t="str">
        <f>"09-0893"</f>
        <v>09-0893</v>
      </c>
      <c r="D4573" s="8">
        <v>40151</v>
      </c>
      <c r="F4573" s="8">
        <v>40157</v>
      </c>
      <c r="G4573" s="8">
        <v>40151</v>
      </c>
      <c r="Y4573" s="8"/>
    </row>
    <row r="4574" spans="1:25" x14ac:dyDescent="0.25">
      <c r="A4574" t="str">
        <f>"09-0894"</f>
        <v>09-0894</v>
      </c>
      <c r="D4574" s="8">
        <v>40151</v>
      </c>
      <c r="F4574" s="8">
        <v>40151</v>
      </c>
      <c r="G4574" s="8">
        <v>40151</v>
      </c>
      <c r="Y4574" s="8"/>
    </row>
    <row r="4575" spans="1:25" x14ac:dyDescent="0.25">
      <c r="A4575" t="str">
        <f>"09-0865B"</f>
        <v>09-0865B</v>
      </c>
      <c r="D4575" s="8">
        <v>40150</v>
      </c>
      <c r="F4575" s="8">
        <v>40150</v>
      </c>
      <c r="G4575" s="8">
        <v>40481</v>
      </c>
      <c r="Y4575" s="8"/>
    </row>
    <row r="4576" spans="1:25" x14ac:dyDescent="0.25">
      <c r="A4576" t="str">
        <f>"09-0884"</f>
        <v>09-0884</v>
      </c>
      <c r="D4576" s="8">
        <v>40150</v>
      </c>
      <c r="F4576" s="8">
        <v>40150</v>
      </c>
      <c r="G4576" s="8">
        <v>40150</v>
      </c>
      <c r="Y4576" s="8"/>
    </row>
    <row r="4577" spans="1:25" x14ac:dyDescent="0.25">
      <c r="A4577" t="str">
        <f>"09-0885"</f>
        <v>09-0885</v>
      </c>
      <c r="D4577" s="8">
        <v>40150</v>
      </c>
      <c r="F4577" s="8">
        <v>40150</v>
      </c>
      <c r="G4577" s="8">
        <v>40150</v>
      </c>
      <c r="Y4577" s="8"/>
    </row>
    <row r="4578" spans="1:25" x14ac:dyDescent="0.25">
      <c r="A4578" t="str">
        <f>"09-0886"</f>
        <v>09-0886</v>
      </c>
      <c r="D4578" s="8">
        <v>40150</v>
      </c>
      <c r="F4578" s="8">
        <v>40150</v>
      </c>
      <c r="G4578" s="8">
        <v>40148</v>
      </c>
      <c r="Y4578" s="8"/>
    </row>
    <row r="4579" spans="1:25" x14ac:dyDescent="0.25">
      <c r="A4579" t="str">
        <f>"09-0886B"</f>
        <v>09-0886B</v>
      </c>
      <c r="D4579" s="8">
        <v>40150</v>
      </c>
      <c r="F4579" s="8">
        <v>40718</v>
      </c>
      <c r="G4579" s="8">
        <v>40150</v>
      </c>
      <c r="Y4579" s="8"/>
    </row>
    <row r="4580" spans="1:25" x14ac:dyDescent="0.25">
      <c r="A4580" t="str">
        <f>"09-0887"</f>
        <v>09-0887</v>
      </c>
      <c r="D4580" s="8">
        <v>40150</v>
      </c>
      <c r="F4580" s="8">
        <v>40154</v>
      </c>
      <c r="G4580" s="8">
        <v>40150</v>
      </c>
      <c r="Y4580" s="8"/>
    </row>
    <row r="4581" spans="1:25" x14ac:dyDescent="0.25">
      <c r="A4581" t="str">
        <f>"09-0888"</f>
        <v>09-0888</v>
      </c>
      <c r="D4581" s="8">
        <v>40150</v>
      </c>
      <c r="F4581" s="8">
        <v>40155</v>
      </c>
      <c r="G4581" s="8">
        <v>40155</v>
      </c>
      <c r="Y4581" s="8"/>
    </row>
    <row r="4582" spans="1:25" x14ac:dyDescent="0.25">
      <c r="A4582" t="str">
        <f>"09-0889"</f>
        <v>09-0889</v>
      </c>
      <c r="D4582" s="8">
        <v>40150</v>
      </c>
      <c r="F4582" s="8">
        <v>40150</v>
      </c>
      <c r="G4582" s="8">
        <v>40150</v>
      </c>
      <c r="Y4582" s="8"/>
    </row>
    <row r="4583" spans="1:25" x14ac:dyDescent="0.25">
      <c r="A4583" t="str">
        <f>"09-0890"</f>
        <v>09-0890</v>
      </c>
      <c r="D4583" s="8">
        <v>40150</v>
      </c>
      <c r="F4583" s="8">
        <v>40150</v>
      </c>
      <c r="G4583" s="8">
        <v>40150</v>
      </c>
      <c r="Y4583" s="8"/>
    </row>
    <row r="4584" spans="1:25" x14ac:dyDescent="0.25">
      <c r="A4584" t="str">
        <f>"09-0891"</f>
        <v>09-0891</v>
      </c>
      <c r="D4584" s="8">
        <v>40150</v>
      </c>
      <c r="F4584" s="8">
        <v>40151</v>
      </c>
      <c r="G4584" s="8">
        <v>40150</v>
      </c>
      <c r="Y4584" s="8"/>
    </row>
    <row r="4585" spans="1:25" x14ac:dyDescent="0.25">
      <c r="A4585" t="str">
        <f>"09-0878"</f>
        <v>09-0878</v>
      </c>
      <c r="D4585" s="8">
        <v>40149</v>
      </c>
      <c r="F4585" s="8">
        <v>40149</v>
      </c>
      <c r="G4585" s="8">
        <v>40149</v>
      </c>
      <c r="Y4585" s="8"/>
    </row>
    <row r="4586" spans="1:25" x14ac:dyDescent="0.25">
      <c r="A4586" t="str">
        <f>"09-0879"</f>
        <v>09-0879</v>
      </c>
      <c r="D4586" s="8">
        <v>40149</v>
      </c>
      <c r="F4586" s="8">
        <v>40149</v>
      </c>
      <c r="G4586" s="8">
        <v>40149</v>
      </c>
      <c r="Y4586" s="8"/>
    </row>
    <row r="4587" spans="1:25" x14ac:dyDescent="0.25">
      <c r="A4587" t="str">
        <f>"09-0880"</f>
        <v>09-0880</v>
      </c>
      <c r="D4587" s="8">
        <v>40149</v>
      </c>
      <c r="F4587" s="8">
        <v>40149</v>
      </c>
      <c r="G4587" s="8">
        <v>40149</v>
      </c>
      <c r="Y4587" s="8"/>
    </row>
    <row r="4588" spans="1:25" x14ac:dyDescent="0.25">
      <c r="A4588" t="str">
        <f>"09-0881"</f>
        <v>09-0881</v>
      </c>
      <c r="D4588" s="8">
        <v>40149</v>
      </c>
      <c r="F4588" s="8">
        <v>40149</v>
      </c>
      <c r="G4588" s="8">
        <v>40149</v>
      </c>
      <c r="Y4588" s="8"/>
    </row>
    <row r="4589" spans="1:25" x14ac:dyDescent="0.25">
      <c r="A4589" t="str">
        <f>"09-0882"</f>
        <v>09-0882</v>
      </c>
      <c r="D4589" s="8">
        <v>40149</v>
      </c>
      <c r="F4589" s="8">
        <v>40158</v>
      </c>
      <c r="G4589" s="8">
        <v>40152</v>
      </c>
      <c r="Y4589" s="8"/>
    </row>
    <row r="4590" spans="1:25" x14ac:dyDescent="0.25">
      <c r="A4590" t="str">
        <f>"09-0883"</f>
        <v>09-0883</v>
      </c>
      <c r="D4590" s="8">
        <v>40149</v>
      </c>
      <c r="F4590" s="8">
        <v>40154</v>
      </c>
      <c r="G4590" s="8">
        <v>40149</v>
      </c>
      <c r="Y4590" s="8"/>
    </row>
    <row r="4591" spans="1:25" x14ac:dyDescent="0.25">
      <c r="A4591" t="str">
        <f>"09-0873"</f>
        <v>09-0873</v>
      </c>
      <c r="D4591" s="8">
        <v>40148</v>
      </c>
      <c r="F4591" s="8">
        <v>40148</v>
      </c>
      <c r="G4591" s="8">
        <v>40148</v>
      </c>
      <c r="Y4591" s="8"/>
    </row>
    <row r="4592" spans="1:25" x14ac:dyDescent="0.25">
      <c r="A4592" t="str">
        <f>"09-0874"</f>
        <v>09-0874</v>
      </c>
      <c r="D4592" s="8">
        <v>40148</v>
      </c>
      <c r="F4592" s="8">
        <v>40148</v>
      </c>
      <c r="G4592" s="8">
        <v>40147</v>
      </c>
      <c r="Y4592" s="8"/>
    </row>
    <row r="4593" spans="1:25" x14ac:dyDescent="0.25">
      <c r="A4593" t="str">
        <f>"09-0875"</f>
        <v>09-0875</v>
      </c>
      <c r="D4593" s="8">
        <v>40148</v>
      </c>
      <c r="F4593" s="8">
        <v>40148</v>
      </c>
      <c r="G4593" s="8">
        <v>40148</v>
      </c>
      <c r="Y4593" s="8"/>
    </row>
    <row r="4594" spans="1:25" x14ac:dyDescent="0.25">
      <c r="A4594" t="str">
        <f>"09-0876"</f>
        <v>09-0876</v>
      </c>
      <c r="D4594" s="8">
        <v>40148</v>
      </c>
      <c r="F4594" s="8">
        <v>40148</v>
      </c>
      <c r="G4594" s="8">
        <v>40148</v>
      </c>
      <c r="Y4594" s="8"/>
    </row>
    <row r="4595" spans="1:25" x14ac:dyDescent="0.25">
      <c r="A4595" t="str">
        <f>"09-0877"</f>
        <v>09-0877</v>
      </c>
      <c r="D4595" s="8">
        <v>40148</v>
      </c>
      <c r="F4595" s="8">
        <v>40148</v>
      </c>
      <c r="G4595" s="8">
        <v>40147</v>
      </c>
      <c r="Y4595" s="8"/>
    </row>
    <row r="4596" spans="1:25" x14ac:dyDescent="0.25">
      <c r="A4596" t="str">
        <f>"09-0843C"</f>
        <v>09-0843C</v>
      </c>
      <c r="D4596" s="8">
        <v>40147</v>
      </c>
      <c r="F4596" s="8">
        <v>40147</v>
      </c>
      <c r="G4596" s="8">
        <v>40149</v>
      </c>
      <c r="Y4596" s="8"/>
    </row>
    <row r="4597" spans="1:25" x14ac:dyDescent="0.25">
      <c r="A4597" t="str">
        <f>"09-0868"</f>
        <v>09-0868</v>
      </c>
      <c r="D4597" s="8">
        <v>40147</v>
      </c>
      <c r="F4597" s="8">
        <v>40147</v>
      </c>
      <c r="G4597" s="8">
        <v>40147</v>
      </c>
      <c r="Y4597" s="8"/>
    </row>
    <row r="4598" spans="1:25" x14ac:dyDescent="0.25">
      <c r="A4598" t="str">
        <f>"09-0869"</f>
        <v>09-0869</v>
      </c>
      <c r="D4598" s="8">
        <v>40147</v>
      </c>
      <c r="F4598" s="8">
        <v>40147</v>
      </c>
      <c r="G4598" s="8">
        <v>40147</v>
      </c>
      <c r="Y4598" s="8"/>
    </row>
    <row r="4599" spans="1:25" x14ac:dyDescent="0.25">
      <c r="A4599" t="str">
        <f>"09-0870"</f>
        <v>09-0870</v>
      </c>
      <c r="D4599" s="8">
        <v>40147</v>
      </c>
      <c r="F4599" s="8">
        <v>40147</v>
      </c>
      <c r="G4599" s="8">
        <v>40147</v>
      </c>
      <c r="Y4599" s="8"/>
    </row>
    <row r="4600" spans="1:25" x14ac:dyDescent="0.25">
      <c r="A4600" t="str">
        <f>"09-0871"</f>
        <v>09-0871</v>
      </c>
      <c r="D4600" s="8">
        <v>40147</v>
      </c>
      <c r="F4600" s="8">
        <v>40147</v>
      </c>
      <c r="G4600" s="8">
        <v>40144</v>
      </c>
      <c r="Y4600" s="8"/>
    </row>
    <row r="4601" spans="1:25" x14ac:dyDescent="0.25">
      <c r="A4601" t="str">
        <f>"09-0872"</f>
        <v>09-0872</v>
      </c>
      <c r="D4601" s="8">
        <v>40147</v>
      </c>
      <c r="F4601" s="8">
        <v>40147</v>
      </c>
      <c r="G4601" s="8">
        <v>40147</v>
      </c>
      <c r="Y4601" s="8"/>
    </row>
    <row r="4602" spans="1:25" x14ac:dyDescent="0.25">
      <c r="A4602" t="str">
        <f>"09-0864"</f>
        <v>09-0864</v>
      </c>
      <c r="D4602" s="8">
        <v>40144</v>
      </c>
      <c r="F4602" s="8">
        <v>40148</v>
      </c>
      <c r="G4602" s="8">
        <v>40147</v>
      </c>
      <c r="Y4602" s="8"/>
    </row>
    <row r="4603" spans="1:25" x14ac:dyDescent="0.25">
      <c r="A4603" t="str">
        <f>"09-0865"</f>
        <v>09-0865</v>
      </c>
      <c r="D4603" s="8">
        <v>40144</v>
      </c>
      <c r="F4603" s="8">
        <v>40149</v>
      </c>
      <c r="G4603" s="8">
        <v>40147</v>
      </c>
      <c r="Y4603" s="8"/>
    </row>
    <row r="4604" spans="1:25" x14ac:dyDescent="0.25">
      <c r="A4604" t="str">
        <f>"09-0866"</f>
        <v>09-0866</v>
      </c>
      <c r="D4604" s="8">
        <v>40144</v>
      </c>
      <c r="F4604" s="8">
        <v>40144</v>
      </c>
      <c r="G4604" s="8">
        <v>40144</v>
      </c>
      <c r="Y4604" s="8"/>
    </row>
    <row r="4605" spans="1:25" x14ac:dyDescent="0.25">
      <c r="A4605" t="str">
        <f>"09-0850B"</f>
        <v>09-0850B</v>
      </c>
      <c r="D4605" s="8">
        <v>40143</v>
      </c>
      <c r="F4605" s="8">
        <v>40143</v>
      </c>
      <c r="G4605" s="8">
        <v>40143</v>
      </c>
      <c r="Y4605" s="8"/>
    </row>
    <row r="4606" spans="1:25" x14ac:dyDescent="0.25">
      <c r="A4606" t="str">
        <f>"09-0862"</f>
        <v>09-0862</v>
      </c>
      <c r="D4606" s="8">
        <v>40143</v>
      </c>
      <c r="F4606" s="8">
        <v>40143</v>
      </c>
      <c r="G4606" s="8">
        <v>40143</v>
      </c>
      <c r="Y4606" s="8"/>
    </row>
    <row r="4607" spans="1:25" x14ac:dyDescent="0.25">
      <c r="A4607" t="str">
        <f>"09-0863"</f>
        <v>09-0863</v>
      </c>
      <c r="D4607" s="8">
        <v>40143</v>
      </c>
      <c r="F4607" s="8">
        <v>40148</v>
      </c>
      <c r="G4607" s="8">
        <v>40144</v>
      </c>
      <c r="Y4607" s="8"/>
    </row>
    <row r="4608" spans="1:25" x14ac:dyDescent="0.25">
      <c r="A4608" t="str">
        <f>"09-0833B"</f>
        <v>09-0833B</v>
      </c>
      <c r="D4608" s="8">
        <v>40142</v>
      </c>
      <c r="F4608" s="8">
        <v>40142</v>
      </c>
      <c r="G4608" s="8">
        <v>40142</v>
      </c>
      <c r="Y4608" s="8"/>
    </row>
    <row r="4609" spans="1:25" x14ac:dyDescent="0.25">
      <c r="A4609" t="str">
        <f>"09-0852B"</f>
        <v>09-0852B</v>
      </c>
      <c r="D4609" s="8">
        <v>40142</v>
      </c>
      <c r="F4609" s="8">
        <v>40142</v>
      </c>
      <c r="G4609" s="8">
        <v>40142</v>
      </c>
      <c r="Y4609" s="8"/>
    </row>
    <row r="4610" spans="1:25" x14ac:dyDescent="0.25">
      <c r="A4610" t="str">
        <f>"09-0853"</f>
        <v>09-0853</v>
      </c>
      <c r="D4610" s="8">
        <v>40142</v>
      </c>
      <c r="F4610" s="8">
        <v>40142</v>
      </c>
      <c r="G4610" s="8">
        <v>40142</v>
      </c>
      <c r="Y4610" s="8"/>
    </row>
    <row r="4611" spans="1:25" x14ac:dyDescent="0.25">
      <c r="A4611" t="str">
        <f>"09-0854"</f>
        <v>09-0854</v>
      </c>
      <c r="D4611" s="8">
        <v>40142</v>
      </c>
      <c r="F4611" s="8">
        <v>40142</v>
      </c>
      <c r="G4611" s="8">
        <v>40142</v>
      </c>
      <c r="Y4611" s="8"/>
    </row>
    <row r="4612" spans="1:25" x14ac:dyDescent="0.25">
      <c r="A4612" t="str">
        <f>"09-0855"</f>
        <v>09-0855</v>
      </c>
      <c r="D4612" s="8">
        <v>40142</v>
      </c>
      <c r="F4612" s="8">
        <v>40142</v>
      </c>
      <c r="G4612" s="8">
        <v>40142</v>
      </c>
      <c r="Y4612" s="8"/>
    </row>
    <row r="4613" spans="1:25" x14ac:dyDescent="0.25">
      <c r="A4613" t="str">
        <f>"09-0856"</f>
        <v>09-0856</v>
      </c>
      <c r="D4613" s="8">
        <v>40142</v>
      </c>
      <c r="F4613" s="8">
        <v>40142</v>
      </c>
      <c r="G4613" s="8">
        <v>40142</v>
      </c>
      <c r="Y4613" s="8"/>
    </row>
    <row r="4614" spans="1:25" x14ac:dyDescent="0.25">
      <c r="A4614" t="str">
        <f>"09-0857"</f>
        <v>09-0857</v>
      </c>
      <c r="D4614" s="8">
        <v>40142</v>
      </c>
      <c r="F4614" s="8">
        <v>40142</v>
      </c>
      <c r="G4614" s="8">
        <v>40142</v>
      </c>
      <c r="Y4614" s="8"/>
    </row>
    <row r="4615" spans="1:25" x14ac:dyDescent="0.25">
      <c r="A4615" t="str">
        <f>"09-0858"</f>
        <v>09-0858</v>
      </c>
      <c r="D4615" s="8">
        <v>40142</v>
      </c>
      <c r="F4615" s="8">
        <v>40142</v>
      </c>
      <c r="G4615" s="8">
        <v>40142</v>
      </c>
      <c r="Y4615" s="8"/>
    </row>
    <row r="4616" spans="1:25" x14ac:dyDescent="0.25">
      <c r="A4616" t="str">
        <f>"09-0859"</f>
        <v>09-0859</v>
      </c>
      <c r="D4616" s="8">
        <v>40142</v>
      </c>
      <c r="F4616" s="8">
        <v>40142</v>
      </c>
      <c r="G4616" s="8">
        <v>40142</v>
      </c>
      <c r="Y4616" s="8"/>
    </row>
    <row r="4617" spans="1:25" x14ac:dyDescent="0.25">
      <c r="A4617" t="str">
        <f>"09-0860"</f>
        <v>09-0860</v>
      </c>
      <c r="D4617" s="8">
        <v>40142</v>
      </c>
      <c r="G4617" s="8">
        <v>40142</v>
      </c>
      <c r="Y4617" s="8"/>
    </row>
    <row r="4618" spans="1:25" x14ac:dyDescent="0.25">
      <c r="A4618" t="str">
        <f>"09-0861"</f>
        <v>09-0861</v>
      </c>
      <c r="D4618" s="8">
        <v>40142</v>
      </c>
      <c r="F4618" s="8">
        <v>40142</v>
      </c>
      <c r="G4618" s="8">
        <v>40142</v>
      </c>
      <c r="Y4618" s="8"/>
    </row>
    <row r="4619" spans="1:25" x14ac:dyDescent="0.25">
      <c r="A4619" t="str">
        <f>"09-0789B"</f>
        <v>09-0789B</v>
      </c>
      <c r="D4619" s="8">
        <v>40141</v>
      </c>
      <c r="F4619" s="8">
        <v>40141</v>
      </c>
      <c r="G4619" s="8">
        <v>40141</v>
      </c>
      <c r="Y4619" s="8"/>
    </row>
    <row r="4620" spans="1:25" x14ac:dyDescent="0.25">
      <c r="A4620" t="str">
        <f>"09-0848"</f>
        <v>09-0848</v>
      </c>
      <c r="D4620" s="8">
        <v>40141</v>
      </c>
      <c r="F4620" s="8">
        <v>40141</v>
      </c>
      <c r="G4620" s="8">
        <v>40141</v>
      </c>
      <c r="Y4620" s="8"/>
    </row>
    <row r="4621" spans="1:25" x14ac:dyDescent="0.25">
      <c r="A4621" t="str">
        <f>"09-0849"</f>
        <v>09-0849</v>
      </c>
      <c r="D4621" s="8">
        <v>40141</v>
      </c>
      <c r="F4621" s="8">
        <v>40141</v>
      </c>
      <c r="G4621" s="8">
        <v>40141</v>
      </c>
      <c r="Y4621" s="8"/>
    </row>
    <row r="4622" spans="1:25" x14ac:dyDescent="0.25">
      <c r="A4622" t="str">
        <f>"09-0850"</f>
        <v>09-0850</v>
      </c>
      <c r="D4622" s="8">
        <v>40141</v>
      </c>
      <c r="F4622" s="8">
        <v>40141</v>
      </c>
      <c r="G4622" s="8">
        <v>40141</v>
      </c>
      <c r="Y4622" s="8"/>
    </row>
    <row r="4623" spans="1:25" x14ac:dyDescent="0.25">
      <c r="A4623" t="str">
        <f>"09-0851"</f>
        <v>09-0851</v>
      </c>
      <c r="D4623" s="8">
        <v>40141</v>
      </c>
      <c r="F4623" s="8">
        <v>40141</v>
      </c>
      <c r="G4623" s="8">
        <v>40141</v>
      </c>
      <c r="Y4623" s="8"/>
    </row>
    <row r="4624" spans="1:25" x14ac:dyDescent="0.25">
      <c r="A4624" t="str">
        <f>"09-0852"</f>
        <v>09-0852</v>
      </c>
      <c r="D4624" s="8">
        <v>40141</v>
      </c>
      <c r="F4624" s="8">
        <v>40141</v>
      </c>
      <c r="G4624" s="8">
        <v>40141</v>
      </c>
      <c r="Y4624" s="8"/>
    </row>
    <row r="4625" spans="1:25" x14ac:dyDescent="0.25">
      <c r="A4625" t="str">
        <f>"09-0843B"</f>
        <v>09-0843B</v>
      </c>
      <c r="D4625" s="8">
        <v>40140</v>
      </c>
      <c r="F4625" s="8">
        <v>40140</v>
      </c>
      <c r="G4625" s="8">
        <v>40140</v>
      </c>
      <c r="Y4625" s="8"/>
    </row>
    <row r="4626" spans="1:25" x14ac:dyDescent="0.25">
      <c r="A4626" t="str">
        <f>"09-0846"</f>
        <v>09-0846</v>
      </c>
      <c r="D4626" s="8">
        <v>40140</v>
      </c>
      <c r="F4626" s="8">
        <v>40140</v>
      </c>
      <c r="G4626" s="8">
        <v>40140</v>
      </c>
      <c r="Y4626" s="8"/>
    </row>
    <row r="4627" spans="1:25" x14ac:dyDescent="0.25">
      <c r="A4627" t="str">
        <f>"09-0847"</f>
        <v>09-0847</v>
      </c>
      <c r="D4627" s="8">
        <v>40140</v>
      </c>
      <c r="F4627" s="8">
        <v>40142</v>
      </c>
      <c r="G4627" s="8">
        <v>40141</v>
      </c>
      <c r="Y4627" s="8"/>
    </row>
    <row r="4628" spans="1:25" x14ac:dyDescent="0.25">
      <c r="A4628" t="str">
        <f>"09-0632C"</f>
        <v>09-0632C</v>
      </c>
      <c r="D4628" s="8">
        <v>40137</v>
      </c>
      <c r="F4628" s="8">
        <v>40163</v>
      </c>
      <c r="G4628" s="8">
        <v>40137</v>
      </c>
      <c r="Y4628" s="8"/>
    </row>
    <row r="4629" spans="1:25" x14ac:dyDescent="0.25">
      <c r="A4629" t="str">
        <f>"09-0839B"</f>
        <v>09-0839B</v>
      </c>
      <c r="D4629" s="8">
        <v>40137</v>
      </c>
      <c r="F4629" s="8">
        <v>40137</v>
      </c>
      <c r="G4629" s="8">
        <v>40137</v>
      </c>
      <c r="Y4629" s="8"/>
    </row>
    <row r="4630" spans="1:25" x14ac:dyDescent="0.25">
      <c r="A4630" t="str">
        <f>"09-0842"</f>
        <v>09-0842</v>
      </c>
      <c r="D4630" s="8">
        <v>40137</v>
      </c>
      <c r="F4630" s="8">
        <v>40137</v>
      </c>
      <c r="G4630" s="8">
        <v>40137</v>
      </c>
      <c r="Y4630" s="8"/>
    </row>
    <row r="4631" spans="1:25" x14ac:dyDescent="0.25">
      <c r="A4631" t="str">
        <f>"09-0843"</f>
        <v>09-0843</v>
      </c>
      <c r="D4631" s="8">
        <v>40137</v>
      </c>
      <c r="F4631" s="8">
        <v>40150</v>
      </c>
      <c r="G4631" s="8">
        <v>40140</v>
      </c>
      <c r="Y4631" s="8"/>
    </row>
    <row r="4632" spans="1:25" x14ac:dyDescent="0.25">
      <c r="A4632" t="str">
        <f>"09-0844"</f>
        <v>09-0844</v>
      </c>
      <c r="D4632" s="8">
        <v>40137</v>
      </c>
      <c r="F4632" s="8">
        <v>40142</v>
      </c>
      <c r="G4632" s="8">
        <v>40140</v>
      </c>
      <c r="Y4632" s="8"/>
    </row>
    <row r="4633" spans="1:25" x14ac:dyDescent="0.25">
      <c r="A4633" t="str">
        <f>"09-0845"</f>
        <v>09-0845</v>
      </c>
      <c r="D4633" s="8">
        <v>40137</v>
      </c>
      <c r="F4633" s="8">
        <v>40140</v>
      </c>
      <c r="G4633" s="8">
        <v>40137</v>
      </c>
      <c r="Y4633" s="8"/>
    </row>
    <row r="4634" spans="1:25" x14ac:dyDescent="0.25">
      <c r="A4634" t="str">
        <f>"09-0839"</f>
        <v>09-0839</v>
      </c>
      <c r="D4634" s="8">
        <v>40136</v>
      </c>
      <c r="F4634" s="8">
        <v>40137</v>
      </c>
      <c r="G4634" s="8">
        <v>40137</v>
      </c>
      <c r="Y4634" s="8"/>
    </row>
    <row r="4635" spans="1:25" x14ac:dyDescent="0.25">
      <c r="A4635" t="str">
        <f>"09-0840"</f>
        <v>09-0840</v>
      </c>
      <c r="D4635" s="8">
        <v>40136</v>
      </c>
      <c r="F4635" s="8">
        <v>40213</v>
      </c>
      <c r="G4635" s="8">
        <v>40136</v>
      </c>
      <c r="Y4635" s="8"/>
    </row>
    <row r="4636" spans="1:25" x14ac:dyDescent="0.25">
      <c r="A4636" t="str">
        <f>"09-0841"</f>
        <v>09-0841</v>
      </c>
      <c r="D4636" s="8">
        <v>40136</v>
      </c>
      <c r="F4636" s="8">
        <v>40136</v>
      </c>
      <c r="G4636" s="8">
        <v>40136</v>
      </c>
      <c r="Y4636" s="8"/>
    </row>
    <row r="4637" spans="1:25" x14ac:dyDescent="0.25">
      <c r="A4637" t="str">
        <f>"09-0611B"</f>
        <v>09-0611B</v>
      </c>
      <c r="D4637" s="8">
        <v>40135</v>
      </c>
      <c r="F4637" s="8">
        <v>40135</v>
      </c>
      <c r="G4637" s="8">
        <v>40135</v>
      </c>
      <c r="Y4637" s="8"/>
    </row>
    <row r="4638" spans="1:25" x14ac:dyDescent="0.25">
      <c r="A4638" t="str">
        <f>"09-0745B"</f>
        <v>09-0745B</v>
      </c>
      <c r="D4638" s="8">
        <v>40135</v>
      </c>
      <c r="F4638" s="8">
        <v>40135</v>
      </c>
      <c r="G4638" s="8">
        <v>40135</v>
      </c>
      <c r="Y4638" s="8"/>
    </row>
    <row r="4639" spans="1:25" x14ac:dyDescent="0.25">
      <c r="A4639" t="str">
        <f>"09-0834"</f>
        <v>09-0834</v>
      </c>
      <c r="D4639" s="8">
        <v>40135</v>
      </c>
      <c r="F4639" s="8">
        <v>40135</v>
      </c>
      <c r="G4639" s="8">
        <v>40135</v>
      </c>
      <c r="Y4639" s="8"/>
    </row>
    <row r="4640" spans="1:25" x14ac:dyDescent="0.25">
      <c r="A4640" t="str">
        <f>"09-0835"</f>
        <v>09-0835</v>
      </c>
      <c r="D4640" s="8">
        <v>40135</v>
      </c>
      <c r="F4640" s="8">
        <v>40135</v>
      </c>
      <c r="G4640" s="8">
        <v>40135</v>
      </c>
      <c r="Y4640" s="8"/>
    </row>
    <row r="4641" spans="1:25" x14ac:dyDescent="0.25">
      <c r="A4641" t="str">
        <f>"09-0836"</f>
        <v>09-0836</v>
      </c>
      <c r="D4641" s="8">
        <v>40135</v>
      </c>
      <c r="F4641" s="8">
        <v>40135</v>
      </c>
      <c r="G4641" s="8">
        <v>40135</v>
      </c>
      <c r="Y4641" s="8"/>
    </row>
    <row r="4642" spans="1:25" x14ac:dyDescent="0.25">
      <c r="A4642" t="str">
        <f>"09-0837"</f>
        <v>09-0837</v>
      </c>
      <c r="D4642" s="8">
        <v>40135</v>
      </c>
      <c r="F4642" s="8">
        <v>40135</v>
      </c>
      <c r="G4642" s="8">
        <v>40135</v>
      </c>
      <c r="Y4642" s="8"/>
    </row>
    <row r="4643" spans="1:25" x14ac:dyDescent="0.25">
      <c r="A4643" t="str">
        <f>"09-0838"</f>
        <v>09-0838</v>
      </c>
      <c r="D4643" s="8">
        <v>40135</v>
      </c>
      <c r="F4643" s="8">
        <v>40156</v>
      </c>
      <c r="G4643" s="8">
        <v>40136</v>
      </c>
      <c r="Y4643" s="8"/>
    </row>
    <row r="4644" spans="1:25" x14ac:dyDescent="0.25">
      <c r="A4644" t="str">
        <f>"09-0824"</f>
        <v>09-0824</v>
      </c>
      <c r="D4644" s="8">
        <v>40134</v>
      </c>
      <c r="F4644" s="8">
        <v>40134</v>
      </c>
      <c r="G4644" s="8">
        <v>40134</v>
      </c>
      <c r="Y4644" s="8"/>
    </row>
    <row r="4645" spans="1:25" x14ac:dyDescent="0.25">
      <c r="A4645" t="str">
        <f>"09-0825"</f>
        <v>09-0825</v>
      </c>
      <c r="D4645" s="8">
        <v>40134</v>
      </c>
      <c r="F4645" s="8">
        <v>40134</v>
      </c>
      <c r="G4645" s="8">
        <v>40134</v>
      </c>
      <c r="Y4645" s="8"/>
    </row>
    <row r="4646" spans="1:25" x14ac:dyDescent="0.25">
      <c r="A4646" t="str">
        <f>"09-0826"</f>
        <v>09-0826</v>
      </c>
      <c r="D4646" s="8">
        <v>40134</v>
      </c>
      <c r="F4646" s="8">
        <v>40134</v>
      </c>
      <c r="G4646" s="8">
        <v>40134</v>
      </c>
      <c r="Y4646" s="8"/>
    </row>
    <row r="4647" spans="1:25" x14ac:dyDescent="0.25">
      <c r="A4647" t="str">
        <f>"09-0826A"</f>
        <v>09-0826A</v>
      </c>
      <c r="D4647" s="8">
        <v>40134</v>
      </c>
      <c r="F4647" s="8">
        <v>40135</v>
      </c>
      <c r="G4647" s="8">
        <v>40134</v>
      </c>
      <c r="Y4647" s="8"/>
    </row>
    <row r="4648" spans="1:25" x14ac:dyDescent="0.25">
      <c r="A4648" t="str">
        <f>"09-0828"</f>
        <v>09-0828</v>
      </c>
      <c r="D4648" s="8">
        <v>40134</v>
      </c>
      <c r="F4648" s="8">
        <v>40134</v>
      </c>
      <c r="G4648" s="8">
        <v>40134</v>
      </c>
      <c r="Y4648" s="8"/>
    </row>
    <row r="4649" spans="1:25" x14ac:dyDescent="0.25">
      <c r="A4649" t="str">
        <f>"09-0829"</f>
        <v>09-0829</v>
      </c>
      <c r="D4649" s="8">
        <v>40134</v>
      </c>
      <c r="F4649" s="8">
        <v>40134</v>
      </c>
      <c r="G4649" s="8">
        <v>40134</v>
      </c>
      <c r="Y4649" s="8"/>
    </row>
    <row r="4650" spans="1:25" x14ac:dyDescent="0.25">
      <c r="A4650" t="str">
        <f>"09-0830"</f>
        <v>09-0830</v>
      </c>
      <c r="D4650" s="8">
        <v>40134</v>
      </c>
      <c r="F4650" s="8">
        <v>40134</v>
      </c>
      <c r="G4650" s="8">
        <v>40134</v>
      </c>
      <c r="Y4650" s="8"/>
    </row>
    <row r="4651" spans="1:25" x14ac:dyDescent="0.25">
      <c r="A4651" t="str">
        <f>"09-0832"</f>
        <v>09-0832</v>
      </c>
      <c r="D4651" s="8">
        <v>40134</v>
      </c>
      <c r="F4651" s="8">
        <v>40134</v>
      </c>
      <c r="G4651" s="8">
        <v>40134</v>
      </c>
      <c r="Y4651" s="8"/>
    </row>
    <row r="4652" spans="1:25" x14ac:dyDescent="0.25">
      <c r="A4652" t="str">
        <f>"09-0833"</f>
        <v>09-0833</v>
      </c>
      <c r="D4652" s="8">
        <v>40134</v>
      </c>
      <c r="F4652" s="8">
        <v>40134</v>
      </c>
      <c r="G4652" s="8">
        <v>40134</v>
      </c>
      <c r="Y4652" s="8"/>
    </row>
    <row r="4653" spans="1:25" x14ac:dyDescent="0.25">
      <c r="A4653" t="str">
        <f>"09-0802B"</f>
        <v>09-0802B</v>
      </c>
      <c r="D4653" s="8">
        <v>40133</v>
      </c>
      <c r="F4653" s="8">
        <v>40478</v>
      </c>
      <c r="G4653" s="8">
        <v>40133</v>
      </c>
      <c r="Y4653" s="8"/>
    </row>
    <row r="4654" spans="1:25" x14ac:dyDescent="0.25">
      <c r="A4654" t="str">
        <f>"09-0821"</f>
        <v>09-0821</v>
      </c>
      <c r="D4654" s="8">
        <v>40133</v>
      </c>
      <c r="F4654" s="8">
        <v>40133</v>
      </c>
      <c r="G4654" s="8">
        <v>40133</v>
      </c>
      <c r="Y4654" s="8"/>
    </row>
    <row r="4655" spans="1:25" x14ac:dyDescent="0.25">
      <c r="A4655" t="str">
        <f>"09-0822"</f>
        <v>09-0822</v>
      </c>
      <c r="D4655" s="8">
        <v>40133</v>
      </c>
      <c r="F4655" s="8">
        <v>40133</v>
      </c>
      <c r="G4655" s="8">
        <v>40133</v>
      </c>
      <c r="Y4655" s="8"/>
    </row>
    <row r="4656" spans="1:25" x14ac:dyDescent="0.25">
      <c r="A4656" t="str">
        <f>"09-0823"</f>
        <v>09-0823</v>
      </c>
      <c r="D4656" s="8">
        <v>40133</v>
      </c>
      <c r="F4656" s="8">
        <v>40134</v>
      </c>
      <c r="G4656" s="8">
        <v>40133</v>
      </c>
      <c r="Y4656" s="8"/>
    </row>
    <row r="4657" spans="1:25" x14ac:dyDescent="0.25">
      <c r="A4657" t="str">
        <f>"09-0791B"</f>
        <v>09-0791B</v>
      </c>
      <c r="D4657" s="8">
        <v>40130</v>
      </c>
      <c r="F4657" s="8">
        <v>40130</v>
      </c>
      <c r="G4657" s="8">
        <v>40130</v>
      </c>
      <c r="Y4657" s="8"/>
    </row>
    <row r="4658" spans="1:25" x14ac:dyDescent="0.25">
      <c r="A4658" t="str">
        <f>"09-0817"</f>
        <v>09-0817</v>
      </c>
      <c r="D4658" s="8">
        <v>40129</v>
      </c>
      <c r="F4658" s="8">
        <v>40154</v>
      </c>
      <c r="G4658" s="8">
        <v>40129</v>
      </c>
      <c r="Y4658" s="8"/>
    </row>
    <row r="4659" spans="1:25" x14ac:dyDescent="0.25">
      <c r="A4659" t="str">
        <f>"09-0818"</f>
        <v>09-0818</v>
      </c>
      <c r="D4659" s="8">
        <v>40129</v>
      </c>
      <c r="F4659" s="8">
        <v>40129</v>
      </c>
      <c r="G4659" s="8">
        <v>40129</v>
      </c>
      <c r="Y4659" s="8"/>
    </row>
    <row r="4660" spans="1:25" x14ac:dyDescent="0.25">
      <c r="A4660" t="str">
        <f>"09-0819"</f>
        <v>09-0819</v>
      </c>
      <c r="D4660" s="8">
        <v>40129</v>
      </c>
      <c r="F4660" s="8">
        <v>40452</v>
      </c>
      <c r="G4660" s="8">
        <v>40129</v>
      </c>
      <c r="Y4660" s="8"/>
    </row>
    <row r="4661" spans="1:25" x14ac:dyDescent="0.25">
      <c r="A4661" t="str">
        <f>"09-0820"</f>
        <v>09-0820</v>
      </c>
      <c r="D4661" s="8">
        <v>40129</v>
      </c>
      <c r="F4661" s="8">
        <v>40129</v>
      </c>
      <c r="G4661" s="8">
        <v>40129</v>
      </c>
      <c r="Y4661" s="8"/>
    </row>
    <row r="4662" spans="1:25" x14ac:dyDescent="0.25">
      <c r="A4662" t="str">
        <f>"09-0814"</f>
        <v>09-0814</v>
      </c>
      <c r="D4662" s="8">
        <v>40127</v>
      </c>
      <c r="F4662" s="8">
        <v>40127</v>
      </c>
      <c r="G4662" s="8">
        <v>40127</v>
      </c>
      <c r="Y4662" s="8"/>
    </row>
    <row r="4663" spans="1:25" x14ac:dyDescent="0.25">
      <c r="A4663" t="str">
        <f>"09-0815"</f>
        <v>09-0815</v>
      </c>
      <c r="D4663" s="8">
        <v>40127</v>
      </c>
      <c r="F4663" s="8">
        <v>40127</v>
      </c>
      <c r="G4663" s="8">
        <v>40127</v>
      </c>
      <c r="Y4663" s="8"/>
    </row>
    <row r="4664" spans="1:25" x14ac:dyDescent="0.25">
      <c r="A4664" t="str">
        <f>"09-0816"</f>
        <v>09-0816</v>
      </c>
      <c r="D4664" s="8">
        <v>40127</v>
      </c>
      <c r="F4664" s="8">
        <v>40127</v>
      </c>
      <c r="G4664" s="8">
        <v>40127</v>
      </c>
      <c r="Y4664" s="8"/>
    </row>
    <row r="4665" spans="1:25" x14ac:dyDescent="0.25">
      <c r="A4665" t="str">
        <f>"09-0812"</f>
        <v>09-0812</v>
      </c>
      <c r="D4665" s="8">
        <v>40126</v>
      </c>
      <c r="F4665" s="8">
        <v>40129</v>
      </c>
      <c r="G4665" s="8">
        <v>40127</v>
      </c>
      <c r="Y4665" s="8"/>
    </row>
    <row r="4666" spans="1:25" x14ac:dyDescent="0.25">
      <c r="A4666" t="str">
        <f>"09-0813"</f>
        <v>09-0813</v>
      </c>
      <c r="D4666" s="8">
        <v>40126</v>
      </c>
      <c r="G4666" s="8">
        <v>40129</v>
      </c>
    </row>
    <row r="4667" spans="1:25" x14ac:dyDescent="0.25">
      <c r="A4667" t="str">
        <f>"09-0535D"</f>
        <v>09-0535D</v>
      </c>
      <c r="D4667" s="8">
        <v>40123</v>
      </c>
      <c r="F4667" s="8">
        <v>40123</v>
      </c>
      <c r="G4667" s="8">
        <v>40123</v>
      </c>
      <c r="Y4667" s="8"/>
    </row>
    <row r="4668" spans="1:25" x14ac:dyDescent="0.25">
      <c r="A4668" t="str">
        <f>"09-0809"</f>
        <v>09-0809</v>
      </c>
      <c r="D4668" s="8">
        <v>40123</v>
      </c>
      <c r="F4668" s="8">
        <v>40123</v>
      </c>
      <c r="G4668" s="8">
        <v>40123</v>
      </c>
      <c r="Y4668" s="8"/>
    </row>
    <row r="4669" spans="1:25" x14ac:dyDescent="0.25">
      <c r="A4669" t="str">
        <f>"09-0810"</f>
        <v>09-0810</v>
      </c>
      <c r="D4669" s="8">
        <v>40123</v>
      </c>
      <c r="F4669" s="8">
        <v>40126</v>
      </c>
      <c r="G4669" s="8">
        <v>40126</v>
      </c>
      <c r="Y4669" s="8"/>
    </row>
    <row r="4670" spans="1:25" x14ac:dyDescent="0.25">
      <c r="A4670" t="str">
        <f>"09-0811"</f>
        <v>09-0811</v>
      </c>
      <c r="D4670" s="8">
        <v>40123</v>
      </c>
      <c r="F4670" s="8">
        <v>40168</v>
      </c>
      <c r="G4670" s="8">
        <v>40126</v>
      </c>
      <c r="Y4670" s="8"/>
    </row>
    <row r="4671" spans="1:25" x14ac:dyDescent="0.25">
      <c r="A4671" t="str">
        <f>"09-0805"</f>
        <v>09-0805</v>
      </c>
      <c r="D4671" s="8">
        <v>40122</v>
      </c>
      <c r="F4671" s="8">
        <v>40122</v>
      </c>
      <c r="G4671" s="8">
        <v>40121</v>
      </c>
      <c r="Y4671" s="8"/>
    </row>
    <row r="4672" spans="1:25" x14ac:dyDescent="0.25">
      <c r="A4672" t="str">
        <f>"09-0806"</f>
        <v>09-0806</v>
      </c>
      <c r="D4672" s="8">
        <v>40122</v>
      </c>
      <c r="F4672" s="8">
        <v>40122</v>
      </c>
      <c r="G4672" s="8">
        <v>40122</v>
      </c>
      <c r="Y4672" s="8"/>
    </row>
    <row r="4673" spans="1:25" x14ac:dyDescent="0.25">
      <c r="A4673" t="str">
        <f>"09-0807"</f>
        <v>09-0807</v>
      </c>
      <c r="D4673" s="8">
        <v>40122</v>
      </c>
      <c r="F4673" s="8">
        <v>40122</v>
      </c>
      <c r="G4673" s="8">
        <v>40122</v>
      </c>
      <c r="Y4673" s="8"/>
    </row>
    <row r="4674" spans="1:25" x14ac:dyDescent="0.25">
      <c r="A4674" t="str">
        <f>"09-0808"</f>
        <v>09-0808</v>
      </c>
      <c r="D4674" s="8">
        <v>40122</v>
      </c>
      <c r="F4674" s="8">
        <v>40122</v>
      </c>
      <c r="G4674" s="8">
        <v>40122</v>
      </c>
      <c r="Y4674" s="8"/>
    </row>
    <row r="4675" spans="1:25" x14ac:dyDescent="0.25">
      <c r="A4675" t="str">
        <f>"09-0802"</f>
        <v>09-0802</v>
      </c>
      <c r="D4675" s="8">
        <v>40121</v>
      </c>
      <c r="F4675" s="8">
        <v>40323</v>
      </c>
      <c r="G4675" s="8">
        <v>40119</v>
      </c>
      <c r="Y4675" s="8"/>
    </row>
    <row r="4676" spans="1:25" x14ac:dyDescent="0.25">
      <c r="A4676" t="str">
        <f>"09-0803"</f>
        <v>09-0803</v>
      </c>
      <c r="D4676" s="8">
        <v>40121</v>
      </c>
      <c r="F4676" s="8">
        <v>40121</v>
      </c>
      <c r="G4676" s="8">
        <v>40121</v>
      </c>
      <c r="Y4676" s="8"/>
    </row>
    <row r="4677" spans="1:25" x14ac:dyDescent="0.25">
      <c r="A4677" t="str">
        <f>"09-0804"</f>
        <v>09-0804</v>
      </c>
      <c r="D4677" s="8">
        <v>40121</v>
      </c>
      <c r="F4677" s="8">
        <v>40122</v>
      </c>
      <c r="G4677" s="8">
        <v>40121</v>
      </c>
      <c r="Y4677" s="8"/>
    </row>
    <row r="4678" spans="1:25" x14ac:dyDescent="0.25">
      <c r="A4678" t="str">
        <f>"09-0800"</f>
        <v>09-0800</v>
      </c>
      <c r="D4678" s="8">
        <v>40120</v>
      </c>
      <c r="F4678" s="8">
        <v>40120</v>
      </c>
      <c r="G4678" s="8">
        <v>40120</v>
      </c>
      <c r="Y4678" s="8"/>
    </row>
    <row r="4679" spans="1:25" x14ac:dyDescent="0.25">
      <c r="A4679" t="str">
        <f>"09-0801"</f>
        <v>09-0801</v>
      </c>
      <c r="D4679" s="8">
        <v>40120</v>
      </c>
      <c r="F4679" s="8">
        <v>40120</v>
      </c>
      <c r="G4679" s="8">
        <v>40120</v>
      </c>
      <c r="Y4679" s="8"/>
    </row>
    <row r="4680" spans="1:25" x14ac:dyDescent="0.25">
      <c r="A4680" t="str">
        <f>"09-0760B"</f>
        <v>09-0760B</v>
      </c>
      <c r="D4680" s="8">
        <v>40119</v>
      </c>
      <c r="F4680" s="8">
        <v>40149</v>
      </c>
      <c r="G4680" s="8">
        <v>40119</v>
      </c>
      <c r="Y4680" s="8"/>
    </row>
    <row r="4681" spans="1:25" x14ac:dyDescent="0.25">
      <c r="A4681" t="str">
        <f>"09-0795"</f>
        <v>09-0795</v>
      </c>
      <c r="D4681" s="8">
        <v>40119</v>
      </c>
      <c r="F4681" s="8">
        <v>40119</v>
      </c>
      <c r="G4681" s="8">
        <v>40119</v>
      </c>
      <c r="Y4681" s="8"/>
    </row>
    <row r="4682" spans="1:25" x14ac:dyDescent="0.25">
      <c r="A4682" t="str">
        <f>"09-0796"</f>
        <v>09-0796</v>
      </c>
      <c r="D4682" s="8">
        <v>40119</v>
      </c>
      <c r="F4682" s="8">
        <v>40119</v>
      </c>
      <c r="G4682" s="8">
        <v>40119</v>
      </c>
      <c r="Y4682" s="8"/>
    </row>
    <row r="4683" spans="1:25" x14ac:dyDescent="0.25">
      <c r="A4683" t="str">
        <f>"09-0797"</f>
        <v>09-0797</v>
      </c>
      <c r="D4683" s="8">
        <v>40119</v>
      </c>
      <c r="F4683" s="8">
        <v>40119</v>
      </c>
      <c r="G4683" s="8">
        <v>40119</v>
      </c>
      <c r="Y4683" s="8"/>
    </row>
    <row r="4684" spans="1:25" x14ac:dyDescent="0.25">
      <c r="A4684" t="str">
        <f>"09-0798"</f>
        <v>09-0798</v>
      </c>
      <c r="D4684" s="8">
        <v>40119</v>
      </c>
      <c r="F4684" s="8">
        <v>40119</v>
      </c>
      <c r="G4684" s="8">
        <v>40119</v>
      </c>
      <c r="Y4684" s="8"/>
    </row>
    <row r="4685" spans="1:25" x14ac:dyDescent="0.25">
      <c r="A4685" t="str">
        <f>"09-0799"</f>
        <v>09-0799</v>
      </c>
      <c r="D4685" s="8">
        <v>40119</v>
      </c>
      <c r="F4685" s="8">
        <v>40120</v>
      </c>
      <c r="G4685" s="8">
        <v>40120</v>
      </c>
      <c r="Y4685" s="8"/>
    </row>
    <row r="4686" spans="1:25" x14ac:dyDescent="0.25">
      <c r="A4686" t="str">
        <f>"09-0791"</f>
        <v>09-0791</v>
      </c>
      <c r="D4686" s="8">
        <v>40116</v>
      </c>
      <c r="F4686" s="8">
        <v>40121</v>
      </c>
      <c r="G4686" s="8">
        <v>40116</v>
      </c>
      <c r="Y4686" s="8"/>
    </row>
    <row r="4687" spans="1:25" x14ac:dyDescent="0.25">
      <c r="A4687" t="str">
        <f>"09-0792"</f>
        <v>09-0792</v>
      </c>
      <c r="D4687" s="8">
        <v>40116</v>
      </c>
      <c r="F4687" s="8">
        <v>40116</v>
      </c>
      <c r="G4687" s="8">
        <v>40116</v>
      </c>
      <c r="Y4687" s="8"/>
    </row>
    <row r="4688" spans="1:25" x14ac:dyDescent="0.25">
      <c r="A4688" t="str">
        <f>"09-0793"</f>
        <v>09-0793</v>
      </c>
      <c r="D4688" s="8">
        <v>40116</v>
      </c>
      <c r="F4688" s="8">
        <v>40116</v>
      </c>
      <c r="G4688" s="8">
        <v>40116</v>
      </c>
      <c r="Y4688" s="8"/>
    </row>
    <row r="4689" spans="1:25" x14ac:dyDescent="0.25">
      <c r="A4689" t="str">
        <f>"09-0794"</f>
        <v>09-0794</v>
      </c>
      <c r="D4689" s="8">
        <v>40116</v>
      </c>
      <c r="F4689" s="8">
        <v>40119</v>
      </c>
      <c r="G4689" s="8">
        <v>40116</v>
      </c>
      <c r="Y4689" s="8"/>
    </row>
    <row r="4690" spans="1:25" x14ac:dyDescent="0.25">
      <c r="A4690" t="str">
        <f>"09-0789"</f>
        <v>09-0789</v>
      </c>
      <c r="D4690" s="8">
        <v>40115</v>
      </c>
      <c r="F4690" s="8">
        <v>40115</v>
      </c>
      <c r="G4690" s="8">
        <v>40115</v>
      </c>
      <c r="Y4690" s="8"/>
    </row>
    <row r="4691" spans="1:25" x14ac:dyDescent="0.25">
      <c r="A4691" t="str">
        <f>"09-0790"</f>
        <v>09-0790</v>
      </c>
      <c r="D4691" s="8">
        <v>40115</v>
      </c>
      <c r="F4691" s="8">
        <v>40115</v>
      </c>
      <c r="G4691" s="8">
        <v>40115</v>
      </c>
      <c r="Y4691" s="8"/>
    </row>
    <row r="4692" spans="1:25" x14ac:dyDescent="0.25">
      <c r="A4692" t="str">
        <f>"09-0785"</f>
        <v>09-0785</v>
      </c>
      <c r="D4692" s="8">
        <v>40114</v>
      </c>
      <c r="F4692" s="8">
        <v>40114</v>
      </c>
      <c r="G4692" s="8">
        <v>40114</v>
      </c>
      <c r="Y4692" s="8"/>
    </row>
    <row r="4693" spans="1:25" x14ac:dyDescent="0.25">
      <c r="A4693" t="str">
        <f>"09-0786"</f>
        <v>09-0786</v>
      </c>
      <c r="D4693" s="8">
        <v>40114</v>
      </c>
      <c r="F4693" s="8">
        <v>40645</v>
      </c>
      <c r="G4693" s="8">
        <v>40114</v>
      </c>
      <c r="Y4693" s="8"/>
    </row>
    <row r="4694" spans="1:25" x14ac:dyDescent="0.25">
      <c r="A4694" t="str">
        <f>"09-0787"</f>
        <v>09-0787</v>
      </c>
      <c r="D4694" s="8">
        <v>40114</v>
      </c>
      <c r="G4694" s="8">
        <v>40116</v>
      </c>
      <c r="Y4694" s="8"/>
    </row>
    <row r="4695" spans="1:25" x14ac:dyDescent="0.25">
      <c r="A4695" t="str">
        <f>"09-0788"</f>
        <v>09-0788</v>
      </c>
      <c r="D4695" s="8">
        <v>40114</v>
      </c>
      <c r="F4695" s="8">
        <v>40114</v>
      </c>
      <c r="G4695" s="8">
        <v>40114</v>
      </c>
      <c r="Y4695" s="8"/>
    </row>
    <row r="4696" spans="1:25" x14ac:dyDescent="0.25">
      <c r="A4696" t="str">
        <f>"09-0777"</f>
        <v>09-0777</v>
      </c>
      <c r="D4696" s="8">
        <v>40113</v>
      </c>
      <c r="F4696" s="8">
        <v>40113</v>
      </c>
      <c r="G4696" s="8">
        <v>40113</v>
      </c>
      <c r="Y4696" s="8"/>
    </row>
    <row r="4697" spans="1:25" x14ac:dyDescent="0.25">
      <c r="A4697" t="str">
        <f>"09-0778"</f>
        <v>09-0778</v>
      </c>
      <c r="D4697" s="8">
        <v>40113</v>
      </c>
      <c r="F4697" s="8">
        <v>40113</v>
      </c>
      <c r="G4697" s="8">
        <v>40113</v>
      </c>
      <c r="Y4697" s="8"/>
    </row>
    <row r="4698" spans="1:25" x14ac:dyDescent="0.25">
      <c r="A4698" t="str">
        <f>"09-0779"</f>
        <v>09-0779</v>
      </c>
      <c r="D4698" s="8">
        <v>40113</v>
      </c>
      <c r="F4698" s="8">
        <v>40114</v>
      </c>
      <c r="G4698" s="8">
        <v>40116</v>
      </c>
      <c r="Y4698" s="8"/>
    </row>
    <row r="4699" spans="1:25" x14ac:dyDescent="0.25">
      <c r="A4699" t="str">
        <f>"09-0780"</f>
        <v>09-0780</v>
      </c>
      <c r="D4699" s="8">
        <v>40113</v>
      </c>
      <c r="F4699" s="8">
        <v>40113</v>
      </c>
      <c r="G4699" s="8">
        <v>40113</v>
      </c>
      <c r="Y4699" s="8"/>
    </row>
    <row r="4700" spans="1:25" x14ac:dyDescent="0.25">
      <c r="A4700" t="str">
        <f>"09-0781"</f>
        <v>09-0781</v>
      </c>
      <c r="D4700" s="8">
        <v>40113</v>
      </c>
      <c r="F4700" s="8">
        <v>40113</v>
      </c>
      <c r="G4700" s="8">
        <v>40113</v>
      </c>
      <c r="Y4700" s="8"/>
    </row>
    <row r="4701" spans="1:25" x14ac:dyDescent="0.25">
      <c r="A4701" t="str">
        <f>"09-0782"</f>
        <v>09-0782</v>
      </c>
      <c r="D4701" s="8">
        <v>40113</v>
      </c>
      <c r="F4701" s="8">
        <v>40120</v>
      </c>
      <c r="G4701" s="8">
        <v>40115</v>
      </c>
      <c r="Y4701" s="8"/>
    </row>
    <row r="4702" spans="1:25" x14ac:dyDescent="0.25">
      <c r="A4702" t="str">
        <f>"09-0783"</f>
        <v>09-0783</v>
      </c>
      <c r="D4702" s="8">
        <v>40113</v>
      </c>
      <c r="F4702" s="8">
        <v>40115</v>
      </c>
      <c r="G4702" s="8">
        <v>40115</v>
      </c>
      <c r="Y4702" s="8"/>
    </row>
    <row r="4703" spans="1:25" x14ac:dyDescent="0.25">
      <c r="A4703" t="str">
        <f>"09-0784"</f>
        <v>09-0784</v>
      </c>
      <c r="D4703" s="8">
        <v>40113</v>
      </c>
      <c r="F4703" s="8">
        <v>40113</v>
      </c>
      <c r="G4703" s="8">
        <v>40113</v>
      </c>
      <c r="Y4703" s="8"/>
    </row>
    <row r="4704" spans="1:25" x14ac:dyDescent="0.25">
      <c r="A4704" t="str">
        <f>"08-0923B"</f>
        <v>08-0923B</v>
      </c>
      <c r="D4704" s="8">
        <v>40112</v>
      </c>
      <c r="F4704" s="8">
        <v>40112</v>
      </c>
      <c r="G4704" s="8">
        <v>40112</v>
      </c>
      <c r="Y4704" s="8"/>
    </row>
    <row r="4705" spans="1:25" x14ac:dyDescent="0.25">
      <c r="A4705" t="str">
        <f>"09-0764B"</f>
        <v>09-0764B</v>
      </c>
      <c r="D4705" s="8">
        <v>40112</v>
      </c>
      <c r="F4705" s="8">
        <v>40263</v>
      </c>
      <c r="G4705" s="8">
        <v>40112</v>
      </c>
      <c r="Y4705" s="8"/>
    </row>
    <row r="4706" spans="1:25" x14ac:dyDescent="0.25">
      <c r="A4706" t="str">
        <f>"09-0774"</f>
        <v>09-0774</v>
      </c>
      <c r="D4706" s="8">
        <v>40112</v>
      </c>
      <c r="F4706" s="8">
        <v>40112</v>
      </c>
      <c r="G4706" s="8">
        <v>40112</v>
      </c>
      <c r="Y4706" s="8"/>
    </row>
    <row r="4707" spans="1:25" x14ac:dyDescent="0.25">
      <c r="A4707" t="str">
        <f>"09-0775"</f>
        <v>09-0775</v>
      </c>
      <c r="D4707" s="8">
        <v>40112</v>
      </c>
      <c r="F4707" s="8">
        <v>40112</v>
      </c>
      <c r="G4707" s="8">
        <v>40112</v>
      </c>
      <c r="Y4707" s="8"/>
    </row>
    <row r="4708" spans="1:25" x14ac:dyDescent="0.25">
      <c r="A4708" t="str">
        <f>"09-0776"</f>
        <v>09-0776</v>
      </c>
      <c r="D4708" s="8">
        <v>40112</v>
      </c>
      <c r="F4708" s="8">
        <v>40112</v>
      </c>
      <c r="G4708" s="8">
        <v>40112</v>
      </c>
      <c r="Y4708" s="8"/>
    </row>
    <row r="4709" spans="1:25" x14ac:dyDescent="0.25">
      <c r="A4709" t="str">
        <f>"09-0772"</f>
        <v>09-0772</v>
      </c>
      <c r="D4709" s="8">
        <v>40109</v>
      </c>
      <c r="F4709" s="8">
        <v>40109</v>
      </c>
      <c r="G4709" s="8">
        <v>40109</v>
      </c>
      <c r="Y4709" s="8"/>
    </row>
    <row r="4710" spans="1:25" x14ac:dyDescent="0.25">
      <c r="A4710" t="str">
        <f>"09-0773"</f>
        <v>09-0773</v>
      </c>
      <c r="D4710" s="8">
        <v>40109</v>
      </c>
      <c r="F4710" s="8">
        <v>40109</v>
      </c>
      <c r="G4710" s="8">
        <v>40109</v>
      </c>
      <c r="Y4710" s="8"/>
    </row>
    <row r="4711" spans="1:25" x14ac:dyDescent="0.25">
      <c r="A4711" t="str">
        <f>"09-0769"</f>
        <v>09-0769</v>
      </c>
      <c r="D4711" s="8">
        <v>40108</v>
      </c>
      <c r="F4711" s="8">
        <v>40108</v>
      </c>
      <c r="G4711" s="8">
        <v>40107</v>
      </c>
      <c r="Y4711" s="8"/>
    </row>
    <row r="4712" spans="1:25" x14ac:dyDescent="0.25">
      <c r="A4712" t="str">
        <f>"09-0770"</f>
        <v>09-0770</v>
      </c>
      <c r="D4712" s="8">
        <v>40108</v>
      </c>
      <c r="F4712" s="8">
        <v>40113</v>
      </c>
      <c r="G4712" s="8">
        <v>40109</v>
      </c>
      <c r="Y4712" s="8"/>
    </row>
    <row r="4713" spans="1:25" x14ac:dyDescent="0.25">
      <c r="A4713" t="str">
        <f>"09-0771"</f>
        <v>09-0771</v>
      </c>
      <c r="D4713" s="8">
        <v>40108</v>
      </c>
      <c r="F4713" s="8">
        <v>40108</v>
      </c>
      <c r="G4713" s="8">
        <v>40108</v>
      </c>
      <c r="Y4713" s="8"/>
    </row>
    <row r="4714" spans="1:25" x14ac:dyDescent="0.25">
      <c r="A4714" t="str">
        <f>"09-0768"</f>
        <v>09-0768</v>
      </c>
      <c r="D4714" s="8">
        <v>40107</v>
      </c>
      <c r="F4714" s="8">
        <v>40108</v>
      </c>
      <c r="G4714" s="8">
        <v>40108</v>
      </c>
      <c r="Y4714" s="8"/>
    </row>
    <row r="4715" spans="1:25" x14ac:dyDescent="0.25">
      <c r="A4715" t="str">
        <f>"09-0766"</f>
        <v>09-0766</v>
      </c>
      <c r="D4715" s="8">
        <v>40106</v>
      </c>
      <c r="F4715" s="8">
        <v>40107</v>
      </c>
      <c r="G4715" s="8">
        <v>40109</v>
      </c>
      <c r="Y4715" s="8"/>
    </row>
    <row r="4716" spans="1:25" x14ac:dyDescent="0.25">
      <c r="A4716" t="str">
        <f>"09-0767"</f>
        <v>09-0767</v>
      </c>
      <c r="D4716" s="8">
        <v>40106</v>
      </c>
      <c r="F4716" s="8">
        <v>40106</v>
      </c>
      <c r="G4716" s="8">
        <v>40106</v>
      </c>
      <c r="Y4716" s="8"/>
    </row>
    <row r="4717" spans="1:25" x14ac:dyDescent="0.25">
      <c r="A4717" t="str">
        <f>"09-0758"</f>
        <v>09-0758</v>
      </c>
      <c r="D4717" s="8">
        <v>40105</v>
      </c>
      <c r="F4717" s="8">
        <v>40105</v>
      </c>
      <c r="G4717" s="8">
        <v>40105</v>
      </c>
      <c r="Y4717" s="8"/>
    </row>
    <row r="4718" spans="1:25" x14ac:dyDescent="0.25">
      <c r="A4718" t="str">
        <f>"09-0759"</f>
        <v>09-0759</v>
      </c>
      <c r="D4718" s="8">
        <v>40105</v>
      </c>
      <c r="F4718" s="8">
        <v>40105</v>
      </c>
      <c r="G4718" s="8">
        <v>40105</v>
      </c>
      <c r="Y4718" s="8"/>
    </row>
    <row r="4719" spans="1:25" x14ac:dyDescent="0.25">
      <c r="A4719" t="str">
        <f>"09-0760"</f>
        <v>09-0760</v>
      </c>
      <c r="D4719" s="8">
        <v>40105</v>
      </c>
      <c r="F4719" s="8">
        <v>40119</v>
      </c>
      <c r="G4719" s="8">
        <v>40105</v>
      </c>
      <c r="Y4719" s="8"/>
    </row>
    <row r="4720" spans="1:25" x14ac:dyDescent="0.25">
      <c r="A4720" t="str">
        <f>"09-0761"</f>
        <v>09-0761</v>
      </c>
      <c r="D4720" s="8">
        <v>40105</v>
      </c>
      <c r="F4720" s="8">
        <v>40105</v>
      </c>
      <c r="G4720" s="8">
        <v>40105</v>
      </c>
      <c r="Y4720" s="8"/>
    </row>
    <row r="4721" spans="1:25" x14ac:dyDescent="0.25">
      <c r="A4721" t="str">
        <f>"09-0762"</f>
        <v>09-0762</v>
      </c>
      <c r="D4721" s="8">
        <v>40105</v>
      </c>
      <c r="F4721" s="8">
        <v>40105</v>
      </c>
      <c r="G4721" s="8">
        <v>40105</v>
      </c>
      <c r="Y4721" s="8"/>
    </row>
    <row r="4722" spans="1:25" x14ac:dyDescent="0.25">
      <c r="A4722" t="str">
        <f>"09-0763"</f>
        <v>09-0763</v>
      </c>
      <c r="D4722" s="8">
        <v>40105</v>
      </c>
      <c r="F4722" s="8">
        <v>40105</v>
      </c>
      <c r="G4722" s="8">
        <v>40108</v>
      </c>
      <c r="Y4722" s="8"/>
    </row>
    <row r="4723" spans="1:25" x14ac:dyDescent="0.25">
      <c r="A4723" t="str">
        <f>"09-0764"</f>
        <v>09-0764</v>
      </c>
      <c r="D4723" s="8">
        <v>40105</v>
      </c>
      <c r="F4723" s="8">
        <v>40155</v>
      </c>
      <c r="G4723" s="8">
        <v>40109</v>
      </c>
      <c r="Y4723" s="8"/>
    </row>
    <row r="4724" spans="1:25" x14ac:dyDescent="0.25">
      <c r="A4724" t="str">
        <f>"09-0765"</f>
        <v>09-0765</v>
      </c>
      <c r="D4724" s="8">
        <v>40105</v>
      </c>
      <c r="F4724" s="8">
        <v>40149</v>
      </c>
      <c r="G4724" s="8">
        <v>40106</v>
      </c>
      <c r="Y4724" s="8"/>
    </row>
    <row r="4725" spans="1:25" x14ac:dyDescent="0.25">
      <c r="A4725" t="str">
        <f>"09-0754"</f>
        <v>09-0754</v>
      </c>
      <c r="D4725" s="8">
        <v>40102</v>
      </c>
      <c r="F4725" s="8">
        <v>40102</v>
      </c>
      <c r="G4725" s="8">
        <v>40102</v>
      </c>
      <c r="Y4725" s="8"/>
    </row>
    <row r="4726" spans="1:25" x14ac:dyDescent="0.25">
      <c r="A4726" t="str">
        <f>"09-0755"</f>
        <v>09-0755</v>
      </c>
      <c r="D4726" s="8">
        <v>40102</v>
      </c>
      <c r="F4726" s="8">
        <v>40102</v>
      </c>
      <c r="G4726" s="8">
        <v>40102</v>
      </c>
      <c r="Y4726" s="8"/>
    </row>
    <row r="4727" spans="1:25" x14ac:dyDescent="0.25">
      <c r="A4727" t="str">
        <f>"09-0755B"</f>
        <v>09-0755B</v>
      </c>
      <c r="D4727" s="8">
        <v>40102</v>
      </c>
      <c r="F4727" s="8">
        <v>40102</v>
      </c>
      <c r="G4727" s="8">
        <v>40102</v>
      </c>
      <c r="Y4727" s="8"/>
    </row>
    <row r="4728" spans="1:25" x14ac:dyDescent="0.25">
      <c r="A4728" t="str">
        <f>"09-0756"</f>
        <v>09-0756</v>
      </c>
      <c r="D4728" s="8">
        <v>40102</v>
      </c>
      <c r="F4728" s="8">
        <v>40102</v>
      </c>
      <c r="G4728" s="8">
        <v>40102</v>
      </c>
      <c r="Y4728" s="8"/>
    </row>
    <row r="4729" spans="1:25" x14ac:dyDescent="0.25">
      <c r="A4729" t="str">
        <f>"09-0757"</f>
        <v>09-0757</v>
      </c>
      <c r="D4729" s="8">
        <v>40102</v>
      </c>
      <c r="F4729" s="8">
        <v>40102</v>
      </c>
      <c r="G4729" s="8">
        <v>40102</v>
      </c>
      <c r="Y4729" s="8"/>
    </row>
    <row r="4730" spans="1:25" x14ac:dyDescent="0.25">
      <c r="A4730" t="str">
        <f>"09-0628D"</f>
        <v>09-0628D</v>
      </c>
      <c r="D4730" s="8">
        <v>40101</v>
      </c>
      <c r="F4730" s="8">
        <v>40101</v>
      </c>
      <c r="G4730" s="8">
        <v>40101</v>
      </c>
      <c r="Y4730" s="8"/>
    </row>
    <row r="4731" spans="1:25" x14ac:dyDescent="0.25">
      <c r="A4731" t="str">
        <f>"09-0748"</f>
        <v>09-0748</v>
      </c>
      <c r="D4731" s="8">
        <v>40101</v>
      </c>
      <c r="F4731" s="8">
        <v>40101</v>
      </c>
      <c r="G4731" s="8">
        <v>40101</v>
      </c>
      <c r="Y4731" s="8"/>
    </row>
    <row r="4732" spans="1:25" x14ac:dyDescent="0.25">
      <c r="A4732" t="str">
        <f>"09-0749"</f>
        <v>09-0749</v>
      </c>
      <c r="D4732" s="8">
        <v>40101</v>
      </c>
      <c r="F4732" s="8">
        <v>40101</v>
      </c>
      <c r="G4732" s="8">
        <v>40105</v>
      </c>
      <c r="Y4732" s="8"/>
    </row>
    <row r="4733" spans="1:25" x14ac:dyDescent="0.25">
      <c r="A4733" t="str">
        <f>"09-0750"</f>
        <v>09-0750</v>
      </c>
      <c r="D4733" s="8">
        <v>40101</v>
      </c>
      <c r="F4733" s="8">
        <v>40107</v>
      </c>
      <c r="G4733" s="8">
        <v>40105</v>
      </c>
      <c r="Y4733" s="8"/>
    </row>
    <row r="4734" spans="1:25" x14ac:dyDescent="0.25">
      <c r="A4734" t="str">
        <f>"09-0751"</f>
        <v>09-0751</v>
      </c>
      <c r="D4734" s="8">
        <v>40101</v>
      </c>
      <c r="F4734" s="8">
        <v>40102</v>
      </c>
      <c r="G4734" s="8">
        <v>40102</v>
      </c>
      <c r="Y4734" s="8"/>
    </row>
    <row r="4735" spans="1:25" x14ac:dyDescent="0.25">
      <c r="A4735" t="str">
        <f>"09-0752"</f>
        <v>09-0752</v>
      </c>
      <c r="D4735" s="8">
        <v>40101</v>
      </c>
      <c r="G4735" s="8">
        <v>40108</v>
      </c>
      <c r="Y4735" s="8"/>
    </row>
    <row r="4736" spans="1:25" x14ac:dyDescent="0.25">
      <c r="A4736" t="str">
        <f>"09-0753"</f>
        <v>09-0753</v>
      </c>
      <c r="D4736" s="8">
        <v>40101</v>
      </c>
      <c r="F4736" s="8">
        <v>40101</v>
      </c>
      <c r="G4736" s="8">
        <v>40101</v>
      </c>
      <c r="Y4736" s="8"/>
    </row>
    <row r="4737" spans="1:25" x14ac:dyDescent="0.25">
      <c r="A4737" t="str">
        <f>"09-0744"</f>
        <v>09-0744</v>
      </c>
      <c r="D4737" s="8">
        <v>40100</v>
      </c>
      <c r="F4737" s="8">
        <v>40100</v>
      </c>
      <c r="G4737" s="8">
        <v>40100</v>
      </c>
      <c r="Y4737" s="8"/>
    </row>
    <row r="4738" spans="1:25" x14ac:dyDescent="0.25">
      <c r="A4738" t="str">
        <f>"09-0745"</f>
        <v>09-0745</v>
      </c>
      <c r="D4738" s="8">
        <v>40100</v>
      </c>
      <c r="F4738" s="8">
        <v>40134</v>
      </c>
      <c r="G4738" s="8">
        <v>40102</v>
      </c>
      <c r="Y4738" s="8"/>
    </row>
    <row r="4739" spans="1:25" x14ac:dyDescent="0.25">
      <c r="A4739" t="str">
        <f>"09-0746"</f>
        <v>09-0746</v>
      </c>
      <c r="D4739" s="8">
        <v>40100</v>
      </c>
      <c r="F4739" s="8">
        <v>40100</v>
      </c>
      <c r="G4739" s="8">
        <v>40100</v>
      </c>
      <c r="Y4739" s="8"/>
    </row>
    <row r="4740" spans="1:25" x14ac:dyDescent="0.25">
      <c r="A4740" t="str">
        <f>"09-0747"</f>
        <v>09-0747</v>
      </c>
      <c r="D4740" s="8">
        <v>40100</v>
      </c>
      <c r="F4740" s="8">
        <v>40100</v>
      </c>
      <c r="G4740" s="8">
        <v>40100</v>
      </c>
      <c r="Y4740" s="8"/>
    </row>
    <row r="4741" spans="1:25" x14ac:dyDescent="0.25">
      <c r="A4741" t="str">
        <f>"09-0628C"</f>
        <v>09-0628C</v>
      </c>
      <c r="D4741" s="8">
        <v>40099</v>
      </c>
      <c r="F4741" s="8">
        <v>40099</v>
      </c>
      <c r="G4741" s="8">
        <v>40099</v>
      </c>
      <c r="Y4741" s="8"/>
    </row>
    <row r="4742" spans="1:25" x14ac:dyDescent="0.25">
      <c r="A4742" t="str">
        <f>"09-0741"</f>
        <v>09-0741</v>
      </c>
      <c r="D4742" s="8">
        <v>40099</v>
      </c>
      <c r="F4742" s="8">
        <v>40112</v>
      </c>
      <c r="G4742" s="8">
        <v>40099</v>
      </c>
      <c r="Y4742" s="8"/>
    </row>
    <row r="4743" spans="1:25" x14ac:dyDescent="0.25">
      <c r="A4743" t="str">
        <f>"09-0742"</f>
        <v>09-0742</v>
      </c>
      <c r="D4743" s="8">
        <v>40099</v>
      </c>
      <c r="F4743" s="8">
        <v>40099</v>
      </c>
      <c r="G4743" s="8">
        <v>40099</v>
      </c>
      <c r="Y4743" s="8"/>
    </row>
    <row r="4744" spans="1:25" x14ac:dyDescent="0.25">
      <c r="A4744" t="str">
        <f>"09-0743"</f>
        <v>09-0743</v>
      </c>
      <c r="D4744" s="8">
        <v>40099</v>
      </c>
      <c r="F4744" s="8">
        <v>40099</v>
      </c>
      <c r="G4744" s="8">
        <v>40099</v>
      </c>
      <c r="Y4744" s="8"/>
    </row>
    <row r="4745" spans="1:25" x14ac:dyDescent="0.25">
      <c r="A4745" t="str">
        <f>"09-0734"</f>
        <v>09-0734</v>
      </c>
      <c r="D4745" s="8">
        <v>40098</v>
      </c>
      <c r="F4745" s="8">
        <v>40098</v>
      </c>
      <c r="G4745" s="8">
        <v>40098</v>
      </c>
      <c r="Y4745" s="8"/>
    </row>
    <row r="4746" spans="1:25" x14ac:dyDescent="0.25">
      <c r="A4746" t="str">
        <f>"09-0735"</f>
        <v>09-0735</v>
      </c>
      <c r="D4746" s="8">
        <v>40098</v>
      </c>
      <c r="F4746" s="8">
        <v>40099</v>
      </c>
      <c r="G4746" s="8">
        <v>40098</v>
      </c>
      <c r="Y4746" s="8"/>
    </row>
    <row r="4747" spans="1:25" x14ac:dyDescent="0.25">
      <c r="A4747" t="str">
        <f>"09-0736"</f>
        <v>09-0736</v>
      </c>
      <c r="D4747" s="8">
        <v>40098</v>
      </c>
      <c r="F4747" s="8">
        <v>40099</v>
      </c>
      <c r="G4747" s="8">
        <v>40099</v>
      </c>
      <c r="Y4747" s="8"/>
    </row>
    <row r="4748" spans="1:25" x14ac:dyDescent="0.25">
      <c r="A4748" t="str">
        <f>"09-0737"</f>
        <v>09-0737</v>
      </c>
      <c r="D4748" s="8">
        <v>40098</v>
      </c>
      <c r="F4748" s="8">
        <v>40101</v>
      </c>
      <c r="G4748" s="8">
        <v>40099</v>
      </c>
      <c r="Y4748" s="8"/>
    </row>
    <row r="4749" spans="1:25" x14ac:dyDescent="0.25">
      <c r="A4749" t="str">
        <f>"09-0738"</f>
        <v>09-0738</v>
      </c>
      <c r="D4749" s="8">
        <v>40098</v>
      </c>
      <c r="F4749" s="8">
        <v>40100</v>
      </c>
      <c r="G4749" s="8">
        <v>40102</v>
      </c>
      <c r="Y4749" s="8"/>
    </row>
    <row r="4750" spans="1:25" x14ac:dyDescent="0.25">
      <c r="A4750" t="str">
        <f>"09-0739"</f>
        <v>09-0739</v>
      </c>
      <c r="D4750" s="8">
        <v>40098</v>
      </c>
      <c r="F4750" s="8">
        <v>40099</v>
      </c>
      <c r="G4750" s="8">
        <v>40099</v>
      </c>
      <c r="Y4750" s="8"/>
    </row>
    <row r="4751" spans="1:25" x14ac:dyDescent="0.25">
      <c r="A4751" t="str">
        <f>"09-0740"</f>
        <v>09-0740</v>
      </c>
      <c r="D4751" s="8">
        <v>40098</v>
      </c>
      <c r="F4751" s="8">
        <v>40099</v>
      </c>
      <c r="G4751" s="8">
        <v>40105</v>
      </c>
      <c r="Y4751" s="8"/>
    </row>
    <row r="4752" spans="1:25" x14ac:dyDescent="0.25">
      <c r="A4752" t="str">
        <f>"09-0628B"</f>
        <v>09-0628B</v>
      </c>
      <c r="D4752" s="8">
        <v>40095</v>
      </c>
      <c r="F4752" s="8">
        <v>40095</v>
      </c>
      <c r="G4752" s="8">
        <v>40099</v>
      </c>
      <c r="Y4752" s="8"/>
    </row>
    <row r="4753" spans="1:25" x14ac:dyDescent="0.25">
      <c r="A4753" t="str">
        <f>"09-0730"</f>
        <v>09-0730</v>
      </c>
      <c r="D4753" s="8">
        <v>40095</v>
      </c>
      <c r="F4753" s="8">
        <v>40095</v>
      </c>
      <c r="G4753" s="8">
        <v>40095</v>
      </c>
      <c r="Y4753" s="8"/>
    </row>
    <row r="4754" spans="1:25" x14ac:dyDescent="0.25">
      <c r="A4754" t="str">
        <f>"09-0731"</f>
        <v>09-0731</v>
      </c>
      <c r="D4754" s="8">
        <v>40095</v>
      </c>
      <c r="F4754" s="8">
        <v>40095</v>
      </c>
      <c r="G4754" s="8">
        <v>40095</v>
      </c>
      <c r="Y4754" s="8"/>
    </row>
    <row r="4755" spans="1:25" x14ac:dyDescent="0.25">
      <c r="A4755" t="str">
        <f>"09-0732"</f>
        <v>09-0732</v>
      </c>
      <c r="D4755" s="8">
        <v>40095</v>
      </c>
      <c r="F4755" s="8">
        <v>40095</v>
      </c>
      <c r="G4755" s="8">
        <v>40095</v>
      </c>
      <c r="Y4755" s="8"/>
    </row>
    <row r="4756" spans="1:25" x14ac:dyDescent="0.25">
      <c r="A4756" t="str">
        <f>"09-0733"</f>
        <v>09-0733</v>
      </c>
      <c r="D4756" s="8">
        <v>40095</v>
      </c>
      <c r="F4756" s="8">
        <v>40095</v>
      </c>
      <c r="G4756" s="8">
        <v>40095</v>
      </c>
      <c r="Y4756" s="8"/>
    </row>
    <row r="4757" spans="1:25" x14ac:dyDescent="0.25">
      <c r="A4757" t="str">
        <f>"09-0632B"</f>
        <v>09-0632B</v>
      </c>
      <c r="D4757" s="8">
        <v>40094</v>
      </c>
      <c r="F4757" s="8">
        <v>40098</v>
      </c>
      <c r="G4757" s="8">
        <v>40094</v>
      </c>
      <c r="Y4757" s="8"/>
    </row>
    <row r="4758" spans="1:25" x14ac:dyDescent="0.25">
      <c r="A4758" t="str">
        <f>"09-0723"</f>
        <v>09-0723</v>
      </c>
      <c r="D4758" s="8">
        <v>40094</v>
      </c>
      <c r="F4758" s="8">
        <v>40094</v>
      </c>
      <c r="G4758" s="8">
        <v>40094</v>
      </c>
      <c r="Y4758" s="8"/>
    </row>
    <row r="4759" spans="1:25" x14ac:dyDescent="0.25">
      <c r="A4759" t="str">
        <f>"09-0724"</f>
        <v>09-0724</v>
      </c>
      <c r="D4759" s="8">
        <v>40094</v>
      </c>
      <c r="F4759" s="8">
        <v>40101</v>
      </c>
      <c r="G4759" s="8">
        <v>40094</v>
      </c>
      <c r="Y4759" s="8"/>
    </row>
    <row r="4760" spans="1:25" x14ac:dyDescent="0.25">
      <c r="A4760" t="str">
        <f>"09-0725"</f>
        <v>09-0725</v>
      </c>
      <c r="D4760" s="8">
        <v>40094</v>
      </c>
      <c r="F4760" s="8">
        <v>40098</v>
      </c>
      <c r="G4760" s="8">
        <v>40099</v>
      </c>
      <c r="Y4760" s="8"/>
    </row>
    <row r="4761" spans="1:25" x14ac:dyDescent="0.25">
      <c r="A4761" t="str">
        <f>"09-0726"</f>
        <v>09-0726</v>
      </c>
      <c r="D4761" s="8">
        <v>40094</v>
      </c>
      <c r="F4761" s="8">
        <v>40094</v>
      </c>
      <c r="G4761" s="8">
        <v>40094</v>
      </c>
      <c r="Y4761" s="8"/>
    </row>
    <row r="4762" spans="1:25" x14ac:dyDescent="0.25">
      <c r="A4762" t="str">
        <f>"09-0727"</f>
        <v>09-0727</v>
      </c>
      <c r="D4762" s="8">
        <v>40094</v>
      </c>
      <c r="F4762" s="8">
        <v>40269</v>
      </c>
      <c r="G4762" s="8">
        <v>40095</v>
      </c>
      <c r="Y4762" s="8"/>
    </row>
    <row r="4763" spans="1:25" x14ac:dyDescent="0.25">
      <c r="A4763" t="str">
        <f>"09-0728"</f>
        <v>09-0728</v>
      </c>
      <c r="D4763" s="8">
        <v>40094</v>
      </c>
      <c r="F4763" s="8">
        <v>40094</v>
      </c>
      <c r="G4763" s="8">
        <v>40094</v>
      </c>
      <c r="Y4763" s="8"/>
    </row>
    <row r="4764" spans="1:25" x14ac:dyDescent="0.25">
      <c r="A4764" t="str">
        <f>"09-0729"</f>
        <v>09-0729</v>
      </c>
      <c r="D4764" s="8">
        <v>40094</v>
      </c>
      <c r="F4764" s="8">
        <v>40094</v>
      </c>
      <c r="G4764" s="8">
        <v>40094</v>
      </c>
      <c r="Y4764" s="8"/>
    </row>
    <row r="4765" spans="1:25" x14ac:dyDescent="0.25">
      <c r="A4765" t="str">
        <f>"09-0718"</f>
        <v>09-0718</v>
      </c>
      <c r="D4765" s="8">
        <v>40093</v>
      </c>
      <c r="F4765" s="8">
        <v>40093</v>
      </c>
      <c r="G4765" s="8">
        <v>40093</v>
      </c>
      <c r="Y4765" s="8"/>
    </row>
    <row r="4766" spans="1:25" x14ac:dyDescent="0.25">
      <c r="A4766" t="str">
        <f>"09-0719"</f>
        <v>09-0719</v>
      </c>
      <c r="D4766" s="8">
        <v>40093</v>
      </c>
      <c r="F4766" s="8">
        <v>40093</v>
      </c>
      <c r="G4766" s="8">
        <v>40093</v>
      </c>
      <c r="Y4766" s="8"/>
    </row>
    <row r="4767" spans="1:25" x14ac:dyDescent="0.25">
      <c r="A4767" t="str">
        <f>"09-0720"</f>
        <v>09-0720</v>
      </c>
      <c r="D4767" s="8">
        <v>40093</v>
      </c>
      <c r="F4767" s="8">
        <v>40093</v>
      </c>
      <c r="G4767" s="8">
        <v>40093</v>
      </c>
      <c r="Y4767" s="8"/>
    </row>
    <row r="4768" spans="1:25" x14ac:dyDescent="0.25">
      <c r="A4768" t="str">
        <f>"09-0721"</f>
        <v>09-0721</v>
      </c>
      <c r="D4768" s="8">
        <v>40093</v>
      </c>
      <c r="F4768" s="8">
        <v>40093</v>
      </c>
      <c r="G4768" s="8">
        <v>40093</v>
      </c>
      <c r="Y4768" s="8"/>
    </row>
    <row r="4769" spans="1:25" x14ac:dyDescent="0.25">
      <c r="A4769" t="str">
        <f>"09-0722"</f>
        <v>09-0722</v>
      </c>
      <c r="D4769" s="8">
        <v>40093</v>
      </c>
      <c r="F4769" s="8">
        <v>40093</v>
      </c>
      <c r="G4769" s="8">
        <v>40093</v>
      </c>
      <c r="Y4769" s="8"/>
    </row>
    <row r="4770" spans="1:25" x14ac:dyDescent="0.25">
      <c r="A4770" t="str">
        <f>"09-0705"</f>
        <v>09-0705</v>
      </c>
      <c r="D4770" s="8">
        <v>40092</v>
      </c>
      <c r="F4770" s="8">
        <v>40092</v>
      </c>
      <c r="G4770" s="8">
        <v>40092</v>
      </c>
      <c r="Y4770" s="8"/>
    </row>
    <row r="4771" spans="1:25" x14ac:dyDescent="0.25">
      <c r="A4771" t="str">
        <f>"09-0706"</f>
        <v>09-0706</v>
      </c>
      <c r="D4771" s="8">
        <v>40092</v>
      </c>
      <c r="F4771" s="8">
        <v>40092</v>
      </c>
      <c r="G4771" s="8">
        <v>40092</v>
      </c>
      <c r="Y4771" s="8"/>
    </row>
    <row r="4772" spans="1:25" x14ac:dyDescent="0.25">
      <c r="A4772" t="str">
        <f>"09-0707"</f>
        <v>09-0707</v>
      </c>
      <c r="D4772" s="8">
        <v>40092</v>
      </c>
      <c r="F4772" s="8">
        <v>40092</v>
      </c>
      <c r="G4772" s="8">
        <v>40092</v>
      </c>
      <c r="Y4772" s="8"/>
    </row>
    <row r="4773" spans="1:25" x14ac:dyDescent="0.25">
      <c r="A4773" t="str">
        <f>"09-0708"</f>
        <v>09-0708</v>
      </c>
      <c r="D4773" s="8">
        <v>40092</v>
      </c>
      <c r="F4773" s="8">
        <v>40092</v>
      </c>
      <c r="G4773" s="8">
        <v>40092</v>
      </c>
      <c r="Y4773" s="8"/>
    </row>
    <row r="4774" spans="1:25" x14ac:dyDescent="0.25">
      <c r="A4774" t="str">
        <f>"09-0709"</f>
        <v>09-0709</v>
      </c>
      <c r="D4774" s="8">
        <v>40092</v>
      </c>
      <c r="F4774" s="8">
        <v>40092</v>
      </c>
      <c r="G4774" s="8">
        <v>40092</v>
      </c>
      <c r="Y4774" s="8"/>
    </row>
    <row r="4775" spans="1:25" x14ac:dyDescent="0.25">
      <c r="A4775" t="str">
        <f>"09-0710"</f>
        <v>09-0710</v>
      </c>
      <c r="D4775" s="8">
        <v>40092</v>
      </c>
      <c r="F4775" s="8">
        <v>40092</v>
      </c>
      <c r="G4775" s="8">
        <v>40094</v>
      </c>
      <c r="Y4775" s="8"/>
    </row>
    <row r="4776" spans="1:25" x14ac:dyDescent="0.25">
      <c r="A4776" t="str">
        <f>"09-0711"</f>
        <v>09-0711</v>
      </c>
      <c r="D4776" s="8">
        <v>40092</v>
      </c>
      <c r="F4776" s="8">
        <v>40092</v>
      </c>
      <c r="G4776" s="8">
        <v>40092</v>
      </c>
      <c r="Y4776" s="8"/>
    </row>
    <row r="4777" spans="1:25" x14ac:dyDescent="0.25">
      <c r="A4777" t="str">
        <f>"09-0712"</f>
        <v>09-0712</v>
      </c>
      <c r="D4777" s="8">
        <v>40092</v>
      </c>
      <c r="F4777" s="8">
        <v>40092</v>
      </c>
      <c r="G4777" s="8">
        <v>40092</v>
      </c>
      <c r="Y4777" s="8"/>
    </row>
    <row r="4778" spans="1:25" x14ac:dyDescent="0.25">
      <c r="A4778" t="str">
        <f>"09-0713"</f>
        <v>09-0713</v>
      </c>
      <c r="D4778" s="8">
        <v>40092</v>
      </c>
      <c r="F4778" s="8">
        <v>40469</v>
      </c>
      <c r="G4778" s="8">
        <v>40092</v>
      </c>
      <c r="Y4778" s="8"/>
    </row>
    <row r="4779" spans="1:25" x14ac:dyDescent="0.25">
      <c r="A4779" t="str">
        <f>"09-0714"</f>
        <v>09-0714</v>
      </c>
      <c r="D4779" s="8">
        <v>40092</v>
      </c>
      <c r="F4779" s="8">
        <v>40092</v>
      </c>
      <c r="G4779" s="8">
        <v>40092</v>
      </c>
      <c r="Y4779" s="8"/>
    </row>
    <row r="4780" spans="1:25" x14ac:dyDescent="0.25">
      <c r="A4780" t="str">
        <f>"09-0715"</f>
        <v>09-0715</v>
      </c>
      <c r="D4780" s="8">
        <v>40092</v>
      </c>
      <c r="F4780" s="8">
        <v>40092</v>
      </c>
      <c r="G4780" s="8">
        <v>40092</v>
      </c>
      <c r="Y4780" s="8"/>
    </row>
    <row r="4781" spans="1:25" x14ac:dyDescent="0.25">
      <c r="A4781" t="str">
        <f>"09-0716"</f>
        <v>09-0716</v>
      </c>
      <c r="D4781" s="8">
        <v>40092</v>
      </c>
      <c r="F4781" s="8">
        <v>40092</v>
      </c>
      <c r="G4781" s="8">
        <v>40092</v>
      </c>
      <c r="Y4781" s="8"/>
    </row>
    <row r="4782" spans="1:25" x14ac:dyDescent="0.25">
      <c r="A4782" t="str">
        <f>"09-0717"</f>
        <v>09-0717</v>
      </c>
      <c r="D4782" s="8">
        <v>40092</v>
      </c>
      <c r="F4782" s="8">
        <v>40092</v>
      </c>
      <c r="G4782" s="8">
        <v>40094</v>
      </c>
      <c r="Y4782" s="8"/>
    </row>
    <row r="4783" spans="1:25" x14ac:dyDescent="0.25">
      <c r="A4783" t="str">
        <f>"09-0701"</f>
        <v>09-0701</v>
      </c>
      <c r="D4783" s="8">
        <v>40091</v>
      </c>
      <c r="F4783" s="8">
        <v>40091</v>
      </c>
      <c r="G4783" s="8">
        <v>40092</v>
      </c>
      <c r="Y4783" s="8"/>
    </row>
    <row r="4784" spans="1:25" x14ac:dyDescent="0.25">
      <c r="A4784" t="str">
        <f>"09-0702"</f>
        <v>09-0702</v>
      </c>
      <c r="D4784" s="8">
        <v>40091</v>
      </c>
      <c r="F4784" s="8">
        <v>40092</v>
      </c>
      <c r="G4784" s="8">
        <v>40091</v>
      </c>
      <c r="Y4784" s="8"/>
    </row>
    <row r="4785" spans="1:25" x14ac:dyDescent="0.25">
      <c r="A4785" t="str">
        <f>"09-0703"</f>
        <v>09-0703</v>
      </c>
      <c r="D4785" s="8">
        <v>40091</v>
      </c>
      <c r="F4785" s="8">
        <v>40091</v>
      </c>
      <c r="G4785" s="8">
        <v>40091</v>
      </c>
      <c r="Y4785" s="8"/>
    </row>
    <row r="4786" spans="1:25" x14ac:dyDescent="0.25">
      <c r="A4786" t="str">
        <f>"09-0704"</f>
        <v>09-0704</v>
      </c>
      <c r="D4786" s="8">
        <v>40091</v>
      </c>
      <c r="F4786" s="8">
        <v>40091</v>
      </c>
      <c r="G4786" s="8">
        <v>40091</v>
      </c>
      <c r="Y4786" s="8"/>
    </row>
    <row r="4787" spans="1:25" x14ac:dyDescent="0.25">
      <c r="A4787" t="str">
        <f>"09-0699"</f>
        <v>09-0699</v>
      </c>
      <c r="D4787" s="8">
        <v>40088</v>
      </c>
      <c r="F4787" s="8">
        <v>40088</v>
      </c>
      <c r="G4787" s="8">
        <v>40088</v>
      </c>
      <c r="Y4787" s="8"/>
    </row>
    <row r="4788" spans="1:25" x14ac:dyDescent="0.25">
      <c r="A4788" t="str">
        <f>"09-0700"</f>
        <v>09-0700</v>
      </c>
      <c r="D4788" s="8">
        <v>40088</v>
      </c>
      <c r="F4788" s="8">
        <v>40091</v>
      </c>
      <c r="G4788" s="8">
        <v>40088</v>
      </c>
      <c r="Y4788" s="8"/>
    </row>
    <row r="4789" spans="1:25" x14ac:dyDescent="0.25">
      <c r="A4789" t="str">
        <f>"09-0697"</f>
        <v>09-0697</v>
      </c>
      <c r="D4789" s="8">
        <v>40087</v>
      </c>
      <c r="F4789" s="8">
        <v>40087</v>
      </c>
      <c r="G4789" s="8">
        <v>40087</v>
      </c>
      <c r="Y4789" s="8"/>
    </row>
    <row r="4790" spans="1:25" x14ac:dyDescent="0.25">
      <c r="A4790" t="str">
        <f>"09-0694"</f>
        <v>09-0694</v>
      </c>
      <c r="D4790" s="8">
        <v>40086</v>
      </c>
      <c r="F4790" s="8">
        <v>40086</v>
      </c>
      <c r="G4790" s="8">
        <v>40086</v>
      </c>
      <c r="Y4790" s="8"/>
    </row>
    <row r="4791" spans="1:25" x14ac:dyDescent="0.25">
      <c r="A4791" t="str">
        <f>"09-0695"</f>
        <v>09-0695</v>
      </c>
      <c r="D4791" s="8">
        <v>40086</v>
      </c>
      <c r="F4791" s="8">
        <v>40134</v>
      </c>
      <c r="G4791" s="8">
        <v>40088</v>
      </c>
      <c r="Y4791" s="8"/>
    </row>
    <row r="4792" spans="1:25" x14ac:dyDescent="0.25">
      <c r="A4792" t="str">
        <f>"09-0696"</f>
        <v>09-0696</v>
      </c>
      <c r="D4792" s="8">
        <v>40086</v>
      </c>
      <c r="F4792" s="8">
        <v>40086</v>
      </c>
      <c r="G4792" s="8">
        <v>40086</v>
      </c>
      <c r="Y4792" s="8"/>
    </row>
    <row r="4793" spans="1:25" x14ac:dyDescent="0.25">
      <c r="A4793" t="str">
        <f>"09-0685"</f>
        <v>09-0685</v>
      </c>
      <c r="D4793" s="8">
        <v>40085</v>
      </c>
      <c r="F4793" s="8">
        <v>40092</v>
      </c>
      <c r="G4793" s="8">
        <v>40088</v>
      </c>
      <c r="Y4793" s="8"/>
    </row>
    <row r="4794" spans="1:25" x14ac:dyDescent="0.25">
      <c r="A4794" t="str">
        <f>"09-0686"</f>
        <v>09-0686</v>
      </c>
      <c r="D4794" s="8">
        <v>40085</v>
      </c>
      <c r="F4794" s="8">
        <v>40092</v>
      </c>
      <c r="G4794" s="8">
        <v>40092</v>
      </c>
      <c r="Y4794" s="8"/>
    </row>
    <row r="4795" spans="1:25" x14ac:dyDescent="0.25">
      <c r="A4795" t="str">
        <f>"09-0687"</f>
        <v>09-0687</v>
      </c>
      <c r="D4795" s="8">
        <v>40085</v>
      </c>
      <c r="F4795" s="8">
        <v>40085</v>
      </c>
      <c r="G4795" s="8">
        <v>40085</v>
      </c>
      <c r="Y4795" s="8"/>
    </row>
    <row r="4796" spans="1:25" x14ac:dyDescent="0.25">
      <c r="A4796" t="str">
        <f>"09-0688"</f>
        <v>09-0688</v>
      </c>
      <c r="D4796" s="8">
        <v>40085</v>
      </c>
      <c r="F4796" s="8">
        <v>40085</v>
      </c>
      <c r="G4796" s="8">
        <v>40085</v>
      </c>
      <c r="Y4796" s="8"/>
    </row>
    <row r="4797" spans="1:25" x14ac:dyDescent="0.25">
      <c r="A4797" t="str">
        <f>"09-0689"</f>
        <v>09-0689</v>
      </c>
      <c r="D4797" s="8">
        <v>40085</v>
      </c>
      <c r="F4797" s="8">
        <v>40085</v>
      </c>
      <c r="G4797" s="8">
        <v>40085</v>
      </c>
      <c r="Y4797" s="8"/>
    </row>
    <row r="4798" spans="1:25" x14ac:dyDescent="0.25">
      <c r="A4798" t="str">
        <f>"09-0690"</f>
        <v>09-0690</v>
      </c>
      <c r="D4798" s="8">
        <v>40085</v>
      </c>
      <c r="F4798" s="8">
        <v>40086</v>
      </c>
      <c r="G4798" s="8">
        <v>40088</v>
      </c>
      <c r="Y4798" s="8"/>
    </row>
    <row r="4799" spans="1:25" x14ac:dyDescent="0.25">
      <c r="A4799" t="str">
        <f>"09-0691"</f>
        <v>09-0691</v>
      </c>
      <c r="D4799" s="8">
        <v>40085</v>
      </c>
      <c r="F4799" s="8">
        <v>40085</v>
      </c>
      <c r="G4799" s="8">
        <v>40085</v>
      </c>
      <c r="Y4799" s="8"/>
    </row>
    <row r="4800" spans="1:25" x14ac:dyDescent="0.25">
      <c r="A4800" t="str">
        <f>"09-0692"</f>
        <v>09-0692</v>
      </c>
      <c r="D4800" s="8">
        <v>40085</v>
      </c>
      <c r="F4800" s="8">
        <v>40091</v>
      </c>
      <c r="G4800" s="8">
        <v>40085</v>
      </c>
      <c r="Y4800" s="8"/>
    </row>
    <row r="4801" spans="1:25" x14ac:dyDescent="0.25">
      <c r="A4801" t="str">
        <f>"09-0693"</f>
        <v>09-0693</v>
      </c>
      <c r="D4801" s="8">
        <v>40085</v>
      </c>
      <c r="F4801" s="8">
        <v>40085</v>
      </c>
      <c r="G4801" s="8">
        <v>40085</v>
      </c>
      <c r="Y4801" s="8"/>
    </row>
    <row r="4802" spans="1:25" x14ac:dyDescent="0.25">
      <c r="A4802" t="str">
        <f>"09-0677"</f>
        <v>09-0677</v>
      </c>
      <c r="D4802" s="8">
        <v>40084</v>
      </c>
      <c r="F4802" s="8">
        <v>40086</v>
      </c>
      <c r="G4802" s="8">
        <v>40088</v>
      </c>
      <c r="Y4802" s="8"/>
    </row>
    <row r="4803" spans="1:25" x14ac:dyDescent="0.25">
      <c r="A4803" t="str">
        <f>"09-0678"</f>
        <v>09-0678</v>
      </c>
      <c r="D4803" s="8">
        <v>40084</v>
      </c>
      <c r="F4803" s="8">
        <v>40084</v>
      </c>
      <c r="G4803" s="8">
        <v>40084</v>
      </c>
      <c r="Y4803" s="8"/>
    </row>
    <row r="4804" spans="1:25" x14ac:dyDescent="0.25">
      <c r="A4804" t="str">
        <f>"09-0679"</f>
        <v>09-0679</v>
      </c>
      <c r="D4804" s="8">
        <v>40084</v>
      </c>
      <c r="F4804" s="8">
        <v>40084</v>
      </c>
      <c r="G4804" s="8">
        <v>40084</v>
      </c>
      <c r="Y4804" s="8"/>
    </row>
    <row r="4805" spans="1:25" x14ac:dyDescent="0.25">
      <c r="A4805" t="str">
        <f>"09-0680"</f>
        <v>09-0680</v>
      </c>
      <c r="D4805" s="8">
        <v>40084</v>
      </c>
      <c r="F4805" s="8">
        <v>40084</v>
      </c>
      <c r="G4805" s="8">
        <v>40084</v>
      </c>
      <c r="Y4805" s="8"/>
    </row>
    <row r="4806" spans="1:25" x14ac:dyDescent="0.25">
      <c r="A4806" t="str">
        <f>"09-0681"</f>
        <v>09-0681</v>
      </c>
      <c r="D4806" s="8">
        <v>40084</v>
      </c>
      <c r="F4806" s="8">
        <v>40147</v>
      </c>
      <c r="G4806" s="8">
        <v>40084</v>
      </c>
      <c r="Y4806" s="8"/>
    </row>
    <row r="4807" spans="1:25" x14ac:dyDescent="0.25">
      <c r="A4807" t="str">
        <f>"09-0682"</f>
        <v>09-0682</v>
      </c>
      <c r="D4807" s="8">
        <v>40084</v>
      </c>
      <c r="F4807" s="8">
        <v>40085</v>
      </c>
      <c r="G4807" s="8">
        <v>40084</v>
      </c>
      <c r="Y4807" s="8"/>
    </row>
    <row r="4808" spans="1:25" x14ac:dyDescent="0.25">
      <c r="A4808" t="str">
        <f>"09-0683"</f>
        <v>09-0683</v>
      </c>
      <c r="D4808" s="8">
        <v>40084</v>
      </c>
      <c r="G4808" s="8">
        <v>40087</v>
      </c>
      <c r="Y4808" s="8"/>
    </row>
    <row r="4809" spans="1:25" x14ac:dyDescent="0.25">
      <c r="A4809" t="str">
        <f>"09-0684"</f>
        <v>09-0684</v>
      </c>
      <c r="D4809" s="8">
        <v>40084</v>
      </c>
      <c r="F4809" s="8">
        <v>40084</v>
      </c>
      <c r="G4809" s="8">
        <v>40084</v>
      </c>
      <c r="Y4809" s="8"/>
    </row>
    <row r="4810" spans="1:25" x14ac:dyDescent="0.25">
      <c r="A4810" t="str">
        <f>"09-0675"</f>
        <v>09-0675</v>
      </c>
      <c r="D4810" s="8">
        <v>40081</v>
      </c>
      <c r="F4810" s="8">
        <v>40466</v>
      </c>
      <c r="G4810" s="8">
        <v>40081</v>
      </c>
      <c r="Y4810" s="8"/>
    </row>
    <row r="4811" spans="1:25" x14ac:dyDescent="0.25">
      <c r="A4811" t="str">
        <f>"09-0676"</f>
        <v>09-0676</v>
      </c>
      <c r="D4811" s="8">
        <v>40081</v>
      </c>
      <c r="F4811" s="8">
        <v>40081</v>
      </c>
      <c r="G4811" s="8">
        <v>40081</v>
      </c>
      <c r="Y4811" s="8"/>
    </row>
    <row r="4812" spans="1:25" x14ac:dyDescent="0.25">
      <c r="A4812" t="str">
        <f>"09-0656B"</f>
        <v>09-0656B</v>
      </c>
      <c r="D4812" s="8">
        <v>40080</v>
      </c>
      <c r="F4812" s="8">
        <v>40080</v>
      </c>
      <c r="G4812" s="8">
        <v>40079</v>
      </c>
      <c r="Y4812" s="8"/>
    </row>
    <row r="4813" spans="1:25" x14ac:dyDescent="0.25">
      <c r="A4813" t="str">
        <f>"09-0660B"</f>
        <v>09-0660B</v>
      </c>
      <c r="D4813" s="8">
        <v>40080</v>
      </c>
      <c r="F4813" s="8">
        <v>40080</v>
      </c>
      <c r="G4813" s="8">
        <v>40080</v>
      </c>
      <c r="Y4813" s="8"/>
    </row>
    <row r="4814" spans="1:25" x14ac:dyDescent="0.25">
      <c r="A4814" t="str">
        <f>"09-0673"</f>
        <v>09-0673</v>
      </c>
      <c r="D4814" s="8">
        <v>40080</v>
      </c>
      <c r="F4814" s="8">
        <v>40081</v>
      </c>
      <c r="G4814" s="8">
        <v>40081</v>
      </c>
      <c r="Y4814" s="8"/>
    </row>
    <row r="4815" spans="1:25" x14ac:dyDescent="0.25">
      <c r="A4815" t="str">
        <f>"09-0674"</f>
        <v>09-0674</v>
      </c>
      <c r="D4815" s="8">
        <v>40080</v>
      </c>
      <c r="F4815" s="8">
        <v>40108</v>
      </c>
      <c r="G4815" s="8">
        <v>40080</v>
      </c>
      <c r="Y4815" s="8"/>
    </row>
    <row r="4816" spans="1:25" x14ac:dyDescent="0.25">
      <c r="A4816" t="str">
        <f>"09-0669"</f>
        <v>09-0669</v>
      </c>
      <c r="D4816" s="8">
        <v>40079</v>
      </c>
      <c r="F4816" s="8">
        <v>40079</v>
      </c>
      <c r="G4816" s="8">
        <v>40079</v>
      </c>
      <c r="Y4816" s="8"/>
    </row>
    <row r="4817" spans="1:25" x14ac:dyDescent="0.25">
      <c r="A4817" t="str">
        <f>"09-0670"</f>
        <v>09-0670</v>
      </c>
      <c r="D4817" s="8">
        <v>40079</v>
      </c>
      <c r="F4817" s="8">
        <v>40079</v>
      </c>
      <c r="G4817" s="8">
        <v>40080</v>
      </c>
      <c r="Y4817" s="8"/>
    </row>
    <row r="4818" spans="1:25" x14ac:dyDescent="0.25">
      <c r="A4818" t="str">
        <f>"09-0671"</f>
        <v>09-0671</v>
      </c>
      <c r="D4818" s="8">
        <v>40079</v>
      </c>
      <c r="F4818" s="8">
        <v>40085</v>
      </c>
      <c r="G4818" s="8">
        <v>40056</v>
      </c>
      <c r="Y4818" s="8"/>
    </row>
    <row r="4819" spans="1:25" x14ac:dyDescent="0.25">
      <c r="A4819" t="str">
        <f>"09-0660"</f>
        <v>09-0660</v>
      </c>
      <c r="D4819" s="8">
        <v>40078</v>
      </c>
      <c r="F4819" s="8">
        <v>40079</v>
      </c>
      <c r="G4819" s="8">
        <v>40078</v>
      </c>
      <c r="Y4819" s="8"/>
    </row>
    <row r="4820" spans="1:25" x14ac:dyDescent="0.25">
      <c r="A4820" t="str">
        <f>"09-0661"</f>
        <v>09-0661</v>
      </c>
      <c r="D4820" s="8">
        <v>40078</v>
      </c>
      <c r="F4820" s="8">
        <v>40091</v>
      </c>
      <c r="G4820" s="8">
        <v>40078</v>
      </c>
      <c r="Y4820" s="8"/>
    </row>
    <row r="4821" spans="1:25" x14ac:dyDescent="0.25">
      <c r="A4821" t="str">
        <f>"09-0662"</f>
        <v>09-0662</v>
      </c>
      <c r="D4821" s="8">
        <v>40078</v>
      </c>
      <c r="F4821" s="8">
        <v>40078</v>
      </c>
      <c r="G4821" s="8">
        <v>40078</v>
      </c>
      <c r="Y4821" s="8"/>
    </row>
    <row r="4822" spans="1:25" x14ac:dyDescent="0.25">
      <c r="A4822" t="str">
        <f>"09-0663"</f>
        <v>09-0663</v>
      </c>
      <c r="D4822" s="8">
        <v>40078</v>
      </c>
      <c r="F4822" s="8">
        <v>40078</v>
      </c>
      <c r="G4822" s="8">
        <v>40078</v>
      </c>
      <c r="Y4822" s="8"/>
    </row>
    <row r="4823" spans="1:25" x14ac:dyDescent="0.25">
      <c r="A4823" t="str">
        <f>"09-0664"</f>
        <v>09-0664</v>
      </c>
      <c r="D4823" s="8">
        <v>40078</v>
      </c>
      <c r="F4823" s="8">
        <v>40080</v>
      </c>
      <c r="G4823" s="8">
        <v>40081</v>
      </c>
      <c r="Y4823" s="8"/>
    </row>
    <row r="4824" spans="1:25" x14ac:dyDescent="0.25">
      <c r="A4824" t="str">
        <f>"09-0665"</f>
        <v>09-0665</v>
      </c>
      <c r="D4824" s="8">
        <v>40078</v>
      </c>
      <c r="F4824" s="8">
        <v>40078</v>
      </c>
      <c r="G4824" s="8">
        <v>40078</v>
      </c>
      <c r="Y4824" s="8"/>
    </row>
    <row r="4825" spans="1:25" x14ac:dyDescent="0.25">
      <c r="A4825" t="str">
        <f>"09-0666"</f>
        <v>09-0666</v>
      </c>
      <c r="D4825" s="8">
        <v>40078</v>
      </c>
      <c r="F4825" s="8">
        <v>40078</v>
      </c>
      <c r="G4825" s="8">
        <v>40078</v>
      </c>
      <c r="Y4825" s="8"/>
    </row>
    <row r="4826" spans="1:25" x14ac:dyDescent="0.25">
      <c r="A4826" t="str">
        <f>"09-0667"</f>
        <v>09-0667</v>
      </c>
      <c r="D4826" s="8">
        <v>40078</v>
      </c>
      <c r="F4826" s="8">
        <v>40084</v>
      </c>
      <c r="G4826" s="8">
        <v>40086</v>
      </c>
      <c r="Y4826" s="8"/>
    </row>
    <row r="4827" spans="1:25" x14ac:dyDescent="0.25">
      <c r="A4827" t="str">
        <f>"09-0668"</f>
        <v>09-0668</v>
      </c>
      <c r="D4827" s="8">
        <v>40078</v>
      </c>
      <c r="F4827" s="8">
        <v>40078</v>
      </c>
      <c r="G4827" s="8">
        <v>40078</v>
      </c>
      <c r="Y4827" s="8"/>
    </row>
    <row r="4828" spans="1:25" x14ac:dyDescent="0.25">
      <c r="A4828" t="str">
        <f>"09-0654"</f>
        <v>09-0654</v>
      </c>
      <c r="D4828" s="8">
        <v>40077</v>
      </c>
      <c r="F4828" s="8">
        <v>40077</v>
      </c>
      <c r="G4828" s="8">
        <v>40077</v>
      </c>
      <c r="Y4828" s="8"/>
    </row>
    <row r="4829" spans="1:25" x14ac:dyDescent="0.25">
      <c r="A4829" t="str">
        <f>"09-0655"</f>
        <v>09-0655</v>
      </c>
      <c r="D4829" s="8">
        <v>40077</v>
      </c>
      <c r="F4829" s="8">
        <v>40077</v>
      </c>
      <c r="G4829" s="8">
        <v>40077</v>
      </c>
      <c r="Y4829" s="8"/>
    </row>
    <row r="4830" spans="1:25" x14ac:dyDescent="0.25">
      <c r="A4830" t="str">
        <f>"09-0656"</f>
        <v>09-0656</v>
      </c>
      <c r="D4830" s="8">
        <v>40077</v>
      </c>
      <c r="F4830" s="8">
        <v>40080</v>
      </c>
      <c r="G4830" s="8">
        <v>40079</v>
      </c>
      <c r="Y4830" s="8"/>
    </row>
    <row r="4831" spans="1:25" x14ac:dyDescent="0.25">
      <c r="A4831" t="str">
        <f>"09-0657"</f>
        <v>09-0657</v>
      </c>
      <c r="D4831" s="8">
        <v>40077</v>
      </c>
      <c r="F4831" s="8">
        <v>40079</v>
      </c>
      <c r="G4831" s="8">
        <v>40079</v>
      </c>
      <c r="Y4831" s="8"/>
    </row>
    <row r="4832" spans="1:25" x14ac:dyDescent="0.25">
      <c r="A4832" t="str">
        <f>"09-0658"</f>
        <v>09-0658</v>
      </c>
      <c r="D4832" s="8">
        <v>40077</v>
      </c>
      <c r="F4832" s="8">
        <v>40077</v>
      </c>
      <c r="G4832" s="8">
        <v>40077</v>
      </c>
      <c r="Y4832" s="8"/>
    </row>
    <row r="4833" spans="1:25" x14ac:dyDescent="0.25">
      <c r="A4833" t="str">
        <f>"09-0659"</f>
        <v>09-0659</v>
      </c>
      <c r="D4833" s="8">
        <v>40077</v>
      </c>
      <c r="F4833" s="8">
        <v>40077</v>
      </c>
      <c r="G4833" s="8">
        <v>40078</v>
      </c>
      <c r="Y4833" s="8"/>
    </row>
    <row r="4834" spans="1:25" x14ac:dyDescent="0.25">
      <c r="A4834" t="str">
        <f>"09-0645B"</f>
        <v>09-0645B</v>
      </c>
      <c r="D4834" s="8">
        <v>40074</v>
      </c>
      <c r="F4834" s="8">
        <v>40074</v>
      </c>
      <c r="G4834" s="8">
        <v>40074</v>
      </c>
      <c r="Y4834" s="8"/>
    </row>
    <row r="4835" spans="1:25" x14ac:dyDescent="0.25">
      <c r="A4835" t="str">
        <f>"09-0651"</f>
        <v>09-0651</v>
      </c>
      <c r="D4835" s="8">
        <v>40074</v>
      </c>
      <c r="F4835" s="8">
        <v>40074</v>
      </c>
      <c r="G4835" s="8">
        <v>40074</v>
      </c>
      <c r="Y4835" s="8"/>
    </row>
    <row r="4836" spans="1:25" x14ac:dyDescent="0.25">
      <c r="A4836" t="str">
        <f>"09-0652"</f>
        <v>09-0652</v>
      </c>
      <c r="D4836" s="8">
        <v>40074</v>
      </c>
      <c r="F4836" s="8">
        <v>40074</v>
      </c>
      <c r="G4836" s="8">
        <v>40074</v>
      </c>
      <c r="Y4836" s="8"/>
    </row>
    <row r="4837" spans="1:25" x14ac:dyDescent="0.25">
      <c r="A4837" t="str">
        <f>"09-0653"</f>
        <v>09-0653</v>
      </c>
      <c r="D4837" s="8">
        <v>40074</v>
      </c>
      <c r="F4837" s="8">
        <v>40074</v>
      </c>
      <c r="G4837" s="8">
        <v>40074</v>
      </c>
      <c r="Y4837" s="8"/>
    </row>
    <row r="4838" spans="1:25" x14ac:dyDescent="0.25">
      <c r="A4838" t="str">
        <f>"09-0644B"</f>
        <v>09-0644B</v>
      </c>
      <c r="D4838" s="8">
        <v>40073</v>
      </c>
      <c r="F4838" s="8">
        <v>40073</v>
      </c>
      <c r="G4838" s="8">
        <v>40073</v>
      </c>
      <c r="Y4838" s="8"/>
    </row>
    <row r="4839" spans="1:25" x14ac:dyDescent="0.25">
      <c r="A4839" t="str">
        <f>"09-0647"</f>
        <v>09-0647</v>
      </c>
      <c r="D4839" s="8">
        <v>40073</v>
      </c>
      <c r="F4839" s="8">
        <v>40073</v>
      </c>
      <c r="G4839" s="8">
        <v>40073</v>
      </c>
      <c r="Y4839" s="8"/>
    </row>
    <row r="4840" spans="1:25" x14ac:dyDescent="0.25">
      <c r="A4840" t="str">
        <f>"09-0648"</f>
        <v>09-0648</v>
      </c>
      <c r="D4840" s="8">
        <v>40073</v>
      </c>
      <c r="F4840" s="8">
        <v>40073</v>
      </c>
      <c r="G4840" s="8">
        <v>40073</v>
      </c>
      <c r="Y4840" s="8"/>
    </row>
    <row r="4841" spans="1:25" x14ac:dyDescent="0.25">
      <c r="A4841" t="str">
        <f>"09-0649"</f>
        <v>09-0649</v>
      </c>
      <c r="D4841" s="8">
        <v>40073</v>
      </c>
      <c r="F4841" s="8">
        <v>40073</v>
      </c>
      <c r="G4841" s="8">
        <v>40073</v>
      </c>
      <c r="Y4841" s="8"/>
    </row>
    <row r="4842" spans="1:25" x14ac:dyDescent="0.25">
      <c r="A4842" t="str">
        <f>"09-0650"</f>
        <v>09-0650</v>
      </c>
      <c r="D4842" s="8">
        <v>40073</v>
      </c>
      <c r="F4842" s="8">
        <v>40073</v>
      </c>
      <c r="G4842" s="8">
        <v>40073</v>
      </c>
      <c r="Y4842" s="8"/>
    </row>
    <row r="4843" spans="1:25" x14ac:dyDescent="0.25">
      <c r="A4843" t="str">
        <f>"09-0643"</f>
        <v>09-0643</v>
      </c>
      <c r="D4843" s="8">
        <v>40072</v>
      </c>
      <c r="F4843" s="8">
        <v>40072</v>
      </c>
      <c r="G4843" s="8">
        <v>40072</v>
      </c>
      <c r="Y4843" s="8"/>
    </row>
    <row r="4844" spans="1:25" x14ac:dyDescent="0.25">
      <c r="A4844" t="str">
        <f>"09-0644"</f>
        <v>09-0644</v>
      </c>
      <c r="D4844" s="8">
        <v>40072</v>
      </c>
      <c r="F4844" s="8">
        <v>40072</v>
      </c>
      <c r="G4844" s="8">
        <v>40072</v>
      </c>
      <c r="Y4844" s="8"/>
    </row>
    <row r="4845" spans="1:25" x14ac:dyDescent="0.25">
      <c r="A4845" t="str">
        <f>"09-0645"</f>
        <v>09-0645</v>
      </c>
      <c r="D4845" s="8">
        <v>40072</v>
      </c>
      <c r="F4845" s="8">
        <v>40072</v>
      </c>
      <c r="G4845" s="8">
        <v>40073</v>
      </c>
      <c r="Y4845" s="8"/>
    </row>
    <row r="4846" spans="1:25" x14ac:dyDescent="0.25">
      <c r="A4846" t="str">
        <f>"09-0646"</f>
        <v>09-0646</v>
      </c>
      <c r="D4846" s="8">
        <v>40072</v>
      </c>
      <c r="F4846" s="8">
        <v>40072</v>
      </c>
      <c r="G4846" s="8">
        <v>40073</v>
      </c>
      <c r="Y4846" s="8"/>
    </row>
    <row r="4847" spans="1:25" x14ac:dyDescent="0.25">
      <c r="A4847" t="str">
        <f>"09-0637"</f>
        <v>09-0637</v>
      </c>
      <c r="D4847" s="8">
        <v>40071</v>
      </c>
      <c r="F4847" s="8">
        <v>41689</v>
      </c>
      <c r="G4847" s="8">
        <v>40071</v>
      </c>
      <c r="Y4847" s="8"/>
    </row>
    <row r="4848" spans="1:25" x14ac:dyDescent="0.25">
      <c r="A4848" t="str">
        <f>"09-0638"</f>
        <v>09-0638</v>
      </c>
      <c r="D4848" s="8">
        <v>40071</v>
      </c>
      <c r="F4848" s="8">
        <v>40071</v>
      </c>
      <c r="G4848" s="8">
        <v>40071</v>
      </c>
      <c r="Y4848" s="8"/>
    </row>
    <row r="4849" spans="1:25" x14ac:dyDescent="0.25">
      <c r="A4849" t="str">
        <f>"09-0639"</f>
        <v>09-0639</v>
      </c>
      <c r="D4849" s="8">
        <v>40071</v>
      </c>
      <c r="F4849" s="8">
        <v>40071</v>
      </c>
      <c r="G4849" s="8">
        <v>40071</v>
      </c>
      <c r="Y4849" s="8"/>
    </row>
    <row r="4850" spans="1:25" x14ac:dyDescent="0.25">
      <c r="A4850" t="str">
        <f>"09-0640"</f>
        <v>09-0640</v>
      </c>
      <c r="D4850" s="8">
        <v>40071</v>
      </c>
      <c r="F4850" s="8">
        <v>40071</v>
      </c>
      <c r="G4850" s="8">
        <v>40071</v>
      </c>
      <c r="Y4850" s="8"/>
    </row>
    <row r="4851" spans="1:25" x14ac:dyDescent="0.25">
      <c r="A4851" t="str">
        <f>"09-0641"</f>
        <v>09-0641</v>
      </c>
      <c r="D4851" s="8">
        <v>40071</v>
      </c>
      <c r="F4851" s="8">
        <v>40071</v>
      </c>
      <c r="G4851" s="8">
        <v>40071</v>
      </c>
      <c r="Y4851" s="8"/>
    </row>
    <row r="4852" spans="1:25" x14ac:dyDescent="0.25">
      <c r="A4852" t="str">
        <f>"09-0642"</f>
        <v>09-0642</v>
      </c>
      <c r="D4852" s="8">
        <v>40071</v>
      </c>
      <c r="F4852" s="8">
        <v>40072</v>
      </c>
      <c r="G4852" s="8">
        <v>40072</v>
      </c>
      <c r="Y4852" s="8"/>
    </row>
    <row r="4853" spans="1:25" x14ac:dyDescent="0.25">
      <c r="A4853" t="str">
        <f>"09-0633"</f>
        <v>09-0633</v>
      </c>
      <c r="D4853" s="8">
        <v>40070</v>
      </c>
      <c r="F4853" s="8">
        <v>40070</v>
      </c>
      <c r="G4853" s="8">
        <v>40070</v>
      </c>
      <c r="Y4853" s="8"/>
    </row>
    <row r="4854" spans="1:25" x14ac:dyDescent="0.25">
      <c r="A4854" t="str">
        <f>"09-0634"</f>
        <v>09-0634</v>
      </c>
      <c r="D4854" s="8">
        <v>40070</v>
      </c>
      <c r="F4854" s="8">
        <v>40070</v>
      </c>
      <c r="G4854" s="8">
        <v>40070</v>
      </c>
      <c r="Y4854" s="8"/>
    </row>
    <row r="4855" spans="1:25" x14ac:dyDescent="0.25">
      <c r="A4855" t="str">
        <f>"09-0635"</f>
        <v>09-0635</v>
      </c>
      <c r="D4855" s="8">
        <v>40070</v>
      </c>
      <c r="F4855" s="8">
        <v>40070</v>
      </c>
      <c r="G4855" s="8">
        <v>40070</v>
      </c>
      <c r="Y4855" s="8"/>
    </row>
    <row r="4856" spans="1:25" x14ac:dyDescent="0.25">
      <c r="A4856" t="str">
        <f>"09-0636"</f>
        <v>09-0636</v>
      </c>
      <c r="D4856" s="8">
        <v>40070</v>
      </c>
      <c r="F4856" s="8">
        <v>40105</v>
      </c>
      <c r="G4856" s="8">
        <v>40070</v>
      </c>
      <c r="Y4856" s="8"/>
    </row>
    <row r="4857" spans="1:25" x14ac:dyDescent="0.25">
      <c r="A4857" t="str">
        <f>"09-0627"</f>
        <v>09-0627</v>
      </c>
      <c r="D4857" s="8">
        <v>40067</v>
      </c>
      <c r="F4857" s="8">
        <v>40067</v>
      </c>
      <c r="G4857" s="8">
        <v>40067</v>
      </c>
      <c r="Y4857" s="8"/>
    </row>
    <row r="4858" spans="1:25" x14ac:dyDescent="0.25">
      <c r="A4858" t="str">
        <f>"09-0628"</f>
        <v>09-0628</v>
      </c>
      <c r="D4858" s="8">
        <v>40067</v>
      </c>
      <c r="F4858" s="8">
        <v>40088</v>
      </c>
      <c r="G4858" s="8">
        <v>40079</v>
      </c>
      <c r="Y4858" s="8"/>
    </row>
    <row r="4859" spans="1:25" x14ac:dyDescent="0.25">
      <c r="A4859" t="str">
        <f>"09-0629"</f>
        <v>09-0629</v>
      </c>
      <c r="D4859" s="8">
        <v>40067</v>
      </c>
      <c r="F4859" s="8">
        <v>40067</v>
      </c>
      <c r="G4859" s="8">
        <v>40067</v>
      </c>
      <c r="Y4859" s="8"/>
    </row>
    <row r="4860" spans="1:25" x14ac:dyDescent="0.25">
      <c r="A4860" t="str">
        <f>"09-0630"</f>
        <v>09-0630</v>
      </c>
      <c r="D4860" s="8">
        <v>40067</v>
      </c>
      <c r="F4860" s="8">
        <v>40067</v>
      </c>
      <c r="G4860" s="8">
        <v>40067</v>
      </c>
      <c r="Y4860" s="8"/>
    </row>
    <row r="4861" spans="1:25" x14ac:dyDescent="0.25">
      <c r="A4861" t="str">
        <f>"09-0631"</f>
        <v>09-0631</v>
      </c>
      <c r="D4861" s="8">
        <v>40067</v>
      </c>
      <c r="F4861" s="8">
        <v>40067</v>
      </c>
      <c r="G4861" s="8">
        <v>40067</v>
      </c>
      <c r="Y4861" s="8"/>
    </row>
    <row r="4862" spans="1:25" x14ac:dyDescent="0.25">
      <c r="A4862" t="str">
        <f>"09-0632"</f>
        <v>09-0632</v>
      </c>
      <c r="D4862" s="8">
        <v>40067</v>
      </c>
      <c r="F4862" s="8">
        <v>40098</v>
      </c>
      <c r="G4862" s="8">
        <v>40071</v>
      </c>
      <c r="Y4862" s="8"/>
    </row>
    <row r="4863" spans="1:25" x14ac:dyDescent="0.25">
      <c r="A4863" t="str">
        <f>"09-0609B"</f>
        <v>09-0609B</v>
      </c>
      <c r="D4863" s="8">
        <v>40066</v>
      </c>
      <c r="F4863" s="8">
        <v>40066</v>
      </c>
      <c r="G4863" s="8">
        <v>40066</v>
      </c>
      <c r="Y4863" s="8"/>
    </row>
    <row r="4864" spans="1:25" x14ac:dyDescent="0.25">
      <c r="A4864" t="str">
        <f>"09-0624"</f>
        <v>09-0624</v>
      </c>
      <c r="D4864" s="8">
        <v>40066</v>
      </c>
      <c r="F4864" s="8">
        <v>40066</v>
      </c>
      <c r="G4864" s="8">
        <v>40066</v>
      </c>
      <c r="Y4864" s="8"/>
    </row>
    <row r="4865" spans="1:25" x14ac:dyDescent="0.25">
      <c r="A4865" t="str">
        <f>"09-0625"</f>
        <v>09-0625</v>
      </c>
      <c r="D4865" s="8">
        <v>40066</v>
      </c>
      <c r="F4865" s="8">
        <v>40066</v>
      </c>
      <c r="G4865" s="8">
        <v>40067</v>
      </c>
      <c r="Y4865" s="8"/>
    </row>
    <row r="4866" spans="1:25" x14ac:dyDescent="0.25">
      <c r="A4866" t="str">
        <f>"09-0626"</f>
        <v>09-0626</v>
      </c>
      <c r="D4866" s="8">
        <v>40066</v>
      </c>
      <c r="F4866" s="8">
        <v>40092</v>
      </c>
      <c r="G4866" s="8">
        <v>40066</v>
      </c>
      <c r="Y4866" s="8"/>
    </row>
    <row r="4867" spans="1:25" x14ac:dyDescent="0.25">
      <c r="A4867" t="str">
        <f>"09-0620"</f>
        <v>09-0620</v>
      </c>
      <c r="D4867" s="8">
        <v>40065</v>
      </c>
      <c r="F4867" s="8">
        <v>40066</v>
      </c>
      <c r="G4867" s="8">
        <v>40065</v>
      </c>
      <c r="Y4867" s="8"/>
    </row>
    <row r="4868" spans="1:25" x14ac:dyDescent="0.25">
      <c r="A4868" t="str">
        <f>"09-0621"</f>
        <v>09-0621</v>
      </c>
      <c r="D4868" s="8">
        <v>40065</v>
      </c>
      <c r="F4868" s="8">
        <v>40067</v>
      </c>
      <c r="G4868" s="8">
        <v>40067</v>
      </c>
      <c r="Y4868" s="8"/>
    </row>
    <row r="4869" spans="1:25" x14ac:dyDescent="0.25">
      <c r="A4869" t="str">
        <f>"09-0622"</f>
        <v>09-0622</v>
      </c>
      <c r="D4869" s="8">
        <v>40065</v>
      </c>
      <c r="F4869" s="8">
        <v>40065</v>
      </c>
      <c r="G4869" s="8">
        <v>40065</v>
      </c>
      <c r="Y4869" s="8"/>
    </row>
    <row r="4870" spans="1:25" x14ac:dyDescent="0.25">
      <c r="A4870" t="str">
        <f>"09-0623"</f>
        <v>09-0623</v>
      </c>
      <c r="D4870" s="8">
        <v>40065</v>
      </c>
      <c r="F4870" s="8">
        <v>40073</v>
      </c>
      <c r="G4870" s="8">
        <v>40067</v>
      </c>
      <c r="Y4870" s="8"/>
    </row>
    <row r="4871" spans="1:25" x14ac:dyDescent="0.25">
      <c r="A4871" t="str">
        <f>"09-0618"</f>
        <v>09-0618</v>
      </c>
      <c r="D4871" s="8">
        <v>40064</v>
      </c>
      <c r="F4871" s="8">
        <v>40064</v>
      </c>
      <c r="G4871" s="8">
        <v>40064</v>
      </c>
      <c r="Y4871" s="8"/>
    </row>
    <row r="4872" spans="1:25" x14ac:dyDescent="0.25">
      <c r="A4872" t="str">
        <f>"09-0619"</f>
        <v>09-0619</v>
      </c>
      <c r="D4872" s="8">
        <v>40064</v>
      </c>
      <c r="F4872" s="8">
        <v>40064</v>
      </c>
      <c r="G4872" s="8">
        <v>40064</v>
      </c>
      <c r="Y4872" s="8"/>
    </row>
    <row r="4873" spans="1:25" x14ac:dyDescent="0.25">
      <c r="A4873" t="str">
        <f>"09-0616"</f>
        <v>09-0616</v>
      </c>
      <c r="D4873" s="8">
        <v>40063</v>
      </c>
      <c r="F4873" s="8">
        <v>40063</v>
      </c>
      <c r="G4873" s="8">
        <v>40063</v>
      </c>
      <c r="Y4873" s="8"/>
    </row>
    <row r="4874" spans="1:25" x14ac:dyDescent="0.25">
      <c r="A4874" t="str">
        <f>"09-0617"</f>
        <v>09-0617</v>
      </c>
      <c r="D4874" s="8">
        <v>40063</v>
      </c>
      <c r="F4874" s="8">
        <v>40063</v>
      </c>
      <c r="G4874" s="8">
        <v>40063</v>
      </c>
      <c r="Y4874" s="8"/>
    </row>
    <row r="4875" spans="1:25" x14ac:dyDescent="0.25">
      <c r="A4875" t="str">
        <f>"09-0612"</f>
        <v>09-0612</v>
      </c>
      <c r="D4875" s="8">
        <v>40060</v>
      </c>
      <c r="F4875" s="8">
        <v>40060</v>
      </c>
      <c r="G4875" s="8">
        <v>40060</v>
      </c>
      <c r="Y4875" s="8"/>
    </row>
    <row r="4876" spans="1:25" x14ac:dyDescent="0.25">
      <c r="A4876" t="str">
        <f>"09-0613"</f>
        <v>09-0613</v>
      </c>
      <c r="D4876" s="8">
        <v>40060</v>
      </c>
      <c r="F4876" s="8">
        <v>40064</v>
      </c>
      <c r="G4876" s="8">
        <v>40060</v>
      </c>
      <c r="Y4876" s="8"/>
    </row>
    <row r="4877" spans="1:25" x14ac:dyDescent="0.25">
      <c r="A4877" t="str">
        <f>"09-0614"</f>
        <v>09-0614</v>
      </c>
      <c r="D4877" s="8">
        <v>40060</v>
      </c>
      <c r="F4877" s="8">
        <v>40064</v>
      </c>
      <c r="G4877" s="8">
        <v>40067</v>
      </c>
      <c r="Y4877" s="8"/>
    </row>
    <row r="4878" spans="1:25" x14ac:dyDescent="0.25">
      <c r="A4878" t="str">
        <f>"09-0615"</f>
        <v>09-0615</v>
      </c>
      <c r="D4878" s="8">
        <v>40060</v>
      </c>
      <c r="F4878" s="8">
        <v>40060</v>
      </c>
      <c r="G4878" s="8">
        <v>40060</v>
      </c>
      <c r="Y4878" s="8"/>
    </row>
    <row r="4879" spans="1:25" x14ac:dyDescent="0.25">
      <c r="A4879" t="str">
        <f>"09-0535C"</f>
        <v>09-0535C</v>
      </c>
      <c r="D4879" s="8">
        <v>40059</v>
      </c>
      <c r="F4879" s="8">
        <v>40098</v>
      </c>
      <c r="G4879" s="8">
        <v>40060</v>
      </c>
      <c r="Y4879" s="8"/>
    </row>
    <row r="4880" spans="1:25" x14ac:dyDescent="0.25">
      <c r="A4880" t="str">
        <f>"09-0605"</f>
        <v>09-0605</v>
      </c>
      <c r="D4880" s="8">
        <v>40059</v>
      </c>
      <c r="F4880" s="8">
        <v>40059</v>
      </c>
      <c r="G4880" s="8">
        <v>40059</v>
      </c>
      <c r="Y4880" s="8"/>
    </row>
    <row r="4881" spans="1:25" x14ac:dyDescent="0.25">
      <c r="A4881" t="str">
        <f>"09-0606"</f>
        <v>09-0606</v>
      </c>
      <c r="D4881" s="8">
        <v>40059</v>
      </c>
      <c r="F4881" s="8">
        <v>40059</v>
      </c>
      <c r="G4881" s="8">
        <v>40059</v>
      </c>
      <c r="Y4881" s="8"/>
    </row>
    <row r="4882" spans="1:25" x14ac:dyDescent="0.25">
      <c r="A4882" t="str">
        <f>"09-0607"</f>
        <v>09-0607</v>
      </c>
      <c r="D4882" s="8">
        <v>40059</v>
      </c>
      <c r="F4882" s="8">
        <v>40059</v>
      </c>
      <c r="G4882" s="8">
        <v>40059</v>
      </c>
      <c r="Y4882" s="8"/>
    </row>
    <row r="4883" spans="1:25" x14ac:dyDescent="0.25">
      <c r="A4883" t="str">
        <f>"09-0608"</f>
        <v>09-0608</v>
      </c>
      <c r="D4883" s="8">
        <v>40059</v>
      </c>
      <c r="F4883" s="8">
        <v>40059</v>
      </c>
      <c r="G4883" s="8">
        <v>40059</v>
      </c>
      <c r="Y4883" s="8"/>
    </row>
    <row r="4884" spans="1:25" x14ac:dyDescent="0.25">
      <c r="A4884" t="str">
        <f>"09-0609"</f>
        <v>09-0609</v>
      </c>
      <c r="D4884" s="8">
        <v>40059</v>
      </c>
      <c r="F4884" s="8">
        <v>40059</v>
      </c>
      <c r="G4884" s="8">
        <v>40060</v>
      </c>
      <c r="Y4884" s="8"/>
    </row>
    <row r="4885" spans="1:25" x14ac:dyDescent="0.25">
      <c r="A4885" t="str">
        <f>"09-0610"</f>
        <v>09-0610</v>
      </c>
      <c r="D4885" s="8">
        <v>40059</v>
      </c>
      <c r="F4885" s="8">
        <v>40098</v>
      </c>
      <c r="G4885" s="8">
        <v>40059</v>
      </c>
      <c r="Y4885" s="8"/>
    </row>
    <row r="4886" spans="1:25" x14ac:dyDescent="0.25">
      <c r="A4886" t="str">
        <f>"09-0611"</f>
        <v>09-0611</v>
      </c>
      <c r="D4886" s="8">
        <v>40059</v>
      </c>
      <c r="F4886" s="8">
        <v>40133</v>
      </c>
      <c r="G4886" s="8">
        <v>40059</v>
      </c>
      <c r="Y4886" s="8"/>
    </row>
    <row r="4887" spans="1:25" x14ac:dyDescent="0.25">
      <c r="A4887" t="str">
        <f>"09-0601"</f>
        <v>09-0601</v>
      </c>
      <c r="D4887" s="8">
        <v>40058</v>
      </c>
      <c r="F4887" s="8">
        <v>40063</v>
      </c>
      <c r="G4887" s="8">
        <v>40060</v>
      </c>
      <c r="Y4887" s="8"/>
    </row>
    <row r="4888" spans="1:25" x14ac:dyDescent="0.25">
      <c r="A4888" t="str">
        <f>"09-0602"</f>
        <v>09-0602</v>
      </c>
      <c r="D4888" s="8">
        <v>40058</v>
      </c>
      <c r="F4888" s="8">
        <v>40871</v>
      </c>
      <c r="G4888" s="8">
        <v>40065</v>
      </c>
      <c r="Y4888" s="8"/>
    </row>
    <row r="4889" spans="1:25" x14ac:dyDescent="0.25">
      <c r="A4889" t="str">
        <f>"09-0603"</f>
        <v>09-0603</v>
      </c>
      <c r="D4889" s="8">
        <v>40058</v>
      </c>
      <c r="F4889" s="8">
        <v>40065</v>
      </c>
      <c r="G4889" s="8">
        <v>40065</v>
      </c>
      <c r="Y4889" s="8"/>
    </row>
    <row r="4890" spans="1:25" x14ac:dyDescent="0.25">
      <c r="A4890" t="str">
        <f>"09-0604"</f>
        <v>09-0604</v>
      </c>
      <c r="D4890" s="8">
        <v>40058</v>
      </c>
      <c r="F4890" s="8">
        <v>40058</v>
      </c>
      <c r="G4890" s="8">
        <v>40058</v>
      </c>
      <c r="Y4890" s="8"/>
    </row>
    <row r="4891" spans="1:25" x14ac:dyDescent="0.25">
      <c r="A4891" t="str">
        <f>"09-0593"</f>
        <v>09-0593</v>
      </c>
      <c r="D4891" s="8">
        <v>40057</v>
      </c>
      <c r="F4891" s="8">
        <v>40057</v>
      </c>
      <c r="G4891" s="8">
        <v>40057</v>
      </c>
      <c r="Y4891" s="8"/>
    </row>
    <row r="4892" spans="1:25" x14ac:dyDescent="0.25">
      <c r="A4892" t="str">
        <f>"09-0594"</f>
        <v>09-0594</v>
      </c>
      <c r="D4892" s="8">
        <v>40057</v>
      </c>
      <c r="F4892" s="8">
        <v>40057</v>
      </c>
      <c r="G4892" s="8">
        <v>40057</v>
      </c>
      <c r="Y4892" s="8"/>
    </row>
    <row r="4893" spans="1:25" x14ac:dyDescent="0.25">
      <c r="A4893" t="str">
        <f>"09-0595"</f>
        <v>09-0595</v>
      </c>
      <c r="D4893" s="8">
        <v>40057</v>
      </c>
      <c r="F4893" s="8">
        <v>40057</v>
      </c>
      <c r="G4893" s="8">
        <v>40057</v>
      </c>
      <c r="Y4893" s="8"/>
    </row>
    <row r="4894" spans="1:25" x14ac:dyDescent="0.25">
      <c r="A4894" t="str">
        <f>"09-0596"</f>
        <v>09-0596</v>
      </c>
      <c r="D4894" s="8">
        <v>40057</v>
      </c>
      <c r="F4894" s="8">
        <v>40057</v>
      </c>
      <c r="G4894" s="8">
        <v>40057</v>
      </c>
      <c r="Y4894" s="8"/>
    </row>
    <row r="4895" spans="1:25" x14ac:dyDescent="0.25">
      <c r="A4895" t="str">
        <f>"09-0597"</f>
        <v>09-0597</v>
      </c>
      <c r="D4895" s="8">
        <v>40057</v>
      </c>
      <c r="F4895" s="8">
        <v>40057</v>
      </c>
      <c r="G4895" s="8">
        <v>40057</v>
      </c>
      <c r="Y4895" s="8"/>
    </row>
    <row r="4896" spans="1:25" x14ac:dyDescent="0.25">
      <c r="A4896" t="str">
        <f>"09-0598"</f>
        <v>09-0598</v>
      </c>
      <c r="D4896" s="8">
        <v>40057</v>
      </c>
      <c r="F4896" s="8">
        <v>40583</v>
      </c>
      <c r="G4896" s="8">
        <v>40065</v>
      </c>
      <c r="Y4896" s="8"/>
    </row>
    <row r="4897" spans="1:25" x14ac:dyDescent="0.25">
      <c r="A4897" t="str">
        <f>"09-0599"</f>
        <v>09-0599</v>
      </c>
      <c r="D4897" s="8">
        <v>40057</v>
      </c>
      <c r="F4897" s="8">
        <v>40057</v>
      </c>
      <c r="G4897" s="8">
        <v>40057</v>
      </c>
      <c r="Y4897" s="8"/>
    </row>
    <row r="4898" spans="1:25" x14ac:dyDescent="0.25">
      <c r="A4898" t="str">
        <f>"09-0600"</f>
        <v>09-0600</v>
      </c>
      <c r="D4898" s="8">
        <v>40057</v>
      </c>
      <c r="F4898" s="8">
        <v>40060</v>
      </c>
      <c r="G4898" s="8">
        <v>40052</v>
      </c>
      <c r="Y4898" s="8"/>
    </row>
    <row r="4899" spans="1:25" x14ac:dyDescent="0.25">
      <c r="A4899" t="str">
        <f>"09-0592"</f>
        <v>09-0592</v>
      </c>
      <c r="D4899" s="8">
        <v>40056</v>
      </c>
      <c r="F4899" s="8">
        <v>40056</v>
      </c>
      <c r="G4899" s="8">
        <v>40056</v>
      </c>
      <c r="Y4899" s="8"/>
    </row>
    <row r="4900" spans="1:25" x14ac:dyDescent="0.25">
      <c r="A4900" t="str">
        <f>"09-0535B"</f>
        <v>09-0535B</v>
      </c>
      <c r="D4900" s="8">
        <v>40053</v>
      </c>
      <c r="F4900" s="8">
        <v>40098</v>
      </c>
      <c r="G4900" s="8">
        <v>40053</v>
      </c>
      <c r="Y4900" s="8"/>
    </row>
    <row r="4901" spans="1:25" x14ac:dyDescent="0.25">
      <c r="A4901" t="str">
        <f>"09-0591"</f>
        <v>09-0591</v>
      </c>
      <c r="D4901" s="8">
        <v>40052</v>
      </c>
      <c r="F4901" s="8">
        <v>40052</v>
      </c>
      <c r="G4901" s="8">
        <v>40052</v>
      </c>
      <c r="Y4901" s="8"/>
    </row>
    <row r="4902" spans="1:25" x14ac:dyDescent="0.25">
      <c r="A4902" t="str">
        <f>"09-0584"</f>
        <v>09-0584</v>
      </c>
      <c r="D4902" s="8">
        <v>40051</v>
      </c>
      <c r="F4902" s="8">
        <v>40051</v>
      </c>
      <c r="G4902" s="8">
        <v>40051</v>
      </c>
      <c r="Y4902" s="8"/>
    </row>
    <row r="4903" spans="1:25" x14ac:dyDescent="0.25">
      <c r="A4903" t="str">
        <f>"09-0585"</f>
        <v>09-0585</v>
      </c>
      <c r="D4903" s="8">
        <v>40051</v>
      </c>
      <c r="F4903" s="8">
        <v>40051</v>
      </c>
      <c r="G4903" s="8">
        <v>40051</v>
      </c>
      <c r="Y4903" s="8"/>
    </row>
    <row r="4904" spans="1:25" x14ac:dyDescent="0.25">
      <c r="A4904" t="str">
        <f>"09-0586"</f>
        <v>09-0586</v>
      </c>
      <c r="D4904" s="8">
        <v>40051</v>
      </c>
      <c r="F4904" s="8">
        <v>40051</v>
      </c>
      <c r="G4904" s="8">
        <v>40051</v>
      </c>
      <c r="Y4904" s="8"/>
    </row>
    <row r="4905" spans="1:25" x14ac:dyDescent="0.25">
      <c r="A4905" t="str">
        <f>"09-0587"</f>
        <v>09-0587</v>
      </c>
      <c r="D4905" s="8">
        <v>40051</v>
      </c>
      <c r="F4905" s="8">
        <v>40051</v>
      </c>
      <c r="G4905" s="8">
        <v>40051</v>
      </c>
      <c r="Y4905" s="8"/>
    </row>
    <row r="4906" spans="1:25" x14ac:dyDescent="0.25">
      <c r="A4906" t="str">
        <f>"09-0588"</f>
        <v>09-0588</v>
      </c>
      <c r="D4906" s="8">
        <v>40051</v>
      </c>
      <c r="F4906" s="8">
        <v>40051</v>
      </c>
      <c r="G4906" s="8">
        <v>40051</v>
      </c>
      <c r="Y4906" s="8"/>
    </row>
    <row r="4907" spans="1:25" x14ac:dyDescent="0.25">
      <c r="A4907" t="str">
        <f>"09-0589"</f>
        <v>09-0589</v>
      </c>
      <c r="D4907" s="8">
        <v>40051</v>
      </c>
      <c r="F4907" s="8">
        <v>40051</v>
      </c>
      <c r="G4907" s="8">
        <v>40051</v>
      </c>
      <c r="Y4907" s="8"/>
    </row>
    <row r="4908" spans="1:25" x14ac:dyDescent="0.25">
      <c r="A4908" t="str">
        <f>"09-0590"</f>
        <v>09-0590</v>
      </c>
      <c r="D4908" s="8">
        <v>40051</v>
      </c>
      <c r="F4908" s="8">
        <v>40113</v>
      </c>
      <c r="G4908" s="8">
        <v>40051</v>
      </c>
      <c r="Y4908" s="8"/>
    </row>
    <row r="4909" spans="1:25" x14ac:dyDescent="0.25">
      <c r="A4909" t="str">
        <f>"09-0577B"</f>
        <v>09-0577B</v>
      </c>
      <c r="D4909" s="8">
        <v>40050</v>
      </c>
      <c r="F4909" s="8">
        <v>40051</v>
      </c>
      <c r="G4909" s="8">
        <v>40050</v>
      </c>
      <c r="Y4909" s="8"/>
    </row>
    <row r="4910" spans="1:25" x14ac:dyDescent="0.25">
      <c r="A4910" t="str">
        <f>"09-0580"</f>
        <v>09-0580</v>
      </c>
      <c r="D4910" s="8">
        <v>40050</v>
      </c>
      <c r="F4910" s="8">
        <v>40050</v>
      </c>
      <c r="G4910" s="8">
        <v>40050</v>
      </c>
      <c r="Y4910" s="8"/>
    </row>
    <row r="4911" spans="1:25" x14ac:dyDescent="0.25">
      <c r="A4911" t="str">
        <f>"09-0581"</f>
        <v>09-0581</v>
      </c>
      <c r="D4911" s="8">
        <v>40050</v>
      </c>
      <c r="G4911" s="8">
        <v>40073</v>
      </c>
      <c r="Y4911" s="8"/>
    </row>
    <row r="4912" spans="1:25" x14ac:dyDescent="0.25">
      <c r="A4912" t="str">
        <f>"09-0582"</f>
        <v>09-0582</v>
      </c>
      <c r="D4912" s="8">
        <v>40050</v>
      </c>
      <c r="F4912" s="8">
        <v>40050</v>
      </c>
      <c r="G4912" s="8">
        <v>40050</v>
      </c>
      <c r="Y4912" s="8"/>
    </row>
    <row r="4913" spans="1:25" x14ac:dyDescent="0.25">
      <c r="A4913" t="str">
        <f>"09-0583"</f>
        <v>09-0583</v>
      </c>
      <c r="D4913" s="8">
        <v>40050</v>
      </c>
      <c r="F4913" s="8">
        <v>40050</v>
      </c>
      <c r="G4913" s="8">
        <v>40050</v>
      </c>
      <c r="Y4913" s="8"/>
    </row>
    <row r="4914" spans="1:25" x14ac:dyDescent="0.25">
      <c r="A4914" t="str">
        <f>"09-0579"</f>
        <v>09-0579</v>
      </c>
      <c r="D4914" s="8">
        <v>40049</v>
      </c>
      <c r="F4914" s="8">
        <v>40051</v>
      </c>
      <c r="G4914" s="8">
        <v>40049</v>
      </c>
      <c r="Y4914" s="8"/>
    </row>
    <row r="4915" spans="1:25" x14ac:dyDescent="0.25">
      <c r="A4915" t="str">
        <f>"09-0578"</f>
        <v>09-0578</v>
      </c>
      <c r="D4915" s="8">
        <v>40046</v>
      </c>
      <c r="F4915" s="8">
        <v>40046</v>
      </c>
      <c r="G4915" s="8">
        <v>40046</v>
      </c>
      <c r="Y4915" s="8"/>
    </row>
    <row r="4916" spans="1:25" x14ac:dyDescent="0.25">
      <c r="A4916" t="str">
        <f>"09-0577"</f>
        <v>09-0577</v>
      </c>
      <c r="D4916" s="8">
        <v>40045</v>
      </c>
      <c r="F4916" s="8">
        <v>40050</v>
      </c>
      <c r="G4916" s="8">
        <v>40046</v>
      </c>
      <c r="Y4916" s="8"/>
    </row>
    <row r="4917" spans="1:25" x14ac:dyDescent="0.25">
      <c r="A4917" t="str">
        <f>"09-0572"</f>
        <v>09-0572</v>
      </c>
      <c r="D4917" s="8">
        <v>40044</v>
      </c>
      <c r="F4917" s="8">
        <v>40044</v>
      </c>
      <c r="G4917" s="8">
        <v>40044</v>
      </c>
      <c r="Y4917" s="8"/>
    </row>
    <row r="4918" spans="1:25" x14ac:dyDescent="0.25">
      <c r="A4918" t="str">
        <f>"09-0573"</f>
        <v>09-0573</v>
      </c>
      <c r="D4918" s="8">
        <v>40044</v>
      </c>
      <c r="F4918" s="8">
        <v>40044</v>
      </c>
      <c r="G4918" s="8">
        <v>40044</v>
      </c>
      <c r="Y4918" s="8"/>
    </row>
    <row r="4919" spans="1:25" x14ac:dyDescent="0.25">
      <c r="A4919" t="str">
        <f>"09-0574"</f>
        <v>09-0574</v>
      </c>
      <c r="D4919" s="8">
        <v>40044</v>
      </c>
      <c r="F4919" s="8">
        <v>40044</v>
      </c>
      <c r="G4919" s="8">
        <v>40044</v>
      </c>
      <c r="Y4919" s="8"/>
    </row>
    <row r="4920" spans="1:25" x14ac:dyDescent="0.25">
      <c r="A4920" t="str">
        <f>"09-0575"</f>
        <v>09-0575</v>
      </c>
      <c r="D4920" s="8">
        <v>40044</v>
      </c>
      <c r="F4920" s="8">
        <v>40044</v>
      </c>
      <c r="G4920" s="8">
        <v>40044</v>
      </c>
      <c r="Y4920" s="8"/>
    </row>
    <row r="4921" spans="1:25" x14ac:dyDescent="0.25">
      <c r="A4921" t="str">
        <f>"09-0576"</f>
        <v>09-0576</v>
      </c>
      <c r="D4921" s="8">
        <v>40044</v>
      </c>
      <c r="F4921" s="8">
        <v>40044</v>
      </c>
      <c r="G4921" s="8">
        <v>40044</v>
      </c>
      <c r="Y4921" s="8"/>
    </row>
    <row r="4922" spans="1:25" x14ac:dyDescent="0.25">
      <c r="A4922" t="str">
        <f>"09-0568"</f>
        <v>09-0568</v>
      </c>
      <c r="D4922" s="8">
        <v>40043</v>
      </c>
      <c r="F4922" s="8">
        <v>40043</v>
      </c>
      <c r="G4922" s="8">
        <v>40043</v>
      </c>
      <c r="Y4922" s="8"/>
    </row>
    <row r="4923" spans="1:25" x14ac:dyDescent="0.25">
      <c r="A4923" t="str">
        <f>"09-0569"</f>
        <v>09-0569</v>
      </c>
      <c r="D4923" s="8">
        <v>40043</v>
      </c>
      <c r="F4923" s="8">
        <v>40043</v>
      </c>
      <c r="G4923" s="8">
        <v>40043</v>
      </c>
      <c r="Y4923" s="8"/>
    </row>
    <row r="4924" spans="1:25" x14ac:dyDescent="0.25">
      <c r="A4924" t="str">
        <f>"09-0570"</f>
        <v>09-0570</v>
      </c>
      <c r="D4924" s="8">
        <v>40043</v>
      </c>
      <c r="F4924" s="8">
        <v>40043</v>
      </c>
      <c r="G4924" s="8">
        <v>40043</v>
      </c>
      <c r="Y4924" s="8"/>
    </row>
    <row r="4925" spans="1:25" x14ac:dyDescent="0.25">
      <c r="A4925" t="str">
        <f>"09-0571"</f>
        <v>09-0571</v>
      </c>
      <c r="D4925" s="8">
        <v>40043</v>
      </c>
      <c r="F4925" s="8">
        <v>40044</v>
      </c>
      <c r="G4925" s="8">
        <v>40044</v>
      </c>
      <c r="Y4925" s="8"/>
    </row>
    <row r="4926" spans="1:25" x14ac:dyDescent="0.25">
      <c r="A4926" t="str">
        <f>"09-0563"</f>
        <v>09-0563</v>
      </c>
      <c r="D4926" s="8">
        <v>40042</v>
      </c>
      <c r="F4926" s="8">
        <v>40042</v>
      </c>
      <c r="G4926" s="8">
        <v>40042</v>
      </c>
      <c r="Y4926" s="8"/>
    </row>
    <row r="4927" spans="1:25" x14ac:dyDescent="0.25">
      <c r="A4927" t="str">
        <f>"09-0564"</f>
        <v>09-0564</v>
      </c>
      <c r="D4927" s="8">
        <v>40042</v>
      </c>
      <c r="F4927" s="8">
        <v>40042</v>
      </c>
      <c r="G4927" s="8">
        <v>40042</v>
      </c>
      <c r="Y4927" s="8"/>
    </row>
    <row r="4928" spans="1:25" x14ac:dyDescent="0.25">
      <c r="A4928" t="str">
        <f>"09-0565"</f>
        <v>09-0565</v>
      </c>
      <c r="D4928" s="8">
        <v>40042</v>
      </c>
      <c r="F4928" s="8">
        <v>40059</v>
      </c>
      <c r="G4928" s="8">
        <v>40042</v>
      </c>
      <c r="Y4928" s="8"/>
    </row>
    <row r="4929" spans="1:25" x14ac:dyDescent="0.25">
      <c r="A4929" t="str">
        <f>"09-0566"</f>
        <v>09-0566</v>
      </c>
      <c r="D4929" s="8">
        <v>40042</v>
      </c>
      <c r="F4929" s="8">
        <v>40042</v>
      </c>
      <c r="G4929" s="8">
        <v>40042</v>
      </c>
      <c r="Y4929" s="8"/>
    </row>
    <row r="4930" spans="1:25" x14ac:dyDescent="0.25">
      <c r="A4930" t="str">
        <f>"09-0567"</f>
        <v>09-0567</v>
      </c>
      <c r="D4930" s="8">
        <v>40042</v>
      </c>
      <c r="F4930" s="8">
        <v>40042</v>
      </c>
      <c r="G4930" s="8">
        <v>40045</v>
      </c>
      <c r="Y4930" s="8"/>
    </row>
    <row r="4931" spans="1:25" x14ac:dyDescent="0.25">
      <c r="A4931" t="str">
        <f>"09-0562"</f>
        <v>09-0562</v>
      </c>
      <c r="D4931" s="8">
        <v>40039</v>
      </c>
      <c r="F4931" s="8">
        <v>40039</v>
      </c>
      <c r="G4931" s="8">
        <v>40040</v>
      </c>
      <c r="Y4931" s="8"/>
    </row>
    <row r="4932" spans="1:25" x14ac:dyDescent="0.25">
      <c r="A4932" t="str">
        <f>"09-0554"</f>
        <v>09-0554</v>
      </c>
      <c r="D4932" s="8">
        <v>40038</v>
      </c>
      <c r="F4932" s="8">
        <v>40049</v>
      </c>
      <c r="G4932" s="8">
        <v>40043</v>
      </c>
      <c r="Y4932" s="8"/>
    </row>
    <row r="4933" spans="1:25" x14ac:dyDescent="0.25">
      <c r="A4933" t="str">
        <f>"09-0555"</f>
        <v>09-0555</v>
      </c>
      <c r="D4933" s="8">
        <v>40038</v>
      </c>
      <c r="F4933" s="8">
        <v>40043</v>
      </c>
      <c r="G4933" s="8">
        <v>40043</v>
      </c>
      <c r="Y4933" s="8"/>
    </row>
    <row r="4934" spans="1:25" x14ac:dyDescent="0.25">
      <c r="A4934" t="str">
        <f>"09-0556"</f>
        <v>09-0556</v>
      </c>
      <c r="D4934" s="8">
        <v>40038</v>
      </c>
      <c r="F4934" s="8">
        <v>40043</v>
      </c>
      <c r="G4934" s="8">
        <v>40043</v>
      </c>
      <c r="Y4934" s="8"/>
    </row>
    <row r="4935" spans="1:25" x14ac:dyDescent="0.25">
      <c r="A4935" t="str">
        <f>"09-0557"</f>
        <v>09-0557</v>
      </c>
      <c r="D4935" s="8">
        <v>40038</v>
      </c>
      <c r="F4935" s="8">
        <v>40044</v>
      </c>
      <c r="G4935" s="8">
        <v>40045</v>
      </c>
      <c r="Y4935" s="8"/>
    </row>
    <row r="4936" spans="1:25" x14ac:dyDescent="0.25">
      <c r="A4936" t="str">
        <f>"09-0558"</f>
        <v>09-0558</v>
      </c>
      <c r="D4936" s="8">
        <v>40038</v>
      </c>
      <c r="F4936" s="8">
        <v>40038</v>
      </c>
      <c r="G4936" s="8">
        <v>40038</v>
      </c>
      <c r="Y4936" s="8"/>
    </row>
    <row r="4937" spans="1:25" x14ac:dyDescent="0.25">
      <c r="A4937" t="str">
        <f>"09-0559"</f>
        <v>09-0559</v>
      </c>
      <c r="D4937" s="8">
        <v>40038</v>
      </c>
      <c r="G4937" s="8">
        <v>40042</v>
      </c>
      <c r="Y4937" s="8"/>
    </row>
    <row r="4938" spans="1:25" x14ac:dyDescent="0.25">
      <c r="A4938" t="str">
        <f>"09-0560"</f>
        <v>09-0560</v>
      </c>
      <c r="D4938" s="8">
        <v>40038</v>
      </c>
      <c r="F4938" s="8">
        <v>40038</v>
      </c>
      <c r="G4938" s="8">
        <v>40038</v>
      </c>
      <c r="Y4938" s="8"/>
    </row>
    <row r="4939" spans="1:25" x14ac:dyDescent="0.25">
      <c r="A4939" t="str">
        <f>"09-0561"</f>
        <v>09-0561</v>
      </c>
      <c r="D4939" s="8">
        <v>40038</v>
      </c>
      <c r="F4939" s="8">
        <v>40039</v>
      </c>
      <c r="G4939" s="8">
        <v>40039</v>
      </c>
      <c r="Y4939" s="8"/>
    </row>
    <row r="4940" spans="1:25" x14ac:dyDescent="0.25">
      <c r="A4940" t="str">
        <f>"09-0372B"</f>
        <v>09-0372B</v>
      </c>
      <c r="D4940" s="8">
        <v>40037</v>
      </c>
      <c r="F4940" s="8">
        <v>41774</v>
      </c>
      <c r="G4940" s="8">
        <v>40042</v>
      </c>
      <c r="Y4940" s="8"/>
    </row>
    <row r="4941" spans="1:25" x14ac:dyDescent="0.25">
      <c r="A4941" t="str">
        <f>"09-0550"</f>
        <v>09-0550</v>
      </c>
      <c r="D4941" s="8">
        <v>40037</v>
      </c>
      <c r="F4941" s="8">
        <v>40037</v>
      </c>
      <c r="G4941" s="8">
        <v>40037</v>
      </c>
      <c r="Y4941" s="8"/>
    </row>
    <row r="4942" spans="1:25" x14ac:dyDescent="0.25">
      <c r="A4942" t="str">
        <f>"09-0551"</f>
        <v>09-0551</v>
      </c>
      <c r="D4942" s="8">
        <v>40037</v>
      </c>
      <c r="F4942" s="8">
        <v>40037</v>
      </c>
      <c r="G4942" s="8">
        <v>40037</v>
      </c>
      <c r="Y4942" s="8"/>
    </row>
    <row r="4943" spans="1:25" x14ac:dyDescent="0.25">
      <c r="A4943" t="str">
        <f>"09-0552"</f>
        <v>09-0552</v>
      </c>
      <c r="D4943" s="8">
        <v>40037</v>
      </c>
      <c r="F4943" s="8">
        <v>40037</v>
      </c>
      <c r="G4943" s="8">
        <v>40037</v>
      </c>
      <c r="Y4943" s="8"/>
    </row>
    <row r="4944" spans="1:25" x14ac:dyDescent="0.25">
      <c r="A4944" t="str">
        <f>"09-0553"</f>
        <v>09-0553</v>
      </c>
      <c r="D4944" s="8">
        <v>40037</v>
      </c>
      <c r="F4944" s="8">
        <v>40038</v>
      </c>
      <c r="G4944" s="8">
        <v>40037</v>
      </c>
      <c r="Y4944" s="8"/>
    </row>
    <row r="4945" spans="1:25" x14ac:dyDescent="0.25">
      <c r="A4945" t="str">
        <f>"09-0549"</f>
        <v>09-0549</v>
      </c>
      <c r="D4945" s="8">
        <v>40036</v>
      </c>
      <c r="F4945" s="8">
        <v>40036</v>
      </c>
      <c r="G4945" s="8">
        <v>40036</v>
      </c>
      <c r="Y4945" s="8"/>
    </row>
    <row r="4946" spans="1:25" x14ac:dyDescent="0.25">
      <c r="A4946" t="str">
        <f>"09-0548"</f>
        <v>09-0548</v>
      </c>
      <c r="D4946" s="8">
        <v>40035</v>
      </c>
      <c r="F4946" s="8">
        <v>40035</v>
      </c>
      <c r="G4946" s="8">
        <v>40035</v>
      </c>
      <c r="Y4946" s="8"/>
    </row>
    <row r="4947" spans="1:25" x14ac:dyDescent="0.25">
      <c r="A4947" t="str">
        <f>"09-0545B"</f>
        <v>09-0545B</v>
      </c>
      <c r="D4947" s="8">
        <v>40032</v>
      </c>
      <c r="F4947" s="8">
        <v>40212</v>
      </c>
      <c r="G4947" s="8">
        <v>40032</v>
      </c>
      <c r="Y4947" s="8"/>
    </row>
    <row r="4948" spans="1:25" x14ac:dyDescent="0.25">
      <c r="A4948" t="str">
        <f>"09-0547"</f>
        <v>09-0547</v>
      </c>
      <c r="D4948" s="8">
        <v>40031</v>
      </c>
      <c r="F4948" s="8">
        <v>40031</v>
      </c>
      <c r="G4948" s="8">
        <v>40031</v>
      </c>
      <c r="Y4948" s="8"/>
    </row>
    <row r="4949" spans="1:25" x14ac:dyDescent="0.25">
      <c r="A4949" t="str">
        <f>"09-0544"</f>
        <v>09-0544</v>
      </c>
      <c r="D4949" s="8">
        <v>40030</v>
      </c>
      <c r="F4949" s="8">
        <v>40031</v>
      </c>
      <c r="G4949" s="8">
        <v>40030</v>
      </c>
      <c r="Y4949" s="8"/>
    </row>
    <row r="4950" spans="1:25" x14ac:dyDescent="0.25">
      <c r="A4950" t="str">
        <f>"09-0545"</f>
        <v>09-0545</v>
      </c>
      <c r="D4950" s="8">
        <v>40030</v>
      </c>
      <c r="F4950" s="8">
        <v>40212</v>
      </c>
      <c r="G4950" s="8">
        <v>40032</v>
      </c>
      <c r="Y4950" s="8"/>
    </row>
    <row r="4951" spans="1:25" x14ac:dyDescent="0.25">
      <c r="A4951" t="str">
        <f>"09-0546"</f>
        <v>09-0546</v>
      </c>
      <c r="D4951" s="8">
        <v>40030</v>
      </c>
      <c r="F4951" s="8">
        <v>40030</v>
      </c>
      <c r="G4951" s="8">
        <v>40030</v>
      </c>
      <c r="Y4951" s="8"/>
    </row>
    <row r="4952" spans="1:25" x14ac:dyDescent="0.25">
      <c r="A4952" t="str">
        <f>"09-0541"</f>
        <v>09-0541</v>
      </c>
      <c r="D4952" s="8">
        <v>40029</v>
      </c>
      <c r="F4952" s="8">
        <v>40029</v>
      </c>
      <c r="G4952" s="8">
        <v>40035</v>
      </c>
      <c r="Y4952" s="8"/>
    </row>
    <row r="4953" spans="1:25" x14ac:dyDescent="0.25">
      <c r="A4953" t="str">
        <f>"09-0542"</f>
        <v>09-0542</v>
      </c>
      <c r="D4953" s="8">
        <v>40029</v>
      </c>
      <c r="F4953" s="8">
        <v>40029</v>
      </c>
      <c r="G4953" s="8">
        <v>40029</v>
      </c>
      <c r="Y4953" s="8"/>
    </row>
    <row r="4954" spans="1:25" x14ac:dyDescent="0.25">
      <c r="A4954" t="str">
        <f>"09-0543"</f>
        <v>09-0543</v>
      </c>
      <c r="D4954" s="8">
        <v>40029</v>
      </c>
      <c r="F4954" s="8">
        <v>40043</v>
      </c>
      <c r="G4954" s="8">
        <v>40053</v>
      </c>
      <c r="Y4954" s="8"/>
    </row>
    <row r="4955" spans="1:25" x14ac:dyDescent="0.25">
      <c r="A4955" t="str">
        <f>"09-0538"</f>
        <v>09-0538</v>
      </c>
      <c r="D4955" s="8">
        <v>40028</v>
      </c>
      <c r="F4955" s="8">
        <v>40058</v>
      </c>
      <c r="G4955" s="8">
        <v>40030</v>
      </c>
      <c r="Y4955" s="8"/>
    </row>
    <row r="4956" spans="1:25" x14ac:dyDescent="0.25">
      <c r="A4956" t="str">
        <f>"09-0539"</f>
        <v>09-0539</v>
      </c>
      <c r="D4956" s="8">
        <v>40028</v>
      </c>
      <c r="F4956" s="8">
        <v>40028</v>
      </c>
      <c r="G4956" s="8">
        <v>40030</v>
      </c>
      <c r="Y4956" s="8"/>
    </row>
    <row r="4957" spans="1:25" x14ac:dyDescent="0.25">
      <c r="A4957" t="str">
        <f>"09-0540"</f>
        <v>09-0540</v>
      </c>
      <c r="D4957" s="8">
        <v>40028</v>
      </c>
      <c r="F4957" s="8">
        <v>40028</v>
      </c>
      <c r="G4957" s="8">
        <v>40029</v>
      </c>
      <c r="Y4957" s="8"/>
    </row>
    <row r="4958" spans="1:25" x14ac:dyDescent="0.25">
      <c r="A4958" t="str">
        <f>"09-0537"</f>
        <v>09-0537</v>
      </c>
      <c r="D4958" s="8">
        <v>40025</v>
      </c>
      <c r="F4958" s="8">
        <v>40025</v>
      </c>
      <c r="G4958" s="8">
        <v>40025</v>
      </c>
      <c r="Y4958" s="8"/>
    </row>
    <row r="4959" spans="1:25" x14ac:dyDescent="0.25">
      <c r="A4959" t="str">
        <f>"09-0533"</f>
        <v>09-0533</v>
      </c>
      <c r="D4959" s="8">
        <v>40024</v>
      </c>
      <c r="F4959" s="8">
        <v>40024</v>
      </c>
      <c r="G4959" s="8">
        <v>40024</v>
      </c>
      <c r="Y4959" s="8"/>
    </row>
    <row r="4960" spans="1:25" x14ac:dyDescent="0.25">
      <c r="A4960" t="str">
        <f>"09-0534"</f>
        <v>09-0534</v>
      </c>
      <c r="D4960" s="8">
        <v>40024</v>
      </c>
      <c r="F4960" s="8">
        <v>40024</v>
      </c>
      <c r="G4960" s="8">
        <v>40024</v>
      </c>
      <c r="Y4960" s="8"/>
    </row>
    <row r="4961" spans="1:25" x14ac:dyDescent="0.25">
      <c r="A4961" t="str">
        <f>"09-0535"</f>
        <v>09-0535</v>
      </c>
      <c r="D4961" s="8">
        <v>40024</v>
      </c>
      <c r="F4961" s="8">
        <v>40098</v>
      </c>
      <c r="G4961" s="8">
        <v>40028</v>
      </c>
      <c r="Y4961" s="8"/>
    </row>
    <row r="4962" spans="1:25" x14ac:dyDescent="0.25">
      <c r="A4962" t="str">
        <f>"09-0536"</f>
        <v>09-0536</v>
      </c>
      <c r="D4962" s="8">
        <v>40024</v>
      </c>
      <c r="F4962" s="8">
        <v>40024</v>
      </c>
      <c r="G4962" s="8">
        <v>40024</v>
      </c>
      <c r="Y4962" s="8"/>
    </row>
    <row r="4963" spans="1:25" x14ac:dyDescent="0.25">
      <c r="A4963" t="str">
        <f>"09-0519B"</f>
        <v>09-0519B</v>
      </c>
      <c r="D4963" s="8">
        <v>40023</v>
      </c>
      <c r="F4963" s="8">
        <v>40023</v>
      </c>
      <c r="G4963" s="8">
        <v>40023</v>
      </c>
      <c r="Y4963" s="8"/>
    </row>
    <row r="4964" spans="1:25" x14ac:dyDescent="0.25">
      <c r="A4964" t="str">
        <f>"09-0527"</f>
        <v>09-0527</v>
      </c>
      <c r="D4964" s="8">
        <v>40023</v>
      </c>
      <c r="F4964" s="8">
        <v>40023</v>
      </c>
      <c r="G4964" s="8">
        <v>40023</v>
      </c>
      <c r="Y4964" s="8"/>
    </row>
    <row r="4965" spans="1:25" x14ac:dyDescent="0.25">
      <c r="A4965" t="str">
        <f>"09-0528"</f>
        <v>09-0528</v>
      </c>
      <c r="D4965" s="8">
        <v>40023</v>
      </c>
      <c r="F4965" s="8">
        <v>40023</v>
      </c>
      <c r="G4965" s="8">
        <v>40023</v>
      </c>
      <c r="Y4965" s="8"/>
    </row>
    <row r="4966" spans="1:25" x14ac:dyDescent="0.25">
      <c r="A4966" t="str">
        <f>"09-0529"</f>
        <v>09-0529</v>
      </c>
      <c r="D4966" s="8">
        <v>40023</v>
      </c>
      <c r="F4966" s="8">
        <v>40023</v>
      </c>
      <c r="G4966" s="8">
        <v>40024</v>
      </c>
      <c r="Y4966" s="8"/>
    </row>
    <row r="4967" spans="1:25" x14ac:dyDescent="0.25">
      <c r="A4967" t="str">
        <f>"09-0530"</f>
        <v>09-0530</v>
      </c>
      <c r="D4967" s="8">
        <v>40023</v>
      </c>
      <c r="F4967" s="8">
        <v>40023</v>
      </c>
      <c r="G4967" s="8">
        <v>40023</v>
      </c>
      <c r="Y4967" s="8"/>
    </row>
    <row r="4968" spans="1:25" x14ac:dyDescent="0.25">
      <c r="A4968" t="str">
        <f>"09-0531"</f>
        <v>09-0531</v>
      </c>
      <c r="D4968" s="8">
        <v>40023</v>
      </c>
      <c r="F4968" s="8">
        <v>40023</v>
      </c>
      <c r="G4968" s="8">
        <v>40025</v>
      </c>
      <c r="Y4968" s="8"/>
    </row>
    <row r="4969" spans="1:25" x14ac:dyDescent="0.25">
      <c r="A4969" t="str">
        <f>"09-0532"</f>
        <v>09-0532</v>
      </c>
      <c r="D4969" s="8">
        <v>40023</v>
      </c>
      <c r="F4969" s="8">
        <v>40023</v>
      </c>
      <c r="G4969" s="8">
        <v>40022</v>
      </c>
      <c r="Y4969" s="8"/>
    </row>
    <row r="4970" spans="1:25" x14ac:dyDescent="0.25">
      <c r="A4970" t="str">
        <f>"09-0523"</f>
        <v>09-0523</v>
      </c>
      <c r="D4970" s="8">
        <v>40022</v>
      </c>
      <c r="F4970" s="8">
        <v>40269</v>
      </c>
      <c r="G4970" s="8">
        <v>40025</v>
      </c>
      <c r="Y4970" s="8"/>
    </row>
    <row r="4971" spans="1:25" x14ac:dyDescent="0.25">
      <c r="A4971" t="str">
        <f>"09-0524"</f>
        <v>09-0524</v>
      </c>
      <c r="D4971" s="8">
        <v>40022</v>
      </c>
      <c r="F4971" s="8">
        <v>40023</v>
      </c>
      <c r="G4971" s="8">
        <v>40030</v>
      </c>
      <c r="Y4971" s="8"/>
    </row>
    <row r="4972" spans="1:25" x14ac:dyDescent="0.25">
      <c r="A4972" t="str">
        <f>"09-0525"</f>
        <v>09-0525</v>
      </c>
      <c r="D4972" s="8">
        <v>40022</v>
      </c>
      <c r="F4972" s="8">
        <v>40023</v>
      </c>
      <c r="G4972" s="8">
        <v>40023</v>
      </c>
      <c r="Y4972" s="8"/>
    </row>
    <row r="4973" spans="1:25" x14ac:dyDescent="0.25">
      <c r="A4973" t="str">
        <f>"09-0518"</f>
        <v>09-0518</v>
      </c>
      <c r="D4973" s="8">
        <v>40021</v>
      </c>
      <c r="F4973" s="8">
        <v>40021</v>
      </c>
      <c r="G4973" s="8">
        <v>40021</v>
      </c>
      <c r="Y4973" s="8"/>
    </row>
    <row r="4974" spans="1:25" x14ac:dyDescent="0.25">
      <c r="A4974" t="str">
        <f>"09-0519"</f>
        <v>09-0519</v>
      </c>
      <c r="D4974" s="8">
        <v>40021</v>
      </c>
      <c r="F4974" s="8">
        <v>40021</v>
      </c>
      <c r="G4974" s="8">
        <v>40021</v>
      </c>
      <c r="Y4974" s="8"/>
    </row>
    <row r="4975" spans="1:25" x14ac:dyDescent="0.25">
      <c r="A4975" t="str">
        <f>"09-0520"</f>
        <v>09-0520</v>
      </c>
      <c r="D4975" s="8">
        <v>40021</v>
      </c>
      <c r="F4975" s="8">
        <v>40021</v>
      </c>
      <c r="G4975" s="8">
        <v>40023</v>
      </c>
      <c r="Y4975" s="8"/>
    </row>
    <row r="4976" spans="1:25" x14ac:dyDescent="0.25">
      <c r="A4976" t="str">
        <f>"09-0521"</f>
        <v>09-0521</v>
      </c>
      <c r="D4976" s="8">
        <v>40021</v>
      </c>
      <c r="F4976" s="8">
        <v>40021</v>
      </c>
      <c r="G4976" s="8">
        <v>40021</v>
      </c>
      <c r="Y4976" s="8"/>
    </row>
    <row r="4977" spans="1:25" x14ac:dyDescent="0.25">
      <c r="A4977" t="str">
        <f>"09-0501B"</f>
        <v>09-0501B</v>
      </c>
      <c r="D4977" s="8">
        <v>40017</v>
      </c>
      <c r="F4977" s="8">
        <v>40098</v>
      </c>
      <c r="G4977" s="8">
        <v>40017</v>
      </c>
      <c r="Y4977" s="8"/>
    </row>
    <row r="4978" spans="1:25" x14ac:dyDescent="0.25">
      <c r="A4978" t="str">
        <f>"09-0507B"</f>
        <v>09-0507B</v>
      </c>
      <c r="D4978" s="8">
        <v>40017</v>
      </c>
      <c r="F4978" s="8">
        <v>40098</v>
      </c>
      <c r="G4978" s="8">
        <v>40017</v>
      </c>
      <c r="Y4978" s="8"/>
    </row>
    <row r="4979" spans="1:25" x14ac:dyDescent="0.25">
      <c r="A4979" t="str">
        <f>"09-0513"</f>
        <v>09-0513</v>
      </c>
      <c r="D4979" s="8">
        <v>40017</v>
      </c>
      <c r="F4979" s="8">
        <v>40017</v>
      </c>
      <c r="G4979" s="8">
        <v>40018</v>
      </c>
      <c r="Y4979" s="8"/>
    </row>
    <row r="4980" spans="1:25" x14ac:dyDescent="0.25">
      <c r="A4980" t="str">
        <f>"09-0514"</f>
        <v>09-0514</v>
      </c>
      <c r="D4980" s="8">
        <v>40017</v>
      </c>
      <c r="F4980" s="8">
        <v>41418</v>
      </c>
      <c r="G4980" s="8">
        <v>40022</v>
      </c>
      <c r="Y4980" s="8"/>
    </row>
    <row r="4981" spans="1:25" x14ac:dyDescent="0.25">
      <c r="A4981" t="str">
        <f>"09-0515"</f>
        <v>09-0515</v>
      </c>
      <c r="D4981" s="8">
        <v>40017</v>
      </c>
      <c r="F4981" s="8">
        <v>40017</v>
      </c>
      <c r="G4981" s="8">
        <v>40017</v>
      </c>
      <c r="Y4981" s="8"/>
    </row>
    <row r="4982" spans="1:25" x14ac:dyDescent="0.25">
      <c r="A4982" t="str">
        <f>"09-0516"</f>
        <v>09-0516</v>
      </c>
      <c r="D4982" s="8">
        <v>40017</v>
      </c>
      <c r="F4982" s="8">
        <v>40017</v>
      </c>
      <c r="G4982" s="8">
        <v>40018</v>
      </c>
      <c r="Y4982" s="8"/>
    </row>
    <row r="4983" spans="1:25" x14ac:dyDescent="0.25">
      <c r="A4983" t="str">
        <f>"09-0517"</f>
        <v>09-0517</v>
      </c>
      <c r="D4983" s="8">
        <v>40017</v>
      </c>
      <c r="F4983" s="8">
        <v>40098</v>
      </c>
      <c r="G4983" s="8">
        <v>40018</v>
      </c>
      <c r="Y4983" s="8"/>
    </row>
    <row r="4984" spans="1:25" x14ac:dyDescent="0.25">
      <c r="A4984" t="str">
        <f>"09-0430B"</f>
        <v>09-0430B</v>
      </c>
      <c r="D4984" s="8">
        <v>40016</v>
      </c>
      <c r="F4984" s="8">
        <v>40016</v>
      </c>
      <c r="G4984" s="8">
        <v>40014</v>
      </c>
      <c r="Y4984" s="8"/>
    </row>
    <row r="4985" spans="1:25" x14ac:dyDescent="0.25">
      <c r="A4985" t="str">
        <f>"09-0491B"</f>
        <v>09-0491B</v>
      </c>
      <c r="D4985" s="8">
        <v>40016</v>
      </c>
      <c r="F4985" s="8">
        <v>40016</v>
      </c>
      <c r="G4985" s="8">
        <v>40015</v>
      </c>
      <c r="Y4985" s="8"/>
    </row>
    <row r="4986" spans="1:25" x14ac:dyDescent="0.25">
      <c r="A4986" t="str">
        <f>"09-0503"</f>
        <v>09-0503</v>
      </c>
      <c r="D4986" s="8">
        <v>40016</v>
      </c>
      <c r="F4986" s="8">
        <v>40016</v>
      </c>
      <c r="G4986" s="8">
        <v>40017</v>
      </c>
      <c r="Y4986" s="8"/>
    </row>
    <row r="4987" spans="1:25" x14ac:dyDescent="0.25">
      <c r="A4987" t="str">
        <f>"09-0504"</f>
        <v>09-0504</v>
      </c>
      <c r="D4987" s="8">
        <v>40016</v>
      </c>
      <c r="F4987" s="8">
        <v>40016</v>
      </c>
      <c r="G4987" s="8">
        <v>40016</v>
      </c>
      <c r="Y4987" s="8"/>
    </row>
    <row r="4988" spans="1:25" x14ac:dyDescent="0.25">
      <c r="A4988" t="str">
        <f>"09-0505"</f>
        <v>09-0505</v>
      </c>
      <c r="D4988" s="8">
        <v>40016</v>
      </c>
      <c r="F4988" s="8">
        <v>40016</v>
      </c>
      <c r="G4988" s="8">
        <v>40046</v>
      </c>
      <c r="Y4988" s="8"/>
    </row>
    <row r="4989" spans="1:25" x14ac:dyDescent="0.25">
      <c r="A4989" t="str">
        <f>"09-0506"</f>
        <v>09-0506</v>
      </c>
      <c r="D4989" s="8">
        <v>40016</v>
      </c>
      <c r="G4989" s="8">
        <v>40021</v>
      </c>
    </row>
    <row r="4990" spans="1:25" x14ac:dyDescent="0.25">
      <c r="A4990" t="str">
        <f>"09-0507"</f>
        <v>09-0507</v>
      </c>
      <c r="D4990" s="8">
        <v>40016</v>
      </c>
      <c r="F4990" s="8">
        <v>40098</v>
      </c>
      <c r="G4990" s="8">
        <v>40017</v>
      </c>
      <c r="Y4990" s="8"/>
    </row>
    <row r="4991" spans="1:25" x14ac:dyDescent="0.25">
      <c r="A4991" t="str">
        <f>"09-0508"</f>
        <v>09-0508</v>
      </c>
      <c r="D4991" s="8">
        <v>40016</v>
      </c>
      <c r="F4991" s="8">
        <v>40017</v>
      </c>
      <c r="G4991" s="8">
        <v>40017</v>
      </c>
      <c r="Y4991" s="8"/>
    </row>
    <row r="4992" spans="1:25" x14ac:dyDescent="0.25">
      <c r="A4992" t="str">
        <f>"09-0509"</f>
        <v>09-0509</v>
      </c>
      <c r="D4992" s="8">
        <v>40016</v>
      </c>
      <c r="F4992" s="8">
        <v>40921</v>
      </c>
      <c r="G4992" s="8">
        <v>40018</v>
      </c>
      <c r="Y4992" s="8"/>
    </row>
    <row r="4993" spans="1:25" x14ac:dyDescent="0.25">
      <c r="A4993" t="str">
        <f>"09-0510"</f>
        <v>09-0510</v>
      </c>
      <c r="D4993" s="8">
        <v>40016</v>
      </c>
      <c r="F4993" s="8">
        <v>40018</v>
      </c>
      <c r="G4993" s="8">
        <v>40017</v>
      </c>
      <c r="Y4993" s="8"/>
    </row>
    <row r="4994" spans="1:25" x14ac:dyDescent="0.25">
      <c r="A4994" t="str">
        <f>"09-0511"</f>
        <v>09-0511</v>
      </c>
      <c r="D4994" s="8">
        <v>40016</v>
      </c>
      <c r="F4994" s="8">
        <v>40018</v>
      </c>
      <c r="G4994" s="8">
        <v>40017</v>
      </c>
      <c r="Y4994" s="8"/>
    </row>
    <row r="4995" spans="1:25" x14ac:dyDescent="0.25">
      <c r="A4995" t="str">
        <f>"09-0512"</f>
        <v>09-0512</v>
      </c>
      <c r="D4995" s="8">
        <v>40016</v>
      </c>
      <c r="F4995" s="8">
        <v>40016</v>
      </c>
      <c r="G4995" s="8">
        <v>40017</v>
      </c>
      <c r="Y4995" s="8"/>
    </row>
    <row r="4996" spans="1:25" x14ac:dyDescent="0.25">
      <c r="A4996" t="str">
        <f>"09-0483B"</f>
        <v>09-0483B</v>
      </c>
      <c r="D4996" s="8">
        <v>40015</v>
      </c>
      <c r="F4996" s="8">
        <v>40015</v>
      </c>
      <c r="G4996" s="8">
        <v>40015</v>
      </c>
      <c r="Y4996" s="8"/>
    </row>
    <row r="4997" spans="1:25" x14ac:dyDescent="0.25">
      <c r="A4997" t="str">
        <f>"09-0496"</f>
        <v>09-0496</v>
      </c>
      <c r="D4997" s="8">
        <v>40015</v>
      </c>
      <c r="F4997" s="8">
        <v>40015</v>
      </c>
      <c r="G4997" s="8">
        <v>40015</v>
      </c>
      <c r="Y4997" s="8"/>
    </row>
    <row r="4998" spans="1:25" x14ac:dyDescent="0.25">
      <c r="A4998" t="str">
        <f>"09-0497"</f>
        <v>09-0497</v>
      </c>
      <c r="D4998" s="8">
        <v>40015</v>
      </c>
      <c r="F4998" s="8">
        <v>40015</v>
      </c>
      <c r="G4998" s="8">
        <v>40015</v>
      </c>
      <c r="Y4998" s="8"/>
    </row>
    <row r="4999" spans="1:25" x14ac:dyDescent="0.25">
      <c r="A4999" t="str">
        <f>"09-0498"</f>
        <v>09-0498</v>
      </c>
      <c r="D4999" s="8">
        <v>40015</v>
      </c>
      <c r="F4999" s="8">
        <v>40015</v>
      </c>
      <c r="G4999" s="8">
        <v>40015</v>
      </c>
      <c r="Y4999" s="8"/>
    </row>
    <row r="5000" spans="1:25" x14ac:dyDescent="0.25">
      <c r="A5000" t="str">
        <f>"09-0499"</f>
        <v>09-0499</v>
      </c>
      <c r="D5000" s="8">
        <v>40015</v>
      </c>
      <c r="F5000" s="8">
        <v>40015</v>
      </c>
      <c r="G5000" s="8">
        <v>40015</v>
      </c>
      <c r="Y5000" s="8"/>
    </row>
    <row r="5001" spans="1:25" x14ac:dyDescent="0.25">
      <c r="A5001" t="str">
        <f>"09-0500"</f>
        <v>09-0500</v>
      </c>
      <c r="D5001" s="8">
        <v>40015</v>
      </c>
      <c r="F5001" s="8">
        <v>40017</v>
      </c>
      <c r="G5001" s="8">
        <v>40017</v>
      </c>
      <c r="Y5001" s="8"/>
    </row>
    <row r="5002" spans="1:25" x14ac:dyDescent="0.25">
      <c r="A5002" t="str">
        <f>"09-0501"</f>
        <v>09-0501</v>
      </c>
      <c r="D5002" s="8">
        <v>40015</v>
      </c>
      <c r="F5002" s="8">
        <v>40098</v>
      </c>
      <c r="G5002" s="8">
        <v>40017</v>
      </c>
      <c r="Y5002" s="8"/>
    </row>
    <row r="5003" spans="1:25" x14ac:dyDescent="0.25">
      <c r="A5003" t="str">
        <f>"09-0502"</f>
        <v>09-0502</v>
      </c>
      <c r="D5003" s="8">
        <v>40015</v>
      </c>
      <c r="F5003" s="8">
        <v>40098</v>
      </c>
      <c r="G5003" s="8">
        <v>40017</v>
      </c>
      <c r="Y5003" s="8"/>
    </row>
    <row r="5004" spans="1:25" x14ac:dyDescent="0.25">
      <c r="A5004" t="str">
        <f>"09-0492"</f>
        <v>09-0492</v>
      </c>
      <c r="D5004" s="8">
        <v>40014</v>
      </c>
      <c r="F5004" s="8">
        <v>40014</v>
      </c>
      <c r="G5004" s="8">
        <v>40014</v>
      </c>
      <c r="Y5004" s="8"/>
    </row>
    <row r="5005" spans="1:25" x14ac:dyDescent="0.25">
      <c r="A5005" t="str">
        <f>"09-0493"</f>
        <v>09-0493</v>
      </c>
      <c r="D5005" s="8">
        <v>40014</v>
      </c>
      <c r="F5005" s="8">
        <v>40014</v>
      </c>
      <c r="G5005" s="8">
        <v>40014</v>
      </c>
      <c r="Y5005" s="8"/>
    </row>
    <row r="5006" spans="1:25" x14ac:dyDescent="0.25">
      <c r="A5006" t="str">
        <f>"09-0494"</f>
        <v>09-0494</v>
      </c>
      <c r="D5006" s="8">
        <v>40014</v>
      </c>
      <c r="F5006" s="8">
        <v>40015</v>
      </c>
      <c r="G5006" s="8">
        <v>40023</v>
      </c>
      <c r="Y5006" s="8"/>
    </row>
    <row r="5007" spans="1:25" x14ac:dyDescent="0.25">
      <c r="A5007" t="str">
        <f>"09-0495"</f>
        <v>09-0495</v>
      </c>
      <c r="D5007" s="8">
        <v>40014</v>
      </c>
      <c r="F5007" s="8">
        <v>40025</v>
      </c>
      <c r="G5007" s="8">
        <v>40015</v>
      </c>
      <c r="Y5007" s="8"/>
    </row>
    <row r="5008" spans="1:25" x14ac:dyDescent="0.25">
      <c r="A5008" t="str">
        <f>"09-0487"</f>
        <v>09-0487</v>
      </c>
      <c r="D5008" s="8">
        <v>40011</v>
      </c>
      <c r="F5008" s="8">
        <v>40011</v>
      </c>
      <c r="G5008" s="8">
        <v>40011</v>
      </c>
      <c r="Y5008" s="8"/>
    </row>
    <row r="5009" spans="1:25" x14ac:dyDescent="0.25">
      <c r="A5009" t="str">
        <f>"09-0488"</f>
        <v>09-0488</v>
      </c>
      <c r="D5009" s="8">
        <v>40011</v>
      </c>
      <c r="F5009" s="8">
        <v>40017</v>
      </c>
      <c r="G5009" s="8">
        <v>40025</v>
      </c>
      <c r="Y5009" s="8"/>
    </row>
    <row r="5010" spans="1:25" x14ac:dyDescent="0.25">
      <c r="A5010" t="str">
        <f>"09-0489"</f>
        <v>09-0489</v>
      </c>
      <c r="D5010" s="8">
        <v>40011</v>
      </c>
      <c r="F5010" s="8">
        <v>40011</v>
      </c>
      <c r="G5010" s="8">
        <v>40011</v>
      </c>
      <c r="Y5010" s="8"/>
    </row>
    <row r="5011" spans="1:25" x14ac:dyDescent="0.25">
      <c r="A5011" t="str">
        <f>"09-0490"</f>
        <v>09-0490</v>
      </c>
      <c r="D5011" s="8">
        <v>40011</v>
      </c>
      <c r="F5011" s="8">
        <v>40011</v>
      </c>
      <c r="G5011" s="8">
        <v>40011</v>
      </c>
      <c r="Y5011" s="8"/>
    </row>
    <row r="5012" spans="1:25" x14ac:dyDescent="0.25">
      <c r="A5012" t="str">
        <f>"09-0491"</f>
        <v>09-0491</v>
      </c>
      <c r="D5012" s="8">
        <v>40011</v>
      </c>
      <c r="F5012" s="8">
        <v>40014</v>
      </c>
      <c r="G5012" s="8">
        <v>40014</v>
      </c>
      <c r="Y5012" s="8"/>
    </row>
    <row r="5013" spans="1:25" x14ac:dyDescent="0.25">
      <c r="A5013" t="str">
        <f>"09-0482"</f>
        <v>09-0482</v>
      </c>
      <c r="D5013" s="8">
        <v>40010</v>
      </c>
      <c r="F5013" s="8">
        <v>40010</v>
      </c>
      <c r="G5013" s="8">
        <v>40010</v>
      </c>
      <c r="Y5013" s="8"/>
    </row>
    <row r="5014" spans="1:25" x14ac:dyDescent="0.25">
      <c r="A5014" t="str">
        <f>"09-0483"</f>
        <v>09-0483</v>
      </c>
      <c r="D5014" s="8">
        <v>40010</v>
      </c>
      <c r="F5014" s="8">
        <v>40010</v>
      </c>
      <c r="G5014" s="8">
        <v>40010</v>
      </c>
      <c r="Y5014" s="8"/>
    </row>
    <row r="5015" spans="1:25" x14ac:dyDescent="0.25">
      <c r="A5015" t="str">
        <f>"09-0484"</f>
        <v>09-0484</v>
      </c>
      <c r="D5015" s="8">
        <v>40010</v>
      </c>
      <c r="F5015" s="8">
        <v>40010</v>
      </c>
      <c r="G5015" s="8">
        <v>40010</v>
      </c>
      <c r="Y5015" s="8"/>
    </row>
    <row r="5016" spans="1:25" x14ac:dyDescent="0.25">
      <c r="A5016" t="str">
        <f>"09-0485"</f>
        <v>09-0485</v>
      </c>
      <c r="D5016" s="8">
        <v>40010</v>
      </c>
      <c r="F5016" s="8">
        <v>40014</v>
      </c>
      <c r="G5016" s="8">
        <v>40010</v>
      </c>
      <c r="Y5016" s="8"/>
    </row>
    <row r="5017" spans="1:25" x14ac:dyDescent="0.25">
      <c r="A5017" t="str">
        <f>"09-0486"</f>
        <v>09-0486</v>
      </c>
      <c r="D5017" s="8">
        <v>40010</v>
      </c>
      <c r="F5017" s="8">
        <v>40011</v>
      </c>
      <c r="G5017" s="8">
        <v>40011</v>
      </c>
      <c r="Y5017" s="8"/>
    </row>
    <row r="5018" spans="1:25" x14ac:dyDescent="0.25">
      <c r="A5018" t="str">
        <f>"09-0479"</f>
        <v>09-0479</v>
      </c>
      <c r="D5018" s="8">
        <v>40009</v>
      </c>
      <c r="F5018" s="8">
        <v>40009</v>
      </c>
      <c r="G5018" s="8">
        <v>40009</v>
      </c>
      <c r="Y5018" s="8"/>
    </row>
    <row r="5019" spans="1:25" x14ac:dyDescent="0.25">
      <c r="A5019" t="str">
        <f>"09-0480"</f>
        <v>09-0480</v>
      </c>
      <c r="D5019" s="8">
        <v>40009</v>
      </c>
      <c r="F5019" s="8">
        <v>40009</v>
      </c>
      <c r="G5019" s="8">
        <v>40009</v>
      </c>
      <c r="Y5019" s="8"/>
    </row>
    <row r="5020" spans="1:25" x14ac:dyDescent="0.25">
      <c r="A5020" t="str">
        <f>"09-0481"</f>
        <v>09-0481</v>
      </c>
      <c r="D5020" s="8">
        <v>40009</v>
      </c>
      <c r="F5020" s="8">
        <v>40009</v>
      </c>
      <c r="G5020" s="8">
        <v>40009</v>
      </c>
      <c r="Y5020" s="8"/>
    </row>
    <row r="5021" spans="1:25" x14ac:dyDescent="0.25">
      <c r="A5021" t="str">
        <f>"09-0473B"</f>
        <v>09-0473B</v>
      </c>
      <c r="D5021" s="8">
        <v>40004</v>
      </c>
      <c r="F5021" s="8">
        <v>40004</v>
      </c>
      <c r="G5021" s="8">
        <v>40004</v>
      </c>
      <c r="Y5021" s="8"/>
    </row>
    <row r="5022" spans="1:25" x14ac:dyDescent="0.25">
      <c r="A5022" t="str">
        <f>"09-0474"</f>
        <v>09-0474</v>
      </c>
      <c r="D5022" s="8">
        <v>40004</v>
      </c>
      <c r="F5022" s="8">
        <v>40004</v>
      </c>
      <c r="G5022" s="8">
        <v>40004</v>
      </c>
      <c r="Y5022" s="8"/>
    </row>
    <row r="5023" spans="1:25" x14ac:dyDescent="0.25">
      <c r="A5023" t="str">
        <f>"09-0475"</f>
        <v>09-0475</v>
      </c>
      <c r="D5023" s="8">
        <v>40004</v>
      </c>
      <c r="F5023" s="8">
        <v>40004</v>
      </c>
      <c r="G5023" s="8">
        <v>40004</v>
      </c>
      <c r="Y5023" s="8"/>
    </row>
    <row r="5024" spans="1:25" x14ac:dyDescent="0.25">
      <c r="A5024" t="str">
        <f>"09-0476"</f>
        <v>09-0476</v>
      </c>
      <c r="D5024" s="8">
        <v>40004</v>
      </c>
      <c r="F5024" s="8">
        <v>40004</v>
      </c>
      <c r="G5024" s="8">
        <v>40004</v>
      </c>
      <c r="Y5024" s="8"/>
    </row>
    <row r="5025" spans="1:25" x14ac:dyDescent="0.25">
      <c r="A5025" t="str">
        <f>"09-0477"</f>
        <v>09-0477</v>
      </c>
      <c r="D5025" s="8">
        <v>40004</v>
      </c>
      <c r="F5025" s="8">
        <v>40016</v>
      </c>
      <c r="G5025" s="8">
        <v>40004</v>
      </c>
      <c r="Y5025" s="8"/>
    </row>
    <row r="5026" spans="1:25" x14ac:dyDescent="0.25">
      <c r="A5026" t="str">
        <f>"09-0478"</f>
        <v>09-0478</v>
      </c>
      <c r="D5026" s="8">
        <v>40004</v>
      </c>
      <c r="F5026" s="8">
        <v>40004</v>
      </c>
      <c r="G5026" s="8">
        <v>40004</v>
      </c>
      <c r="Y5026" s="8"/>
    </row>
    <row r="5027" spans="1:25" x14ac:dyDescent="0.25">
      <c r="A5027" t="str">
        <f>"09-0463"</f>
        <v>09-0463</v>
      </c>
      <c r="D5027" s="8">
        <v>40003</v>
      </c>
      <c r="F5027" s="8">
        <v>40003</v>
      </c>
      <c r="G5027" s="8">
        <v>40003</v>
      </c>
      <c r="Y5027" s="8"/>
    </row>
    <row r="5028" spans="1:25" x14ac:dyDescent="0.25">
      <c r="A5028" t="str">
        <f>"09-0464"</f>
        <v>09-0464</v>
      </c>
      <c r="D5028" s="8">
        <v>40003</v>
      </c>
      <c r="F5028" s="8">
        <v>40003</v>
      </c>
      <c r="G5028" s="8">
        <v>40003</v>
      </c>
      <c r="Y5028" s="8"/>
    </row>
    <row r="5029" spans="1:25" x14ac:dyDescent="0.25">
      <c r="A5029" t="str">
        <f>"09-0465"</f>
        <v>09-0465</v>
      </c>
      <c r="D5029" s="8">
        <v>40003</v>
      </c>
      <c r="F5029" s="8">
        <v>40003</v>
      </c>
      <c r="G5029" s="8">
        <v>40003</v>
      </c>
      <c r="Y5029" s="8"/>
    </row>
    <row r="5030" spans="1:25" x14ac:dyDescent="0.25">
      <c r="A5030" t="str">
        <f>"09-0466"</f>
        <v>09-0466</v>
      </c>
      <c r="D5030" s="8">
        <v>40003</v>
      </c>
      <c r="F5030" s="8">
        <v>40003</v>
      </c>
      <c r="G5030" s="8">
        <v>40003</v>
      </c>
      <c r="Y5030" s="8"/>
    </row>
    <row r="5031" spans="1:25" x14ac:dyDescent="0.25">
      <c r="A5031" t="str">
        <f>"09-0467"</f>
        <v>09-0467</v>
      </c>
      <c r="D5031" s="8">
        <v>40003</v>
      </c>
      <c r="F5031" s="8">
        <v>40003</v>
      </c>
      <c r="G5031" s="8">
        <v>40003</v>
      </c>
      <c r="Y5031" s="8"/>
    </row>
    <row r="5032" spans="1:25" x14ac:dyDescent="0.25">
      <c r="A5032" t="str">
        <f>"09-0468"</f>
        <v>09-0468</v>
      </c>
      <c r="D5032" s="8">
        <v>40003</v>
      </c>
      <c r="F5032" s="8">
        <v>40003</v>
      </c>
      <c r="G5032" s="8">
        <v>40003</v>
      </c>
      <c r="Y5032" s="8"/>
    </row>
    <row r="5033" spans="1:25" x14ac:dyDescent="0.25">
      <c r="A5033" t="str">
        <f>"09-0469"</f>
        <v>09-0469</v>
      </c>
      <c r="D5033" s="8">
        <v>40003</v>
      </c>
      <c r="F5033" s="8">
        <v>40003</v>
      </c>
      <c r="G5033" s="8">
        <v>40003</v>
      </c>
      <c r="Y5033" s="8"/>
    </row>
    <row r="5034" spans="1:25" x14ac:dyDescent="0.25">
      <c r="A5034" t="str">
        <f>"09-0470"</f>
        <v>09-0470</v>
      </c>
      <c r="D5034" s="8">
        <v>40003</v>
      </c>
      <c r="F5034" s="8">
        <v>40003</v>
      </c>
      <c r="G5034" s="8">
        <v>40003</v>
      </c>
      <c r="Y5034" s="8"/>
    </row>
    <row r="5035" spans="1:25" x14ac:dyDescent="0.25">
      <c r="A5035" t="str">
        <f>"09-0471"</f>
        <v>09-0471</v>
      </c>
      <c r="D5035" s="8">
        <v>40003</v>
      </c>
      <c r="F5035" s="8">
        <v>40003</v>
      </c>
      <c r="G5035" s="8">
        <v>40003</v>
      </c>
      <c r="Y5035" s="8"/>
    </row>
    <row r="5036" spans="1:25" x14ac:dyDescent="0.25">
      <c r="A5036" t="str">
        <f>"09-0472"</f>
        <v>09-0472</v>
      </c>
      <c r="D5036" s="8">
        <v>40003</v>
      </c>
      <c r="F5036" s="8">
        <v>40003</v>
      </c>
      <c r="G5036" s="8">
        <v>40003</v>
      </c>
      <c r="Y5036" s="8"/>
    </row>
    <row r="5037" spans="1:25" x14ac:dyDescent="0.25">
      <c r="A5037" t="str">
        <f>"09-0473"</f>
        <v>09-0473</v>
      </c>
      <c r="D5037" s="8">
        <v>40003</v>
      </c>
      <c r="F5037" s="8">
        <v>40003</v>
      </c>
      <c r="G5037" s="8">
        <v>40003</v>
      </c>
      <c r="Y5037" s="8"/>
    </row>
    <row r="5038" spans="1:25" x14ac:dyDescent="0.25">
      <c r="A5038" t="str">
        <f>"09-0459"</f>
        <v>09-0459</v>
      </c>
      <c r="D5038" s="8">
        <v>40000</v>
      </c>
      <c r="F5038" s="8">
        <v>40000</v>
      </c>
      <c r="G5038" s="8">
        <v>40000</v>
      </c>
      <c r="Y5038" s="8"/>
    </row>
    <row r="5039" spans="1:25" x14ac:dyDescent="0.25">
      <c r="A5039" t="str">
        <f>"09-0460"</f>
        <v>09-0460</v>
      </c>
      <c r="D5039" s="8">
        <v>40000</v>
      </c>
      <c r="F5039" s="8">
        <v>40000</v>
      </c>
      <c r="G5039" s="8">
        <v>40000</v>
      </c>
      <c r="Y5039" s="8"/>
    </row>
    <row r="5040" spans="1:25" x14ac:dyDescent="0.25">
      <c r="A5040" t="str">
        <f>"09-0461"</f>
        <v>09-0461</v>
      </c>
      <c r="D5040" s="8">
        <v>40000</v>
      </c>
      <c r="F5040" s="8">
        <v>40000</v>
      </c>
      <c r="G5040" s="8">
        <v>40000</v>
      </c>
      <c r="Y5040" s="8"/>
    </row>
    <row r="5041" spans="1:25" x14ac:dyDescent="0.25">
      <c r="A5041" t="str">
        <f>"09-0462"</f>
        <v>09-0462</v>
      </c>
      <c r="D5041" s="8">
        <v>40000</v>
      </c>
      <c r="F5041" s="8">
        <v>40000</v>
      </c>
      <c r="G5041" s="8">
        <v>40000</v>
      </c>
      <c r="Y5041" s="8"/>
    </row>
    <row r="5042" spans="1:25" x14ac:dyDescent="0.25">
      <c r="A5042" t="str">
        <f>"09-0412B"</f>
        <v>09-0412B</v>
      </c>
      <c r="D5042" s="8">
        <v>39997</v>
      </c>
      <c r="F5042" s="8">
        <v>40009</v>
      </c>
      <c r="G5042" s="8">
        <v>39996</v>
      </c>
      <c r="Y5042" s="8"/>
    </row>
    <row r="5043" spans="1:25" x14ac:dyDescent="0.25">
      <c r="A5043" t="str">
        <f>"09-0458"</f>
        <v>09-0458</v>
      </c>
      <c r="D5043" s="8">
        <v>39997</v>
      </c>
      <c r="F5043" s="8">
        <v>39997</v>
      </c>
      <c r="G5043" s="8">
        <v>39997</v>
      </c>
      <c r="Y5043" s="8"/>
    </row>
    <row r="5044" spans="1:25" x14ac:dyDescent="0.25">
      <c r="A5044" t="str">
        <f>"09-0428B"</f>
        <v>09-0428B</v>
      </c>
      <c r="D5044" s="8">
        <v>39996</v>
      </c>
      <c r="F5044" s="8">
        <v>39996</v>
      </c>
      <c r="G5044" s="8">
        <v>39997</v>
      </c>
      <c r="Y5044" s="8"/>
    </row>
    <row r="5045" spans="1:25" x14ac:dyDescent="0.25">
      <c r="A5045" t="str">
        <f>"09-0443B"</f>
        <v>09-0443B</v>
      </c>
      <c r="D5045" s="8">
        <v>39996</v>
      </c>
      <c r="F5045" s="8">
        <v>40098</v>
      </c>
      <c r="G5045" s="8">
        <v>39996</v>
      </c>
      <c r="Y5045" s="8"/>
    </row>
    <row r="5046" spans="1:25" x14ac:dyDescent="0.25">
      <c r="A5046" t="str">
        <f>"09-0452"</f>
        <v>09-0452</v>
      </c>
      <c r="D5046" s="8">
        <v>39996</v>
      </c>
      <c r="F5046" s="8">
        <v>39996</v>
      </c>
      <c r="G5046" s="8">
        <v>39996</v>
      </c>
      <c r="Y5046" s="8"/>
    </row>
    <row r="5047" spans="1:25" x14ac:dyDescent="0.25">
      <c r="A5047" t="str">
        <f>"09-0453"</f>
        <v>09-0453</v>
      </c>
      <c r="D5047" s="8">
        <v>39996</v>
      </c>
      <c r="G5047" s="8">
        <v>40000</v>
      </c>
      <c r="Y5047" s="8"/>
    </row>
    <row r="5048" spans="1:25" x14ac:dyDescent="0.25">
      <c r="A5048" t="str">
        <f>"09-0454"</f>
        <v>09-0454</v>
      </c>
      <c r="D5048" s="8">
        <v>39996</v>
      </c>
      <c r="F5048" s="8">
        <v>39996</v>
      </c>
      <c r="G5048" s="8">
        <v>39996</v>
      </c>
      <c r="Y5048" s="8"/>
    </row>
    <row r="5049" spans="1:25" x14ac:dyDescent="0.25">
      <c r="A5049" t="str">
        <f>"09-0455"</f>
        <v>09-0455</v>
      </c>
      <c r="D5049" s="8">
        <v>39996</v>
      </c>
      <c r="F5049" s="8">
        <v>39996</v>
      </c>
      <c r="G5049" s="8">
        <v>39996</v>
      </c>
      <c r="Y5049" s="8"/>
    </row>
    <row r="5050" spans="1:25" x14ac:dyDescent="0.25">
      <c r="A5050" t="str">
        <f>"09-0456"</f>
        <v>09-0456</v>
      </c>
      <c r="D5050" s="8">
        <v>39996</v>
      </c>
      <c r="F5050" s="8">
        <v>39996</v>
      </c>
      <c r="G5050" s="8">
        <v>39997</v>
      </c>
      <c r="Y5050" s="8"/>
    </row>
    <row r="5051" spans="1:25" x14ac:dyDescent="0.25">
      <c r="A5051" t="str">
        <f>"09-0457"</f>
        <v>09-0457</v>
      </c>
      <c r="D5051" s="8">
        <v>39996</v>
      </c>
      <c r="F5051" s="8">
        <v>39996</v>
      </c>
      <c r="G5051" s="8">
        <v>39996</v>
      </c>
      <c r="Y5051" s="8"/>
    </row>
    <row r="5052" spans="1:25" x14ac:dyDescent="0.25">
      <c r="A5052" t="str">
        <f>"09-0449"</f>
        <v>09-0449</v>
      </c>
      <c r="D5052" s="8">
        <v>39995</v>
      </c>
      <c r="F5052" s="8">
        <v>39995</v>
      </c>
      <c r="G5052" s="8">
        <v>39995</v>
      </c>
      <c r="Y5052" s="8"/>
    </row>
    <row r="5053" spans="1:25" x14ac:dyDescent="0.25">
      <c r="A5053" t="str">
        <f>"09-0450"</f>
        <v>09-0450</v>
      </c>
      <c r="D5053" s="8">
        <v>39995</v>
      </c>
      <c r="G5053" s="8">
        <v>40002</v>
      </c>
    </row>
    <row r="5054" spans="1:25" x14ac:dyDescent="0.25">
      <c r="A5054" t="str">
        <f>"09-0451"</f>
        <v>09-0451</v>
      </c>
      <c r="D5054" s="8">
        <v>39995</v>
      </c>
      <c r="F5054" s="8">
        <v>39995</v>
      </c>
      <c r="G5054" s="8">
        <v>39994</v>
      </c>
      <c r="Y5054" s="8"/>
    </row>
    <row r="5055" spans="1:25" x14ac:dyDescent="0.25">
      <c r="A5055" t="str">
        <f>"09-0446"</f>
        <v>09-0446</v>
      </c>
      <c r="D5055" s="8">
        <v>39994</v>
      </c>
      <c r="F5055" s="8">
        <v>40000</v>
      </c>
      <c r="G5055" s="8">
        <v>39994</v>
      </c>
      <c r="Y5055" s="8"/>
    </row>
    <row r="5056" spans="1:25" x14ac:dyDescent="0.25">
      <c r="A5056" t="str">
        <f>"09-0447"</f>
        <v>09-0447</v>
      </c>
      <c r="D5056" s="8">
        <v>39994</v>
      </c>
      <c r="F5056" s="8">
        <v>39994</v>
      </c>
      <c r="G5056" s="8">
        <v>39994</v>
      </c>
      <c r="Y5056" s="8"/>
    </row>
    <row r="5057" spans="1:25" x14ac:dyDescent="0.25">
      <c r="A5057" t="str">
        <f>"09-0448"</f>
        <v>09-0448</v>
      </c>
      <c r="D5057" s="8">
        <v>39994</v>
      </c>
      <c r="F5057" s="8">
        <v>39994</v>
      </c>
      <c r="G5057" s="8">
        <v>39994</v>
      </c>
      <c r="Y5057" s="8"/>
    </row>
    <row r="5058" spans="1:25" x14ac:dyDescent="0.25">
      <c r="A5058" t="str">
        <f>"09-0440"</f>
        <v>09-0440</v>
      </c>
      <c r="D5058" s="8">
        <v>39993</v>
      </c>
      <c r="F5058" s="8">
        <v>39993</v>
      </c>
      <c r="G5058" s="8">
        <v>39993</v>
      </c>
      <c r="Y5058" s="8"/>
    </row>
    <row r="5059" spans="1:25" x14ac:dyDescent="0.25">
      <c r="A5059" t="str">
        <f>"09-0441"</f>
        <v>09-0441</v>
      </c>
      <c r="D5059" s="8">
        <v>39993</v>
      </c>
      <c r="F5059" s="8">
        <v>39993</v>
      </c>
      <c r="G5059" s="8">
        <v>39993</v>
      </c>
      <c r="Y5059" s="8"/>
    </row>
    <row r="5060" spans="1:25" x14ac:dyDescent="0.25">
      <c r="A5060" t="str">
        <f>"09-0442"</f>
        <v>09-0442</v>
      </c>
      <c r="D5060" s="8">
        <v>39993</v>
      </c>
      <c r="F5060" s="8">
        <v>39993</v>
      </c>
      <c r="G5060" s="8">
        <v>39993</v>
      </c>
      <c r="Y5060" s="8"/>
    </row>
    <row r="5061" spans="1:25" x14ac:dyDescent="0.25">
      <c r="A5061" t="str">
        <f>"09-0443"</f>
        <v>09-0443</v>
      </c>
      <c r="D5061" s="8">
        <v>39993</v>
      </c>
      <c r="F5061" s="8">
        <v>40185</v>
      </c>
      <c r="G5061" s="8">
        <v>39993</v>
      </c>
      <c r="Y5061" s="8"/>
    </row>
    <row r="5062" spans="1:25" x14ac:dyDescent="0.25">
      <c r="A5062" t="str">
        <f>"09-0444"</f>
        <v>09-0444</v>
      </c>
      <c r="D5062" s="8">
        <v>39993</v>
      </c>
      <c r="F5062" s="8">
        <v>39993</v>
      </c>
      <c r="G5062" s="8">
        <v>39993</v>
      </c>
      <c r="Y5062" s="8"/>
    </row>
    <row r="5063" spans="1:25" x14ac:dyDescent="0.25">
      <c r="A5063" t="str">
        <f>"09-0445"</f>
        <v>09-0445</v>
      </c>
      <c r="D5063" s="8">
        <v>39993</v>
      </c>
      <c r="F5063" s="8">
        <v>39996</v>
      </c>
      <c r="G5063" s="8">
        <v>40004</v>
      </c>
      <c r="Y5063" s="8"/>
    </row>
    <row r="5064" spans="1:25" x14ac:dyDescent="0.25">
      <c r="A5064" t="str">
        <f>"09-0434"</f>
        <v>09-0434</v>
      </c>
      <c r="D5064" s="8">
        <v>39990</v>
      </c>
      <c r="F5064" s="8">
        <v>39990</v>
      </c>
      <c r="G5064" s="8">
        <v>39990</v>
      </c>
      <c r="Y5064" s="8"/>
    </row>
    <row r="5065" spans="1:25" x14ac:dyDescent="0.25">
      <c r="A5065" t="str">
        <f>"09-0435"</f>
        <v>09-0435</v>
      </c>
      <c r="D5065" s="8">
        <v>39990</v>
      </c>
      <c r="F5065" s="8">
        <v>39990</v>
      </c>
      <c r="G5065" s="8">
        <v>39990</v>
      </c>
      <c r="Y5065" s="8"/>
    </row>
    <row r="5066" spans="1:25" x14ac:dyDescent="0.25">
      <c r="A5066" t="str">
        <f>"09-0436"</f>
        <v>09-0436</v>
      </c>
      <c r="D5066" s="8">
        <v>39990</v>
      </c>
      <c r="F5066" s="8">
        <v>39990</v>
      </c>
      <c r="G5066" s="8">
        <v>39990</v>
      </c>
      <c r="Y5066" s="8"/>
    </row>
    <row r="5067" spans="1:25" x14ac:dyDescent="0.25">
      <c r="A5067" t="str">
        <f>"09-0437"</f>
        <v>09-0437</v>
      </c>
      <c r="D5067" s="8">
        <v>39990</v>
      </c>
      <c r="F5067" s="8">
        <v>39995</v>
      </c>
      <c r="G5067" s="8">
        <v>39993</v>
      </c>
      <c r="Y5067" s="8"/>
    </row>
    <row r="5068" spans="1:25" x14ac:dyDescent="0.25">
      <c r="A5068" t="str">
        <f>"09-0438"</f>
        <v>09-0438</v>
      </c>
      <c r="D5068" s="8">
        <v>39990</v>
      </c>
      <c r="F5068" s="8">
        <v>39990</v>
      </c>
      <c r="G5068" s="8">
        <v>39993</v>
      </c>
      <c r="Y5068" s="8"/>
    </row>
    <row r="5069" spans="1:25" x14ac:dyDescent="0.25">
      <c r="A5069" t="str">
        <f>"09-0439"</f>
        <v>09-0439</v>
      </c>
      <c r="D5069" s="8">
        <v>39990</v>
      </c>
      <c r="F5069" s="8">
        <v>39990</v>
      </c>
      <c r="G5069" s="8">
        <v>39990</v>
      </c>
      <c r="Y5069" s="8"/>
    </row>
    <row r="5070" spans="1:25" x14ac:dyDescent="0.25">
      <c r="A5070" t="str">
        <f>"09-0429"</f>
        <v>09-0429</v>
      </c>
      <c r="D5070" s="8">
        <v>39989</v>
      </c>
      <c r="F5070" s="8">
        <v>39989</v>
      </c>
      <c r="G5070" s="8">
        <v>39989</v>
      </c>
      <c r="Y5070" s="8"/>
    </row>
    <row r="5071" spans="1:25" x14ac:dyDescent="0.25">
      <c r="A5071" t="str">
        <f>"09-0430"</f>
        <v>09-0430</v>
      </c>
      <c r="D5071" s="8">
        <v>39989</v>
      </c>
      <c r="F5071" s="8">
        <v>39989</v>
      </c>
      <c r="G5071" s="8">
        <v>39989</v>
      </c>
      <c r="Y5071" s="8"/>
    </row>
    <row r="5072" spans="1:25" x14ac:dyDescent="0.25">
      <c r="A5072" t="str">
        <f>"09-0431"</f>
        <v>09-0431</v>
      </c>
      <c r="D5072" s="8">
        <v>39989</v>
      </c>
      <c r="F5072" s="8">
        <v>39989</v>
      </c>
      <c r="G5072" s="8">
        <v>39989</v>
      </c>
      <c r="Y5072" s="8"/>
    </row>
    <row r="5073" spans="1:25" x14ac:dyDescent="0.25">
      <c r="A5073" t="str">
        <f>"09-0432"</f>
        <v>09-0432</v>
      </c>
      <c r="D5073" s="8">
        <v>39989</v>
      </c>
      <c r="F5073" s="8">
        <v>39989</v>
      </c>
      <c r="G5073" s="8">
        <v>39989</v>
      </c>
      <c r="Y5073" s="8"/>
    </row>
    <row r="5074" spans="1:25" x14ac:dyDescent="0.25">
      <c r="A5074" t="str">
        <f>"09-0433"</f>
        <v>09-0433</v>
      </c>
      <c r="D5074" s="8">
        <v>39989</v>
      </c>
      <c r="F5074" s="8">
        <v>39989</v>
      </c>
      <c r="G5074" s="8">
        <v>39989</v>
      </c>
      <c r="Y5074" s="8"/>
    </row>
    <row r="5075" spans="1:25" x14ac:dyDescent="0.25">
      <c r="A5075" t="str">
        <f>"09-0427"</f>
        <v>09-0427</v>
      </c>
      <c r="D5075" s="8">
        <v>39988</v>
      </c>
      <c r="F5075" s="8">
        <v>39993</v>
      </c>
      <c r="G5075" s="8">
        <v>39994</v>
      </c>
      <c r="Y5075" s="8"/>
    </row>
    <row r="5076" spans="1:25" x14ac:dyDescent="0.25">
      <c r="A5076" t="str">
        <f>"09-0428"</f>
        <v>09-0428</v>
      </c>
      <c r="D5076" s="8">
        <v>39988</v>
      </c>
      <c r="F5076" s="8">
        <v>39988</v>
      </c>
      <c r="G5076" s="8">
        <v>39988</v>
      </c>
      <c r="Y5076" s="8"/>
    </row>
    <row r="5077" spans="1:25" x14ac:dyDescent="0.25">
      <c r="A5077" t="str">
        <f>"09-0292B"</f>
        <v>09-0292B</v>
      </c>
      <c r="D5077" s="8">
        <v>39987</v>
      </c>
      <c r="F5077" s="8">
        <v>41218</v>
      </c>
      <c r="G5077" s="8">
        <v>39986</v>
      </c>
      <c r="Y5077" s="8"/>
    </row>
    <row r="5078" spans="1:25" x14ac:dyDescent="0.25">
      <c r="A5078" t="str">
        <f>"09-0426"</f>
        <v>09-0426</v>
      </c>
      <c r="D5078" s="8">
        <v>39987</v>
      </c>
      <c r="F5078" s="8">
        <v>39987</v>
      </c>
      <c r="G5078" s="8">
        <v>39987</v>
      </c>
      <c r="Y5078" s="8"/>
    </row>
    <row r="5079" spans="1:25" x14ac:dyDescent="0.25">
      <c r="A5079" t="str">
        <f>"09-0423"</f>
        <v>09-0423</v>
      </c>
      <c r="D5079" s="8">
        <v>39983</v>
      </c>
      <c r="F5079" s="8">
        <v>40091</v>
      </c>
      <c r="G5079" s="8">
        <v>39983</v>
      </c>
      <c r="Y5079" s="8"/>
    </row>
    <row r="5080" spans="1:25" x14ac:dyDescent="0.25">
      <c r="A5080" t="str">
        <f>"09-0424"</f>
        <v>09-0424</v>
      </c>
      <c r="D5080" s="8">
        <v>39983</v>
      </c>
      <c r="F5080" s="8">
        <v>39983</v>
      </c>
      <c r="G5080" s="8">
        <v>39986</v>
      </c>
      <c r="Y5080" s="8"/>
    </row>
    <row r="5081" spans="1:25" x14ac:dyDescent="0.25">
      <c r="A5081" t="str">
        <f>"09-0425"</f>
        <v>09-0425</v>
      </c>
      <c r="D5081" s="8">
        <v>39983</v>
      </c>
      <c r="F5081" s="8">
        <v>39983</v>
      </c>
      <c r="G5081" s="8">
        <v>39983</v>
      </c>
      <c r="Y5081" s="8"/>
    </row>
    <row r="5082" spans="1:25" x14ac:dyDescent="0.25">
      <c r="A5082" t="str">
        <f>"09-0419"</f>
        <v>09-0419</v>
      </c>
      <c r="D5082" s="8">
        <v>39982</v>
      </c>
      <c r="F5082" s="8">
        <v>39982</v>
      </c>
      <c r="G5082" s="8">
        <v>39982</v>
      </c>
      <c r="Y5082" s="8"/>
    </row>
    <row r="5083" spans="1:25" x14ac:dyDescent="0.25">
      <c r="A5083" t="str">
        <f>"09-0420"</f>
        <v>09-0420</v>
      </c>
      <c r="D5083" s="8">
        <v>39982</v>
      </c>
      <c r="F5083" s="8">
        <v>39982</v>
      </c>
      <c r="G5083" s="8">
        <v>39983</v>
      </c>
      <c r="Y5083" s="8"/>
    </row>
    <row r="5084" spans="1:25" x14ac:dyDescent="0.25">
      <c r="A5084" t="str">
        <f>"09-0421"</f>
        <v>09-0421</v>
      </c>
      <c r="D5084" s="8">
        <v>39982</v>
      </c>
      <c r="F5084" s="8">
        <v>39982</v>
      </c>
      <c r="G5084" s="8">
        <v>39983</v>
      </c>
      <c r="Y5084" s="8"/>
    </row>
    <row r="5085" spans="1:25" x14ac:dyDescent="0.25">
      <c r="A5085" t="str">
        <f>"09-0422"</f>
        <v>09-0422</v>
      </c>
      <c r="D5085" s="8">
        <v>39982</v>
      </c>
      <c r="F5085" s="8">
        <v>39982</v>
      </c>
      <c r="G5085" s="8">
        <v>39983</v>
      </c>
      <c r="Y5085" s="8"/>
    </row>
    <row r="5086" spans="1:25" x14ac:dyDescent="0.25">
      <c r="A5086" t="str">
        <f>"09-0409"</f>
        <v>09-0409</v>
      </c>
      <c r="D5086" s="8">
        <v>39981</v>
      </c>
      <c r="F5086" s="8">
        <v>39981</v>
      </c>
      <c r="G5086" s="8">
        <v>39981</v>
      </c>
      <c r="Y5086" s="8"/>
    </row>
    <row r="5087" spans="1:25" x14ac:dyDescent="0.25">
      <c r="A5087" t="str">
        <f>"09-0410"</f>
        <v>09-0410</v>
      </c>
      <c r="D5087" s="8">
        <v>39981</v>
      </c>
      <c r="F5087" s="8">
        <v>39981</v>
      </c>
      <c r="G5087" s="8">
        <v>39981</v>
      </c>
      <c r="Y5087" s="8"/>
    </row>
    <row r="5088" spans="1:25" x14ac:dyDescent="0.25">
      <c r="A5088" t="str">
        <f>"09-0411"</f>
        <v>09-0411</v>
      </c>
      <c r="D5088" s="8">
        <v>39981</v>
      </c>
      <c r="F5088" s="8">
        <v>39982</v>
      </c>
      <c r="G5088" s="8">
        <v>39983</v>
      </c>
      <c r="Y5088" s="8"/>
    </row>
    <row r="5089" spans="1:25" x14ac:dyDescent="0.25">
      <c r="A5089" t="str">
        <f>"09-0412"</f>
        <v>09-0412</v>
      </c>
      <c r="D5089" s="8">
        <v>39981</v>
      </c>
      <c r="F5089" s="8">
        <v>39981</v>
      </c>
      <c r="G5089" s="8">
        <v>39981</v>
      </c>
      <c r="Y5089" s="8"/>
    </row>
    <row r="5090" spans="1:25" x14ac:dyDescent="0.25">
      <c r="A5090" t="str">
        <f>"09-0413"</f>
        <v>09-0413</v>
      </c>
      <c r="D5090" s="8">
        <v>39981</v>
      </c>
      <c r="F5090" s="8">
        <v>39981</v>
      </c>
      <c r="G5090" s="8">
        <v>39981</v>
      </c>
      <c r="Y5090" s="8"/>
    </row>
    <row r="5091" spans="1:25" x14ac:dyDescent="0.25">
      <c r="A5091" t="str">
        <f>"09-0414"</f>
        <v>09-0414</v>
      </c>
      <c r="D5091" s="8">
        <v>39981</v>
      </c>
      <c r="F5091" s="8">
        <v>39983</v>
      </c>
      <c r="G5091" s="8">
        <v>39983</v>
      </c>
      <c r="Y5091" s="8"/>
    </row>
    <row r="5092" spans="1:25" x14ac:dyDescent="0.25">
      <c r="A5092" t="str">
        <f>"09-0415"</f>
        <v>09-0415</v>
      </c>
      <c r="D5092" s="8">
        <v>39981</v>
      </c>
      <c r="F5092" s="8">
        <v>39981</v>
      </c>
      <c r="G5092" s="8">
        <v>39983</v>
      </c>
      <c r="Y5092" s="8"/>
    </row>
    <row r="5093" spans="1:25" x14ac:dyDescent="0.25">
      <c r="A5093" t="str">
        <f>"09-0416"</f>
        <v>09-0416</v>
      </c>
      <c r="D5093" s="8">
        <v>39981</v>
      </c>
      <c r="F5093" s="8">
        <v>39981</v>
      </c>
      <c r="G5093" s="8">
        <v>39981</v>
      </c>
      <c r="Y5093" s="8"/>
    </row>
    <row r="5094" spans="1:25" x14ac:dyDescent="0.25">
      <c r="A5094" t="str">
        <f>"09-0417"</f>
        <v>09-0417</v>
      </c>
      <c r="D5094" s="8">
        <v>39981</v>
      </c>
      <c r="F5094" s="8">
        <v>39981</v>
      </c>
      <c r="G5094" s="8">
        <v>39981</v>
      </c>
      <c r="Y5094" s="8"/>
    </row>
    <row r="5095" spans="1:25" x14ac:dyDescent="0.25">
      <c r="A5095" t="str">
        <f>"09-0418"</f>
        <v>09-0418</v>
      </c>
      <c r="D5095" s="8">
        <v>39981</v>
      </c>
      <c r="F5095" s="8">
        <v>39981</v>
      </c>
      <c r="G5095" s="8">
        <v>39981</v>
      </c>
      <c r="Y5095" s="8"/>
    </row>
    <row r="5096" spans="1:25" x14ac:dyDescent="0.25">
      <c r="A5096" t="str">
        <f>"09-0402"</f>
        <v>09-0402</v>
      </c>
      <c r="D5096" s="8">
        <v>39980</v>
      </c>
      <c r="F5096" s="8">
        <v>39980</v>
      </c>
      <c r="G5096" s="8">
        <v>39980</v>
      </c>
      <c r="Y5096" s="8"/>
    </row>
    <row r="5097" spans="1:25" x14ac:dyDescent="0.25">
      <c r="A5097" t="str">
        <f>"09-0403"</f>
        <v>09-0403</v>
      </c>
      <c r="D5097" s="8">
        <v>39980</v>
      </c>
      <c r="F5097" s="8">
        <v>39980</v>
      </c>
      <c r="G5097" s="8">
        <v>39980</v>
      </c>
      <c r="Y5097" s="8"/>
    </row>
    <row r="5098" spans="1:25" x14ac:dyDescent="0.25">
      <c r="A5098" t="str">
        <f>"09-0404"</f>
        <v>09-0404</v>
      </c>
      <c r="D5098" s="8">
        <v>39980</v>
      </c>
      <c r="F5098" s="8">
        <v>39980</v>
      </c>
      <c r="G5098" s="8">
        <v>39980</v>
      </c>
      <c r="Y5098" s="8"/>
    </row>
    <row r="5099" spans="1:25" x14ac:dyDescent="0.25">
      <c r="A5099" t="str">
        <f>"09-0405"</f>
        <v>09-0405</v>
      </c>
      <c r="D5099" s="8">
        <v>39980</v>
      </c>
      <c r="F5099" s="8">
        <v>39980</v>
      </c>
      <c r="G5099" s="8">
        <v>39980</v>
      </c>
      <c r="Y5099" s="8"/>
    </row>
    <row r="5100" spans="1:25" x14ac:dyDescent="0.25">
      <c r="A5100" t="str">
        <f>"09-0406"</f>
        <v>09-0406</v>
      </c>
      <c r="D5100" s="8">
        <v>39980</v>
      </c>
      <c r="F5100" s="8">
        <v>39980</v>
      </c>
      <c r="G5100" s="8">
        <v>39980</v>
      </c>
      <c r="Y5100" s="8"/>
    </row>
    <row r="5101" spans="1:25" x14ac:dyDescent="0.25">
      <c r="A5101" t="str">
        <f>"09-0407"</f>
        <v>09-0407</v>
      </c>
      <c r="D5101" s="8">
        <v>39980</v>
      </c>
      <c r="F5101" s="8">
        <v>39980</v>
      </c>
      <c r="G5101" s="8">
        <v>39980</v>
      </c>
      <c r="Y5101" s="8"/>
    </row>
    <row r="5102" spans="1:25" x14ac:dyDescent="0.25">
      <c r="A5102" t="str">
        <f>"09-0408"</f>
        <v>09-0408</v>
      </c>
      <c r="D5102" s="8">
        <v>39980</v>
      </c>
      <c r="F5102" s="8">
        <v>39980</v>
      </c>
      <c r="G5102" s="8">
        <v>39980</v>
      </c>
      <c r="Y5102" s="8"/>
    </row>
    <row r="5103" spans="1:25" x14ac:dyDescent="0.25">
      <c r="A5103" t="str">
        <f>"09-0395B"</f>
        <v>09-0395B</v>
      </c>
      <c r="D5103" s="8">
        <v>39979</v>
      </c>
      <c r="F5103" s="8">
        <v>39979</v>
      </c>
      <c r="G5103" s="8">
        <v>39979</v>
      </c>
      <c r="Y5103" s="8"/>
    </row>
    <row r="5104" spans="1:25" x14ac:dyDescent="0.25">
      <c r="A5104" t="str">
        <f>"09-0400"</f>
        <v>09-0400</v>
      </c>
      <c r="D5104" s="8">
        <v>39979</v>
      </c>
      <c r="F5104" s="8">
        <v>39979</v>
      </c>
      <c r="G5104" s="8">
        <v>39980</v>
      </c>
      <c r="Y5104" s="8"/>
    </row>
    <row r="5105" spans="1:25" x14ac:dyDescent="0.25">
      <c r="A5105" t="str">
        <f>"09-0401"</f>
        <v>09-0401</v>
      </c>
      <c r="D5105" s="8">
        <v>39979</v>
      </c>
      <c r="F5105" s="8">
        <v>39979</v>
      </c>
      <c r="G5105" s="8">
        <v>39979</v>
      </c>
      <c r="Y5105" s="8"/>
    </row>
    <row r="5106" spans="1:25" x14ac:dyDescent="0.25">
      <c r="A5106" t="str">
        <f>"09-0398"</f>
        <v>09-0398</v>
      </c>
      <c r="D5106" s="8">
        <v>39976</v>
      </c>
      <c r="F5106" s="8">
        <v>39976</v>
      </c>
      <c r="G5106" s="8">
        <v>39976</v>
      </c>
      <c r="Y5106" s="8"/>
    </row>
    <row r="5107" spans="1:25" x14ac:dyDescent="0.25">
      <c r="A5107" t="str">
        <f>"09-0399"</f>
        <v>09-0399</v>
      </c>
      <c r="D5107" s="8">
        <v>39976</v>
      </c>
      <c r="F5107" s="8">
        <v>39976</v>
      </c>
      <c r="G5107" s="8">
        <v>39976</v>
      </c>
      <c r="Y5107" s="8"/>
    </row>
    <row r="5108" spans="1:25" x14ac:dyDescent="0.25">
      <c r="A5108" t="str">
        <f>"09-0342B"</f>
        <v>09-0342B</v>
      </c>
      <c r="D5108" s="8">
        <v>39975</v>
      </c>
      <c r="F5108" s="8">
        <v>39975</v>
      </c>
      <c r="G5108" s="8">
        <v>39975</v>
      </c>
      <c r="Y5108" s="8"/>
    </row>
    <row r="5109" spans="1:25" x14ac:dyDescent="0.25">
      <c r="A5109" t="str">
        <f>"09-0386B"</f>
        <v>09-0386B</v>
      </c>
      <c r="D5109" s="8">
        <v>39975</v>
      </c>
      <c r="F5109" s="8">
        <v>39975</v>
      </c>
      <c r="G5109" s="8">
        <v>39976</v>
      </c>
      <c r="Y5109" s="8"/>
    </row>
    <row r="5110" spans="1:25" x14ac:dyDescent="0.25">
      <c r="A5110" t="str">
        <f>"09-0389"</f>
        <v>09-0389</v>
      </c>
      <c r="D5110" s="8">
        <v>39975</v>
      </c>
      <c r="F5110" s="8">
        <v>39975</v>
      </c>
      <c r="G5110" s="8">
        <v>39975</v>
      </c>
      <c r="Y5110" s="8"/>
    </row>
    <row r="5111" spans="1:25" x14ac:dyDescent="0.25">
      <c r="A5111" t="str">
        <f>"09-0390"</f>
        <v>09-0390</v>
      </c>
      <c r="D5111" s="8">
        <v>39975</v>
      </c>
      <c r="F5111" s="8">
        <v>39975</v>
      </c>
      <c r="G5111" s="8">
        <v>39975</v>
      </c>
      <c r="Y5111" s="8"/>
    </row>
    <row r="5112" spans="1:25" x14ac:dyDescent="0.25">
      <c r="A5112" t="str">
        <f>"09-0391"</f>
        <v>09-0391</v>
      </c>
      <c r="D5112" s="8">
        <v>39975</v>
      </c>
      <c r="F5112" s="8">
        <v>39975</v>
      </c>
      <c r="G5112" s="8">
        <v>39993</v>
      </c>
      <c r="Y5112" s="8"/>
    </row>
    <row r="5113" spans="1:25" x14ac:dyDescent="0.25">
      <c r="A5113" t="str">
        <f>"09-0392"</f>
        <v>09-0392</v>
      </c>
      <c r="D5113" s="8">
        <v>39975</v>
      </c>
      <c r="F5113" s="8">
        <v>39975</v>
      </c>
      <c r="G5113" s="8">
        <v>39975</v>
      </c>
      <c r="Y5113" s="8"/>
    </row>
    <row r="5114" spans="1:25" x14ac:dyDescent="0.25">
      <c r="A5114" t="str">
        <f>"09-0393"</f>
        <v>09-0393</v>
      </c>
      <c r="D5114" s="8">
        <v>39975</v>
      </c>
      <c r="F5114" s="8">
        <v>39980</v>
      </c>
      <c r="G5114" s="8">
        <v>39983</v>
      </c>
      <c r="Y5114" s="8"/>
    </row>
    <row r="5115" spans="1:25" x14ac:dyDescent="0.25">
      <c r="A5115" t="str">
        <f>"09-0394"</f>
        <v>09-0394</v>
      </c>
      <c r="D5115" s="8">
        <v>39975</v>
      </c>
      <c r="F5115" s="8">
        <v>39975</v>
      </c>
      <c r="G5115" s="8">
        <v>39979</v>
      </c>
      <c r="Y5115" s="8"/>
    </row>
    <row r="5116" spans="1:25" x14ac:dyDescent="0.25">
      <c r="A5116" t="str">
        <f>"09-0395"</f>
        <v>09-0395</v>
      </c>
      <c r="D5116" s="8">
        <v>39975</v>
      </c>
      <c r="F5116" s="8">
        <v>39975</v>
      </c>
      <c r="G5116" s="8">
        <v>39976</v>
      </c>
      <c r="Y5116" s="8"/>
    </row>
    <row r="5117" spans="1:25" x14ac:dyDescent="0.25">
      <c r="A5117" t="str">
        <f>"09-0396"</f>
        <v>09-0396</v>
      </c>
      <c r="D5117" s="8">
        <v>39975</v>
      </c>
      <c r="F5117" s="8">
        <v>39975</v>
      </c>
      <c r="G5117" s="8">
        <v>39975</v>
      </c>
      <c r="Y5117" s="8"/>
    </row>
    <row r="5118" spans="1:25" x14ac:dyDescent="0.25">
      <c r="A5118" t="str">
        <f>"09-0397"</f>
        <v>09-0397</v>
      </c>
      <c r="D5118" s="8">
        <v>39975</v>
      </c>
      <c r="F5118" s="8">
        <v>39975</v>
      </c>
      <c r="G5118" s="8">
        <v>39976</v>
      </c>
      <c r="Y5118" s="8"/>
    </row>
    <row r="5119" spans="1:25" x14ac:dyDescent="0.25">
      <c r="A5119" t="str">
        <f>"09-0385"</f>
        <v>09-0385</v>
      </c>
      <c r="D5119" s="8">
        <v>39974</v>
      </c>
      <c r="F5119" s="8">
        <v>39976</v>
      </c>
      <c r="G5119" s="8">
        <v>39976</v>
      </c>
      <c r="Y5119" s="8"/>
    </row>
    <row r="5120" spans="1:25" x14ac:dyDescent="0.25">
      <c r="A5120" t="str">
        <f>"09-0386"</f>
        <v>09-0386</v>
      </c>
      <c r="D5120" s="8">
        <v>39974</v>
      </c>
      <c r="F5120" s="8">
        <v>39975</v>
      </c>
      <c r="G5120" s="8">
        <v>39979</v>
      </c>
      <c r="Y5120" s="8"/>
    </row>
    <row r="5121" spans="1:25" x14ac:dyDescent="0.25">
      <c r="A5121" t="str">
        <f>"09-0387"</f>
        <v>09-0387</v>
      </c>
      <c r="D5121" s="8">
        <v>39974</v>
      </c>
      <c r="F5121" s="8">
        <v>39974</v>
      </c>
      <c r="G5121" s="8">
        <v>39974</v>
      </c>
      <c r="Y5121" s="8"/>
    </row>
    <row r="5122" spans="1:25" x14ac:dyDescent="0.25">
      <c r="A5122" t="str">
        <f>"09-0387B"</f>
        <v>09-0387B</v>
      </c>
      <c r="D5122" s="8">
        <v>39974</v>
      </c>
      <c r="F5122" s="8">
        <v>39974</v>
      </c>
      <c r="G5122" s="8">
        <v>39974</v>
      </c>
      <c r="Y5122" s="8"/>
    </row>
    <row r="5123" spans="1:25" x14ac:dyDescent="0.25">
      <c r="A5123" t="str">
        <f>"09-0388"</f>
        <v>09-0388</v>
      </c>
      <c r="D5123" s="8">
        <v>39974</v>
      </c>
      <c r="F5123" s="8">
        <v>39974</v>
      </c>
      <c r="G5123" s="8">
        <v>39975</v>
      </c>
      <c r="Y5123" s="8"/>
    </row>
    <row r="5124" spans="1:25" x14ac:dyDescent="0.25">
      <c r="A5124" t="str">
        <f>"09-0379"</f>
        <v>09-0379</v>
      </c>
      <c r="D5124" s="8">
        <v>39973</v>
      </c>
      <c r="F5124" s="8">
        <v>40001</v>
      </c>
      <c r="G5124" s="8">
        <v>39973</v>
      </c>
      <c r="Y5124" s="8"/>
    </row>
    <row r="5125" spans="1:25" x14ac:dyDescent="0.25">
      <c r="A5125" t="str">
        <f>"09-0380"</f>
        <v>09-0380</v>
      </c>
      <c r="D5125" s="8">
        <v>39973</v>
      </c>
      <c r="F5125" s="8">
        <v>39973</v>
      </c>
      <c r="G5125" s="8">
        <v>39974</v>
      </c>
      <c r="Y5125" s="8"/>
    </row>
    <row r="5126" spans="1:25" x14ac:dyDescent="0.25">
      <c r="A5126" t="str">
        <f>"09-0381"</f>
        <v>09-0381</v>
      </c>
      <c r="D5126" s="8">
        <v>39973</v>
      </c>
      <c r="F5126" s="8">
        <v>39973</v>
      </c>
      <c r="G5126" s="8">
        <v>39973</v>
      </c>
      <c r="Y5126" s="8"/>
    </row>
    <row r="5127" spans="1:25" x14ac:dyDescent="0.25">
      <c r="A5127" t="str">
        <f>"09-0382"</f>
        <v>09-0382</v>
      </c>
      <c r="D5127" s="8">
        <v>39973</v>
      </c>
      <c r="F5127" s="8">
        <v>39973</v>
      </c>
      <c r="G5127" s="8">
        <v>39973</v>
      </c>
      <c r="Y5127" s="8"/>
    </row>
    <row r="5128" spans="1:25" x14ac:dyDescent="0.25">
      <c r="A5128" t="str">
        <f>"09-0383"</f>
        <v>09-0383</v>
      </c>
      <c r="D5128" s="8">
        <v>39973</v>
      </c>
      <c r="G5128" s="8">
        <v>39990</v>
      </c>
    </row>
    <row r="5129" spans="1:25" x14ac:dyDescent="0.25">
      <c r="A5129" t="str">
        <f>"09-0384"</f>
        <v>09-0384</v>
      </c>
      <c r="D5129" s="8">
        <v>39973</v>
      </c>
      <c r="F5129" s="8">
        <v>39973</v>
      </c>
      <c r="G5129" s="8">
        <v>39973</v>
      </c>
      <c r="Y5129" s="8"/>
    </row>
    <row r="5130" spans="1:25" x14ac:dyDescent="0.25">
      <c r="A5130" t="str">
        <f>"09-0364B"</f>
        <v>09-0364B</v>
      </c>
      <c r="D5130" s="8">
        <v>39972</v>
      </c>
      <c r="F5130" s="8">
        <v>39972</v>
      </c>
      <c r="G5130" s="8">
        <v>39972</v>
      </c>
      <c r="Y5130" s="8"/>
    </row>
    <row r="5131" spans="1:25" x14ac:dyDescent="0.25">
      <c r="A5131" t="str">
        <f>"09-0367B"</f>
        <v>09-0367B</v>
      </c>
      <c r="D5131" s="8">
        <v>39972</v>
      </c>
      <c r="F5131" s="8">
        <v>39972</v>
      </c>
      <c r="G5131" s="8">
        <v>39972</v>
      </c>
      <c r="Y5131" s="8"/>
    </row>
    <row r="5132" spans="1:25" x14ac:dyDescent="0.25">
      <c r="A5132" t="str">
        <f>"09-0377"</f>
        <v>09-0377</v>
      </c>
      <c r="D5132" s="8">
        <v>39972</v>
      </c>
      <c r="F5132" s="8">
        <v>39972</v>
      </c>
      <c r="G5132" s="8">
        <v>39972</v>
      </c>
      <c r="Y5132" s="8"/>
    </row>
    <row r="5133" spans="1:25" x14ac:dyDescent="0.25">
      <c r="A5133" t="str">
        <f>"09-0378"</f>
        <v>09-0378</v>
      </c>
      <c r="D5133" s="8">
        <v>39972</v>
      </c>
      <c r="F5133" s="8">
        <v>39975</v>
      </c>
      <c r="G5133" s="8">
        <v>39979</v>
      </c>
      <c r="Y5133" s="8"/>
    </row>
    <row r="5134" spans="1:25" x14ac:dyDescent="0.25">
      <c r="A5134" t="str">
        <f>"09-0375"</f>
        <v>09-0375</v>
      </c>
      <c r="D5134" s="8">
        <v>39969</v>
      </c>
      <c r="F5134" s="8">
        <v>39969</v>
      </c>
      <c r="G5134" s="8">
        <v>39969</v>
      </c>
      <c r="Y5134" s="8"/>
    </row>
    <row r="5135" spans="1:25" x14ac:dyDescent="0.25">
      <c r="A5135" t="str">
        <f>"09-0376"</f>
        <v>09-0376</v>
      </c>
      <c r="D5135" s="8">
        <v>39969</v>
      </c>
      <c r="F5135" s="8">
        <v>39969</v>
      </c>
      <c r="G5135" s="8">
        <v>39972</v>
      </c>
      <c r="Y5135" s="8"/>
    </row>
    <row r="5136" spans="1:25" x14ac:dyDescent="0.25">
      <c r="A5136" t="str">
        <f>"09-0373"</f>
        <v>09-0373</v>
      </c>
      <c r="D5136" s="8">
        <v>39968</v>
      </c>
      <c r="F5136" s="8">
        <v>39968</v>
      </c>
      <c r="G5136" s="8">
        <v>39968</v>
      </c>
      <c r="Y5136" s="8"/>
    </row>
    <row r="5137" spans="1:25" x14ac:dyDescent="0.25">
      <c r="A5137" t="str">
        <f>"09-0374"</f>
        <v>09-0374</v>
      </c>
      <c r="D5137" s="8">
        <v>39968</v>
      </c>
      <c r="F5137" s="8">
        <v>39968</v>
      </c>
      <c r="G5137" s="8">
        <v>39968</v>
      </c>
      <c r="Y5137" s="8"/>
    </row>
    <row r="5138" spans="1:25" x14ac:dyDescent="0.25">
      <c r="A5138" t="str">
        <f>"09-0354B"</f>
        <v>09-0354B</v>
      </c>
      <c r="D5138" s="8">
        <v>39967</v>
      </c>
      <c r="F5138" s="8">
        <v>39967</v>
      </c>
      <c r="G5138" s="8">
        <v>39967</v>
      </c>
      <c r="Y5138" s="8"/>
    </row>
    <row r="5139" spans="1:25" x14ac:dyDescent="0.25">
      <c r="A5139" t="str">
        <f>"09-0368"</f>
        <v>09-0368</v>
      </c>
      <c r="D5139" s="8">
        <v>39967</v>
      </c>
      <c r="F5139" s="8">
        <v>39967</v>
      </c>
      <c r="G5139" s="8">
        <v>39967</v>
      </c>
      <c r="Y5139" s="8"/>
    </row>
    <row r="5140" spans="1:25" x14ac:dyDescent="0.25">
      <c r="A5140" t="str">
        <f>"09-0369"</f>
        <v>09-0369</v>
      </c>
      <c r="D5140" s="8">
        <v>39967</v>
      </c>
      <c r="F5140" s="8">
        <v>39967</v>
      </c>
      <c r="G5140" s="8">
        <v>39967</v>
      </c>
      <c r="Y5140" s="8"/>
    </row>
    <row r="5141" spans="1:25" x14ac:dyDescent="0.25">
      <c r="A5141" t="str">
        <f>"09-0370"</f>
        <v>09-0370</v>
      </c>
      <c r="D5141" s="8">
        <v>39967</v>
      </c>
      <c r="F5141" s="8">
        <v>39967</v>
      </c>
      <c r="G5141" s="8">
        <v>39967</v>
      </c>
      <c r="Y5141" s="8"/>
    </row>
    <row r="5142" spans="1:25" x14ac:dyDescent="0.25">
      <c r="A5142" t="str">
        <f>"09-0371"</f>
        <v>09-0371</v>
      </c>
      <c r="D5142" s="8">
        <v>39967</v>
      </c>
      <c r="F5142" s="8">
        <v>39972</v>
      </c>
      <c r="G5142" s="8">
        <v>39967</v>
      </c>
      <c r="Y5142" s="8"/>
    </row>
    <row r="5143" spans="1:25" x14ac:dyDescent="0.25">
      <c r="A5143" t="str">
        <f>"09-0372"</f>
        <v>09-0372</v>
      </c>
      <c r="D5143" s="8">
        <v>39967</v>
      </c>
      <c r="F5143" s="8">
        <v>39967</v>
      </c>
      <c r="G5143" s="8">
        <v>39967</v>
      </c>
      <c r="Y5143" s="8"/>
    </row>
    <row r="5144" spans="1:25" x14ac:dyDescent="0.25">
      <c r="A5144" t="str">
        <f>"09-0361"</f>
        <v>09-0361</v>
      </c>
      <c r="D5144" s="8">
        <v>39966</v>
      </c>
      <c r="F5144" s="8">
        <v>41354</v>
      </c>
      <c r="G5144" s="8">
        <v>39966</v>
      </c>
      <c r="Y5144" s="8"/>
    </row>
    <row r="5145" spans="1:25" x14ac:dyDescent="0.25">
      <c r="A5145" t="str">
        <f>"09-0362"</f>
        <v>09-0362</v>
      </c>
      <c r="D5145" s="8">
        <v>39966</v>
      </c>
      <c r="F5145" s="8">
        <v>39966</v>
      </c>
      <c r="G5145" s="8">
        <v>39966</v>
      </c>
      <c r="Y5145" s="8"/>
    </row>
    <row r="5146" spans="1:25" x14ac:dyDescent="0.25">
      <c r="A5146" t="str">
        <f>"09-0363"</f>
        <v>09-0363</v>
      </c>
      <c r="D5146" s="8">
        <v>39966</v>
      </c>
      <c r="F5146" s="8">
        <v>39966</v>
      </c>
      <c r="G5146" s="8">
        <v>39966</v>
      </c>
      <c r="Y5146" s="8"/>
    </row>
    <row r="5147" spans="1:25" x14ac:dyDescent="0.25">
      <c r="A5147" t="str">
        <f>"09-0364"</f>
        <v>09-0364</v>
      </c>
      <c r="D5147" s="8">
        <v>39966</v>
      </c>
      <c r="F5147" s="8">
        <v>39969</v>
      </c>
      <c r="G5147" s="8">
        <v>39974</v>
      </c>
      <c r="Y5147" s="8"/>
    </row>
    <row r="5148" spans="1:25" x14ac:dyDescent="0.25">
      <c r="A5148" t="str">
        <f>"09-0365"</f>
        <v>09-0365</v>
      </c>
      <c r="D5148" s="8">
        <v>39966</v>
      </c>
      <c r="F5148" s="8">
        <v>39980</v>
      </c>
      <c r="G5148" s="8">
        <v>39981</v>
      </c>
      <c r="Y5148" s="8"/>
    </row>
    <row r="5149" spans="1:25" x14ac:dyDescent="0.25">
      <c r="A5149" t="str">
        <f>"09-0366"</f>
        <v>09-0366</v>
      </c>
      <c r="D5149" s="8">
        <v>39966</v>
      </c>
      <c r="F5149" s="8">
        <v>39980</v>
      </c>
      <c r="G5149" s="8">
        <v>39981</v>
      </c>
      <c r="Y5149" s="8"/>
    </row>
    <row r="5150" spans="1:25" x14ac:dyDescent="0.25">
      <c r="A5150" t="str">
        <f>"09-0367"</f>
        <v>09-0367</v>
      </c>
      <c r="D5150" s="8">
        <v>39966</v>
      </c>
      <c r="F5150" s="8">
        <v>39966</v>
      </c>
      <c r="G5150" s="8">
        <v>39966</v>
      </c>
      <c r="Y5150" s="8"/>
    </row>
    <row r="5151" spans="1:25" x14ac:dyDescent="0.25">
      <c r="A5151" t="str">
        <f>"09-0360"</f>
        <v>09-0360</v>
      </c>
      <c r="D5151" s="8">
        <v>39962</v>
      </c>
      <c r="F5151" s="8">
        <v>39962</v>
      </c>
      <c r="G5151" s="8">
        <v>39962</v>
      </c>
      <c r="Y5151" s="8"/>
    </row>
    <row r="5152" spans="1:25" x14ac:dyDescent="0.25">
      <c r="A5152" t="str">
        <f>"09-0349B"</f>
        <v>09-0349B</v>
      </c>
      <c r="D5152" s="8">
        <v>39961</v>
      </c>
      <c r="F5152" s="8">
        <v>39961</v>
      </c>
      <c r="G5152" s="8">
        <v>39961</v>
      </c>
      <c r="Y5152" s="8"/>
    </row>
    <row r="5153" spans="1:25" x14ac:dyDescent="0.25">
      <c r="A5153" t="str">
        <f>"09-0353"</f>
        <v>09-0353</v>
      </c>
      <c r="D5153" s="8">
        <v>39961</v>
      </c>
      <c r="F5153" s="8">
        <v>39961</v>
      </c>
      <c r="G5153" s="8">
        <v>39961</v>
      </c>
      <c r="Y5153" s="8"/>
    </row>
    <row r="5154" spans="1:25" x14ac:dyDescent="0.25">
      <c r="A5154" t="str">
        <f>"09-0354"</f>
        <v>09-0354</v>
      </c>
      <c r="D5154" s="8">
        <v>39961</v>
      </c>
      <c r="F5154" s="8">
        <v>39961</v>
      </c>
      <c r="G5154" s="8">
        <v>39962</v>
      </c>
      <c r="Y5154" s="8"/>
    </row>
    <row r="5155" spans="1:25" x14ac:dyDescent="0.25">
      <c r="A5155" t="str">
        <f>"09-0355"</f>
        <v>09-0355</v>
      </c>
      <c r="D5155" s="8">
        <v>39961</v>
      </c>
      <c r="F5155" s="8">
        <v>39961</v>
      </c>
      <c r="G5155" s="8">
        <v>39961</v>
      </c>
      <c r="Y5155" s="8"/>
    </row>
    <row r="5156" spans="1:25" x14ac:dyDescent="0.25">
      <c r="A5156" t="str">
        <f>"09-0356"</f>
        <v>09-0356</v>
      </c>
      <c r="D5156" s="8">
        <v>39961</v>
      </c>
      <c r="F5156" s="8">
        <v>39961</v>
      </c>
      <c r="G5156" s="8">
        <v>39962</v>
      </c>
      <c r="Y5156" s="8"/>
    </row>
    <row r="5157" spans="1:25" x14ac:dyDescent="0.25">
      <c r="A5157" t="str">
        <f>"09-0357"</f>
        <v>09-0357</v>
      </c>
      <c r="D5157" s="8">
        <v>39961</v>
      </c>
      <c r="F5157" s="8">
        <v>39961</v>
      </c>
      <c r="G5157" s="8">
        <v>39961</v>
      </c>
      <c r="Y5157" s="8"/>
    </row>
    <row r="5158" spans="1:25" x14ac:dyDescent="0.25">
      <c r="A5158" t="str">
        <f>"09-0358"</f>
        <v>09-0358</v>
      </c>
      <c r="D5158" s="8">
        <v>39961</v>
      </c>
      <c r="F5158" s="8">
        <v>39961</v>
      </c>
      <c r="G5158" s="8">
        <v>39962</v>
      </c>
      <c r="Y5158" s="8"/>
    </row>
    <row r="5159" spans="1:25" x14ac:dyDescent="0.25">
      <c r="A5159" t="str">
        <f>"09-0359"</f>
        <v>09-0359</v>
      </c>
      <c r="D5159" s="8">
        <v>39961</v>
      </c>
      <c r="F5159" s="8">
        <v>39961</v>
      </c>
      <c r="G5159" s="8">
        <v>39961</v>
      </c>
      <c r="Y5159" s="8"/>
    </row>
    <row r="5160" spans="1:25" x14ac:dyDescent="0.25">
      <c r="A5160" t="str">
        <f>"09-0274B"</f>
        <v>09-0274B</v>
      </c>
      <c r="D5160" s="8">
        <v>39960</v>
      </c>
      <c r="F5160" s="8">
        <v>39960</v>
      </c>
      <c r="G5160" s="8">
        <v>39960</v>
      </c>
      <c r="Y5160" s="8"/>
    </row>
    <row r="5161" spans="1:25" x14ac:dyDescent="0.25">
      <c r="A5161" t="str">
        <f>"09-0338B"</f>
        <v>09-0338B</v>
      </c>
      <c r="D5161" s="8">
        <v>39960</v>
      </c>
      <c r="F5161" s="8">
        <v>39960</v>
      </c>
      <c r="G5161" s="8">
        <v>39960</v>
      </c>
      <c r="Y5161" s="8"/>
    </row>
    <row r="5162" spans="1:25" x14ac:dyDescent="0.25">
      <c r="A5162" t="str">
        <f>"09-0052F"</f>
        <v>09-0052F</v>
      </c>
      <c r="D5162" s="8">
        <v>39959</v>
      </c>
      <c r="F5162" s="8">
        <v>39959</v>
      </c>
      <c r="G5162" s="8">
        <v>39960</v>
      </c>
      <c r="Y5162" s="8"/>
    </row>
    <row r="5163" spans="1:25" x14ac:dyDescent="0.25">
      <c r="A5163" t="str">
        <f>"09-0346"</f>
        <v>09-0346</v>
      </c>
      <c r="D5163" s="8">
        <v>39958</v>
      </c>
      <c r="F5163" s="8">
        <v>39958</v>
      </c>
      <c r="G5163" s="8">
        <v>39958</v>
      </c>
      <c r="Y5163" s="8"/>
    </row>
    <row r="5164" spans="1:25" x14ac:dyDescent="0.25">
      <c r="A5164" t="str">
        <f>"09-0347"</f>
        <v>09-0347</v>
      </c>
      <c r="D5164" s="8">
        <v>39958</v>
      </c>
      <c r="F5164" s="8">
        <v>39958</v>
      </c>
      <c r="G5164" s="8">
        <v>39958</v>
      </c>
      <c r="Y5164" s="8"/>
    </row>
    <row r="5165" spans="1:25" x14ac:dyDescent="0.25">
      <c r="A5165" t="str">
        <f>"09-0348"</f>
        <v>09-0348</v>
      </c>
      <c r="D5165" s="8">
        <v>39958</v>
      </c>
      <c r="F5165" s="8">
        <v>39958</v>
      </c>
      <c r="G5165" s="8">
        <v>39958</v>
      </c>
      <c r="Y5165" s="8"/>
    </row>
    <row r="5166" spans="1:25" x14ac:dyDescent="0.25">
      <c r="A5166" t="str">
        <f>"09-0349"</f>
        <v>09-0349</v>
      </c>
      <c r="D5166" s="8">
        <v>39958</v>
      </c>
      <c r="F5166" s="8">
        <v>39958</v>
      </c>
      <c r="G5166" s="8">
        <v>39958</v>
      </c>
      <c r="Y5166" s="8"/>
    </row>
    <row r="5167" spans="1:25" x14ac:dyDescent="0.25">
      <c r="A5167" t="str">
        <f>"09-0350"</f>
        <v>09-0350</v>
      </c>
      <c r="D5167" s="8">
        <v>39958</v>
      </c>
      <c r="F5167" s="8">
        <v>39958</v>
      </c>
      <c r="G5167" s="8">
        <v>39958</v>
      </c>
      <c r="Y5167" s="8"/>
    </row>
    <row r="5168" spans="1:25" x14ac:dyDescent="0.25">
      <c r="A5168" t="str">
        <f>"09-0351"</f>
        <v>09-0351</v>
      </c>
      <c r="D5168" s="8">
        <v>39958</v>
      </c>
      <c r="F5168" s="8">
        <v>39958</v>
      </c>
      <c r="G5168" s="8">
        <v>39958</v>
      </c>
      <c r="Y5168" s="8"/>
    </row>
    <row r="5169" spans="1:25" x14ac:dyDescent="0.25">
      <c r="A5169" t="str">
        <f>"09-0352"</f>
        <v>09-0352</v>
      </c>
      <c r="D5169" s="8">
        <v>39958</v>
      </c>
      <c r="F5169" s="8">
        <v>39958</v>
      </c>
      <c r="G5169" s="8">
        <v>39958</v>
      </c>
      <c r="Y5169" s="8"/>
    </row>
    <row r="5170" spans="1:25" x14ac:dyDescent="0.25">
      <c r="A5170" t="str">
        <f>"09-0341"</f>
        <v>09-0341</v>
      </c>
      <c r="D5170" s="8">
        <v>39953</v>
      </c>
      <c r="F5170" s="8">
        <v>39953</v>
      </c>
      <c r="G5170" s="8">
        <v>39958</v>
      </c>
      <c r="Y5170" s="8"/>
    </row>
    <row r="5171" spans="1:25" x14ac:dyDescent="0.25">
      <c r="A5171" t="str">
        <f>"09-0342"</f>
        <v>09-0342</v>
      </c>
      <c r="D5171" s="8">
        <v>39953</v>
      </c>
      <c r="F5171" s="8">
        <v>39961</v>
      </c>
      <c r="G5171" s="8">
        <v>39962</v>
      </c>
      <c r="Y5171" s="8"/>
    </row>
    <row r="5172" spans="1:25" x14ac:dyDescent="0.25">
      <c r="A5172" t="str">
        <f>"09-0343"</f>
        <v>09-0343</v>
      </c>
      <c r="D5172" s="8">
        <v>39953</v>
      </c>
      <c r="F5172" s="8">
        <v>39953</v>
      </c>
      <c r="G5172" s="8">
        <v>39953</v>
      </c>
      <c r="Y5172" s="8"/>
    </row>
    <row r="5173" spans="1:25" x14ac:dyDescent="0.25">
      <c r="A5173" t="str">
        <f>"09-0344"</f>
        <v>09-0344</v>
      </c>
      <c r="D5173" s="8">
        <v>39953</v>
      </c>
      <c r="F5173" s="8">
        <v>39953</v>
      </c>
      <c r="G5173" s="8">
        <v>39953</v>
      </c>
      <c r="Y5173" s="8"/>
    </row>
    <row r="5174" spans="1:25" x14ac:dyDescent="0.25">
      <c r="A5174" t="str">
        <f>"09-0345"</f>
        <v>09-0345</v>
      </c>
      <c r="D5174" s="8">
        <v>39953</v>
      </c>
      <c r="F5174" s="8">
        <v>39953</v>
      </c>
      <c r="G5174" s="8">
        <v>39953</v>
      </c>
      <c r="Y5174" s="8"/>
    </row>
    <row r="5175" spans="1:25" x14ac:dyDescent="0.25">
      <c r="A5175" t="str">
        <f>"09-0340"</f>
        <v>09-0340</v>
      </c>
      <c r="D5175" s="8">
        <v>39952</v>
      </c>
      <c r="F5175" s="8">
        <v>39953</v>
      </c>
      <c r="G5175" s="8">
        <v>39953</v>
      </c>
      <c r="Y5175" s="8"/>
    </row>
    <row r="5176" spans="1:25" x14ac:dyDescent="0.25">
      <c r="A5176" t="str">
        <f>"09-0337"</f>
        <v>09-0337</v>
      </c>
      <c r="D5176" s="8">
        <v>39951</v>
      </c>
      <c r="F5176" s="8">
        <v>39951</v>
      </c>
      <c r="G5176" s="8">
        <v>39951</v>
      </c>
      <c r="Y5176" s="8"/>
    </row>
    <row r="5177" spans="1:25" x14ac:dyDescent="0.25">
      <c r="A5177" t="str">
        <f>"09-0338"</f>
        <v>09-0338</v>
      </c>
      <c r="D5177" s="8">
        <v>39951</v>
      </c>
      <c r="F5177" s="8">
        <v>39952</v>
      </c>
      <c r="G5177" s="8">
        <v>39952</v>
      </c>
      <c r="Y5177" s="8"/>
    </row>
    <row r="5178" spans="1:25" x14ac:dyDescent="0.25">
      <c r="A5178" t="str">
        <f>"09-0336"</f>
        <v>09-0336</v>
      </c>
      <c r="D5178" s="8">
        <v>39948</v>
      </c>
      <c r="F5178" s="8">
        <v>39993</v>
      </c>
      <c r="G5178" s="8">
        <v>39959</v>
      </c>
      <c r="Y5178" s="8"/>
    </row>
    <row r="5179" spans="1:25" x14ac:dyDescent="0.25">
      <c r="A5179" t="str">
        <f>"09-0309B"</f>
        <v>09-0309B</v>
      </c>
      <c r="D5179" s="8">
        <v>39947</v>
      </c>
      <c r="F5179" s="8">
        <v>39947</v>
      </c>
      <c r="G5179" s="8">
        <v>39947</v>
      </c>
      <c r="Y5179" s="8"/>
    </row>
    <row r="5180" spans="1:25" x14ac:dyDescent="0.25">
      <c r="A5180" t="str">
        <f>"09-0309C"</f>
        <v>09-0309C</v>
      </c>
      <c r="D5180" s="8">
        <v>39947</v>
      </c>
      <c r="F5180" s="8">
        <v>40338</v>
      </c>
      <c r="G5180" s="8">
        <v>39947</v>
      </c>
      <c r="Y5180" s="8"/>
    </row>
    <row r="5181" spans="1:25" x14ac:dyDescent="0.25">
      <c r="A5181" t="str">
        <f>"09-0312B"</f>
        <v>09-0312B</v>
      </c>
      <c r="D5181" s="8">
        <v>39947</v>
      </c>
      <c r="F5181" s="8">
        <v>39947</v>
      </c>
      <c r="G5181" s="8">
        <v>39947</v>
      </c>
      <c r="Y5181" s="8"/>
    </row>
    <row r="5182" spans="1:25" x14ac:dyDescent="0.25">
      <c r="A5182" t="str">
        <f>"09-0331"</f>
        <v>09-0331</v>
      </c>
      <c r="D5182" s="8">
        <v>39947</v>
      </c>
      <c r="F5182" s="8">
        <v>39947</v>
      </c>
      <c r="G5182" s="8">
        <v>39947</v>
      </c>
      <c r="Y5182" s="8"/>
    </row>
    <row r="5183" spans="1:25" x14ac:dyDescent="0.25">
      <c r="A5183" t="str">
        <f>"09-0332"</f>
        <v>09-0332</v>
      </c>
      <c r="D5183" s="8">
        <v>39947</v>
      </c>
      <c r="F5183" s="8">
        <v>39947</v>
      </c>
      <c r="G5183" s="8">
        <v>39947</v>
      </c>
      <c r="Y5183" s="8"/>
    </row>
    <row r="5184" spans="1:25" x14ac:dyDescent="0.25">
      <c r="A5184" t="str">
        <f>"09-0333"</f>
        <v>09-0333</v>
      </c>
      <c r="D5184" s="8">
        <v>39947</v>
      </c>
      <c r="F5184" s="8">
        <v>39947</v>
      </c>
      <c r="G5184" s="8">
        <v>39947</v>
      </c>
      <c r="Y5184" s="8"/>
    </row>
    <row r="5185" spans="1:25" x14ac:dyDescent="0.25">
      <c r="A5185" t="str">
        <f>"09-0334"</f>
        <v>09-0334</v>
      </c>
      <c r="D5185" s="8">
        <v>39947</v>
      </c>
      <c r="F5185" s="8">
        <v>39959</v>
      </c>
      <c r="G5185" s="8">
        <v>39946</v>
      </c>
      <c r="Y5185" s="8"/>
    </row>
    <row r="5186" spans="1:25" x14ac:dyDescent="0.25">
      <c r="A5186" t="str">
        <f>"09-0334B"</f>
        <v>09-0334B</v>
      </c>
      <c r="D5186" s="8">
        <v>39947</v>
      </c>
      <c r="F5186" s="8">
        <v>39947</v>
      </c>
      <c r="G5186" s="8">
        <v>39947</v>
      </c>
      <c r="Y5186" s="8"/>
    </row>
    <row r="5187" spans="1:25" x14ac:dyDescent="0.25">
      <c r="A5187" t="str">
        <f>"09-0335"</f>
        <v>09-0335</v>
      </c>
      <c r="D5187" s="8">
        <v>39947</v>
      </c>
      <c r="F5187" s="8">
        <v>39947</v>
      </c>
      <c r="G5187" s="8">
        <v>39947</v>
      </c>
      <c r="Y5187" s="8"/>
    </row>
    <row r="5188" spans="1:25" x14ac:dyDescent="0.25">
      <c r="A5188" t="str">
        <f>"09-0324"</f>
        <v>09-0324</v>
      </c>
      <c r="D5188" s="8">
        <v>39946</v>
      </c>
      <c r="F5188" s="8">
        <v>39946</v>
      </c>
      <c r="G5188" s="8">
        <v>39946</v>
      </c>
      <c r="Y5188" s="8"/>
    </row>
    <row r="5189" spans="1:25" x14ac:dyDescent="0.25">
      <c r="A5189" t="str">
        <f>"09-0325"</f>
        <v>09-0325</v>
      </c>
      <c r="D5189" s="8">
        <v>39946</v>
      </c>
      <c r="F5189" s="8">
        <v>39946</v>
      </c>
      <c r="G5189" s="8">
        <v>39946</v>
      </c>
      <c r="Y5189" s="8"/>
    </row>
    <row r="5190" spans="1:25" x14ac:dyDescent="0.25">
      <c r="A5190" t="str">
        <f>"09-0326"</f>
        <v>09-0326</v>
      </c>
      <c r="D5190" s="8">
        <v>39946</v>
      </c>
      <c r="F5190" s="8">
        <v>39946</v>
      </c>
      <c r="G5190" s="8">
        <v>39946</v>
      </c>
      <c r="Y5190" s="8"/>
    </row>
    <row r="5191" spans="1:25" x14ac:dyDescent="0.25">
      <c r="A5191" t="str">
        <f>"09-0327"</f>
        <v>09-0327</v>
      </c>
      <c r="D5191" s="8">
        <v>39946</v>
      </c>
      <c r="F5191" s="8">
        <v>39947</v>
      </c>
      <c r="G5191" s="8">
        <v>39947</v>
      </c>
      <c r="Y5191" s="8"/>
    </row>
    <row r="5192" spans="1:25" x14ac:dyDescent="0.25">
      <c r="A5192" t="str">
        <f>"09-0328"</f>
        <v>09-0328</v>
      </c>
      <c r="D5192" s="8">
        <v>39946</v>
      </c>
      <c r="F5192" s="8">
        <v>39946</v>
      </c>
      <c r="G5192" s="8">
        <v>39947</v>
      </c>
      <c r="Y5192" s="8"/>
    </row>
    <row r="5193" spans="1:25" x14ac:dyDescent="0.25">
      <c r="A5193" t="str">
        <f>"09-0329"</f>
        <v>09-0329</v>
      </c>
      <c r="D5193" s="8">
        <v>39946</v>
      </c>
      <c r="F5193" s="8">
        <v>39947</v>
      </c>
      <c r="G5193" s="8">
        <v>39947</v>
      </c>
      <c r="Y5193" s="8"/>
    </row>
    <row r="5194" spans="1:25" x14ac:dyDescent="0.25">
      <c r="A5194" t="str">
        <f>"09-0330"</f>
        <v>09-0330</v>
      </c>
      <c r="D5194" s="8">
        <v>39946</v>
      </c>
      <c r="F5194" s="8">
        <v>39946</v>
      </c>
      <c r="G5194" s="8">
        <v>39946</v>
      </c>
      <c r="Y5194" s="8"/>
    </row>
    <row r="5195" spans="1:25" x14ac:dyDescent="0.25">
      <c r="A5195" t="str">
        <f>"09-0214C"</f>
        <v>09-0214C</v>
      </c>
      <c r="D5195" s="8">
        <v>39945</v>
      </c>
      <c r="F5195" s="8">
        <v>39945</v>
      </c>
      <c r="G5195" s="8">
        <v>39945</v>
      </c>
      <c r="Y5195" s="8"/>
    </row>
    <row r="5196" spans="1:25" x14ac:dyDescent="0.25">
      <c r="A5196" t="str">
        <f>"09-0319"</f>
        <v>09-0319</v>
      </c>
      <c r="D5196" s="8">
        <v>39945</v>
      </c>
      <c r="F5196" s="8">
        <v>39951</v>
      </c>
      <c r="G5196" s="8">
        <v>39948</v>
      </c>
      <c r="Y5196" s="8"/>
    </row>
    <row r="5197" spans="1:25" x14ac:dyDescent="0.25">
      <c r="A5197" t="str">
        <f>"09-0320"</f>
        <v>09-0320</v>
      </c>
      <c r="D5197" s="8">
        <v>39945</v>
      </c>
      <c r="F5197" s="8">
        <v>39945</v>
      </c>
      <c r="G5197" s="8">
        <v>39945</v>
      </c>
      <c r="Y5197" s="8"/>
    </row>
    <row r="5198" spans="1:25" x14ac:dyDescent="0.25">
      <c r="A5198" t="str">
        <f>"09-0321"</f>
        <v>09-0321</v>
      </c>
      <c r="D5198" s="8">
        <v>39945</v>
      </c>
      <c r="F5198" s="8">
        <v>39945</v>
      </c>
      <c r="G5198" s="8">
        <v>39945</v>
      </c>
      <c r="Y5198" s="8"/>
    </row>
    <row r="5199" spans="1:25" x14ac:dyDescent="0.25">
      <c r="A5199" t="str">
        <f>"09-0322"</f>
        <v>09-0322</v>
      </c>
      <c r="D5199" s="8">
        <v>39945</v>
      </c>
      <c r="F5199" s="8">
        <v>39945</v>
      </c>
      <c r="G5199" s="8">
        <v>39945</v>
      </c>
      <c r="Y5199" s="8"/>
    </row>
    <row r="5200" spans="1:25" x14ac:dyDescent="0.25">
      <c r="A5200" t="str">
        <f>"09-0323"</f>
        <v>09-0323</v>
      </c>
      <c r="D5200" s="8">
        <v>39945</v>
      </c>
      <c r="F5200" s="8">
        <v>39945</v>
      </c>
      <c r="G5200" s="8">
        <v>39945</v>
      </c>
      <c r="Y5200" s="8"/>
    </row>
    <row r="5201" spans="1:25" x14ac:dyDescent="0.25">
      <c r="A5201" t="str">
        <f>"09-0052E"</f>
        <v>09-0052E</v>
      </c>
      <c r="D5201" s="8">
        <v>39944</v>
      </c>
      <c r="F5201" s="8">
        <v>39944</v>
      </c>
      <c r="G5201" s="8">
        <v>39944</v>
      </c>
      <c r="Y5201" s="8"/>
    </row>
    <row r="5202" spans="1:25" x14ac:dyDescent="0.25">
      <c r="A5202" t="str">
        <f>"09-0214B"</f>
        <v>09-0214B</v>
      </c>
      <c r="D5202" s="8">
        <v>39944</v>
      </c>
      <c r="F5202" s="8">
        <v>39945</v>
      </c>
      <c r="G5202" s="8">
        <v>39944</v>
      </c>
      <c r="Y5202" s="8"/>
    </row>
    <row r="5203" spans="1:25" x14ac:dyDescent="0.25">
      <c r="A5203" t="str">
        <f>"09-0317"</f>
        <v>09-0317</v>
      </c>
      <c r="D5203" s="8">
        <v>39944</v>
      </c>
      <c r="F5203" s="8">
        <v>39960</v>
      </c>
      <c r="G5203" s="8">
        <v>39960</v>
      </c>
      <c r="Y5203" s="8"/>
    </row>
    <row r="5204" spans="1:25" x14ac:dyDescent="0.25">
      <c r="A5204" t="str">
        <f>"09-0318"</f>
        <v>09-0318</v>
      </c>
      <c r="D5204" s="8">
        <v>39944</v>
      </c>
      <c r="F5204" s="8">
        <v>39944</v>
      </c>
      <c r="G5204" s="8">
        <v>39945</v>
      </c>
      <c r="Y5204" s="8"/>
    </row>
    <row r="5205" spans="1:25" x14ac:dyDescent="0.25">
      <c r="A5205" t="str">
        <f>"09-0315"</f>
        <v>09-0315</v>
      </c>
      <c r="D5205" s="8">
        <v>39940</v>
      </c>
      <c r="F5205" s="8">
        <v>39940</v>
      </c>
      <c r="G5205" s="8">
        <v>39940</v>
      </c>
      <c r="Y5205" s="8"/>
    </row>
    <row r="5206" spans="1:25" x14ac:dyDescent="0.25">
      <c r="A5206" t="str">
        <f>"09-0316"</f>
        <v>09-0316</v>
      </c>
      <c r="D5206" s="8">
        <v>39940</v>
      </c>
      <c r="F5206" s="8">
        <v>39940</v>
      </c>
      <c r="G5206" s="8">
        <v>39940</v>
      </c>
      <c r="Y5206" s="8"/>
    </row>
    <row r="5207" spans="1:25" x14ac:dyDescent="0.25">
      <c r="A5207" t="str">
        <f>"09-0255B"</f>
        <v>09-0255B</v>
      </c>
      <c r="D5207" s="8">
        <v>39939</v>
      </c>
      <c r="F5207" s="8">
        <v>39939</v>
      </c>
      <c r="G5207" s="8">
        <v>39939</v>
      </c>
      <c r="Y5207" s="8"/>
    </row>
    <row r="5208" spans="1:25" x14ac:dyDescent="0.25">
      <c r="A5208" t="str">
        <f>"09-0262D"</f>
        <v>09-0262D</v>
      </c>
      <c r="D5208" s="8">
        <v>39939</v>
      </c>
      <c r="F5208" s="8">
        <v>39939</v>
      </c>
      <c r="G5208" s="8">
        <v>39939</v>
      </c>
      <c r="Y5208" s="8"/>
    </row>
    <row r="5209" spans="1:25" x14ac:dyDescent="0.25">
      <c r="A5209" t="str">
        <f>"09-0262E"</f>
        <v>09-0262E</v>
      </c>
      <c r="D5209" s="8">
        <v>39939</v>
      </c>
      <c r="F5209" s="8">
        <v>39939</v>
      </c>
      <c r="G5209" s="8">
        <v>39939</v>
      </c>
      <c r="Y5209" s="8"/>
    </row>
    <row r="5210" spans="1:25" x14ac:dyDescent="0.25">
      <c r="A5210" t="str">
        <f>"09-0314"</f>
        <v>09-0314</v>
      </c>
      <c r="D5210" s="8">
        <v>39939</v>
      </c>
      <c r="F5210" s="8">
        <v>39944</v>
      </c>
      <c r="G5210" s="8">
        <v>39940</v>
      </c>
      <c r="Y5210" s="8"/>
    </row>
    <row r="5211" spans="1:25" x14ac:dyDescent="0.25">
      <c r="A5211" t="str">
        <f>"09-0304B"</f>
        <v>09-0304B</v>
      </c>
      <c r="D5211" s="8">
        <v>39938</v>
      </c>
      <c r="F5211" s="8">
        <v>39938</v>
      </c>
      <c r="G5211" s="8">
        <v>39938</v>
      </c>
      <c r="Y5211" s="8"/>
    </row>
    <row r="5212" spans="1:25" x14ac:dyDescent="0.25">
      <c r="A5212" t="str">
        <f>"09-0313"</f>
        <v>09-0313</v>
      </c>
      <c r="D5212" s="8">
        <v>39938</v>
      </c>
      <c r="F5212" s="8">
        <v>39938</v>
      </c>
      <c r="G5212" s="8">
        <v>39944</v>
      </c>
      <c r="Y5212" s="8"/>
    </row>
    <row r="5213" spans="1:25" x14ac:dyDescent="0.25">
      <c r="A5213" t="str">
        <f>"08-0959C"</f>
        <v>08-0959C</v>
      </c>
      <c r="D5213" s="8">
        <v>39937</v>
      </c>
      <c r="F5213" s="8">
        <v>41344</v>
      </c>
      <c r="G5213" s="8">
        <v>39937</v>
      </c>
      <c r="Y5213" s="8"/>
    </row>
    <row r="5214" spans="1:25" x14ac:dyDescent="0.25">
      <c r="A5214" t="str">
        <f>"09-0292"</f>
        <v>09-0292</v>
      </c>
      <c r="D5214" s="8">
        <v>39937</v>
      </c>
      <c r="F5214" s="8">
        <v>40914</v>
      </c>
      <c r="G5214" s="8">
        <v>39937</v>
      </c>
      <c r="Y5214" s="8"/>
    </row>
    <row r="5215" spans="1:25" x14ac:dyDescent="0.25">
      <c r="A5215" t="str">
        <f>"09-0295B"</f>
        <v>09-0295B</v>
      </c>
      <c r="D5215" s="8">
        <v>39937</v>
      </c>
      <c r="F5215" s="8">
        <v>39937</v>
      </c>
      <c r="G5215" s="8">
        <v>39937</v>
      </c>
      <c r="Y5215" s="8"/>
    </row>
    <row r="5216" spans="1:25" x14ac:dyDescent="0.25">
      <c r="A5216" t="str">
        <f>"09-0309"</f>
        <v>09-0309</v>
      </c>
      <c r="D5216" s="8">
        <v>39937</v>
      </c>
      <c r="F5216" s="8">
        <v>40338</v>
      </c>
      <c r="G5216" s="8">
        <v>39941</v>
      </c>
      <c r="Y5216" s="8"/>
    </row>
    <row r="5217" spans="1:25" x14ac:dyDescent="0.25">
      <c r="A5217" t="str">
        <f>"09-0312"</f>
        <v>09-0312</v>
      </c>
      <c r="D5217" s="8">
        <v>39937</v>
      </c>
      <c r="F5217" s="8">
        <v>39937</v>
      </c>
      <c r="G5217" s="8">
        <v>39937</v>
      </c>
      <c r="Y5217" s="8"/>
    </row>
    <row r="5218" spans="1:25" x14ac:dyDescent="0.25">
      <c r="A5218" t="str">
        <f>"09-0262C"</f>
        <v>09-0262C</v>
      </c>
      <c r="D5218" s="8">
        <v>39933</v>
      </c>
      <c r="F5218" s="8">
        <v>39933</v>
      </c>
      <c r="G5218" s="8">
        <v>39933</v>
      </c>
      <c r="Y5218" s="8"/>
    </row>
    <row r="5219" spans="1:25" x14ac:dyDescent="0.25">
      <c r="A5219" t="str">
        <f>"09-0304"</f>
        <v>09-0304</v>
      </c>
      <c r="D5219" s="8">
        <v>39933</v>
      </c>
      <c r="F5219" s="8">
        <v>39933</v>
      </c>
      <c r="G5219" s="8">
        <v>39933</v>
      </c>
      <c r="Y5219" s="8"/>
    </row>
    <row r="5220" spans="1:25" x14ac:dyDescent="0.25">
      <c r="A5220" t="str">
        <f>"09-0305"</f>
        <v>09-0305</v>
      </c>
      <c r="D5220" s="8">
        <v>39933</v>
      </c>
      <c r="F5220" s="8">
        <v>39933</v>
      </c>
      <c r="G5220" s="8">
        <v>39933</v>
      </c>
      <c r="Y5220" s="8"/>
    </row>
    <row r="5221" spans="1:25" x14ac:dyDescent="0.25">
      <c r="A5221" t="str">
        <f>"09-0306"</f>
        <v>09-0306</v>
      </c>
      <c r="D5221" s="8">
        <v>39933</v>
      </c>
      <c r="F5221" s="8">
        <v>39933</v>
      </c>
      <c r="G5221" s="8">
        <v>39933</v>
      </c>
      <c r="Y5221" s="8"/>
    </row>
    <row r="5222" spans="1:25" x14ac:dyDescent="0.25">
      <c r="A5222" t="str">
        <f>"09-0307"</f>
        <v>09-0307</v>
      </c>
      <c r="D5222" s="8">
        <v>39933</v>
      </c>
      <c r="F5222" s="8">
        <v>39933</v>
      </c>
      <c r="G5222" s="8">
        <v>39933</v>
      </c>
      <c r="Y5222" s="8"/>
    </row>
    <row r="5223" spans="1:25" x14ac:dyDescent="0.25">
      <c r="A5223" t="str">
        <f>"09-0308"</f>
        <v>09-0308</v>
      </c>
      <c r="D5223" s="8">
        <v>39933</v>
      </c>
      <c r="F5223" s="8">
        <v>39933</v>
      </c>
      <c r="G5223" s="8">
        <v>39933</v>
      </c>
      <c r="Y5223" s="8"/>
    </row>
    <row r="5224" spans="1:25" x14ac:dyDescent="0.25">
      <c r="A5224" t="str">
        <f>"09-0310"</f>
        <v>09-0310</v>
      </c>
      <c r="D5224" s="8">
        <v>39933</v>
      </c>
      <c r="F5224" s="8">
        <v>39980</v>
      </c>
      <c r="G5224" s="8">
        <v>39933</v>
      </c>
      <c r="Y5224" s="8"/>
    </row>
    <row r="5225" spans="1:25" x14ac:dyDescent="0.25">
      <c r="A5225" t="str">
        <f>"09-0295"</f>
        <v>09-0295</v>
      </c>
      <c r="D5225" s="8">
        <v>39932</v>
      </c>
      <c r="F5225" s="8">
        <v>39937</v>
      </c>
      <c r="G5225" s="8">
        <v>39932</v>
      </c>
      <c r="Y5225" s="8"/>
    </row>
    <row r="5226" spans="1:25" x14ac:dyDescent="0.25">
      <c r="A5226" t="str">
        <f>"09-0296"</f>
        <v>09-0296</v>
      </c>
      <c r="D5226" s="8">
        <v>39932</v>
      </c>
      <c r="F5226" s="8">
        <v>39944</v>
      </c>
      <c r="G5226" s="8">
        <v>39932</v>
      </c>
      <c r="Y5226" s="8"/>
    </row>
    <row r="5227" spans="1:25" x14ac:dyDescent="0.25">
      <c r="A5227" t="str">
        <f>"09-0297"</f>
        <v>09-0297</v>
      </c>
      <c r="D5227" s="8">
        <v>39932</v>
      </c>
      <c r="F5227" s="8">
        <v>39932</v>
      </c>
      <c r="G5227" s="8">
        <v>39932</v>
      </c>
      <c r="Y5227" s="8"/>
    </row>
    <row r="5228" spans="1:25" x14ac:dyDescent="0.25">
      <c r="A5228" t="str">
        <f>"09-0298"</f>
        <v>09-0298</v>
      </c>
      <c r="D5228" s="8">
        <v>39932</v>
      </c>
      <c r="G5228" s="8">
        <v>39933</v>
      </c>
    </row>
    <row r="5229" spans="1:25" x14ac:dyDescent="0.25">
      <c r="A5229" t="str">
        <f>"09-0299"</f>
        <v>09-0299</v>
      </c>
      <c r="D5229" s="8">
        <v>39932</v>
      </c>
      <c r="F5229" s="8">
        <v>39932</v>
      </c>
      <c r="G5229" s="8">
        <v>39932</v>
      </c>
      <c r="Y5229" s="8"/>
    </row>
    <row r="5230" spans="1:25" x14ac:dyDescent="0.25">
      <c r="A5230" t="str">
        <f>"09-0300"</f>
        <v>09-0300</v>
      </c>
      <c r="D5230" s="8">
        <v>39932</v>
      </c>
      <c r="F5230" s="8">
        <v>39933</v>
      </c>
      <c r="G5230" s="8">
        <v>39932</v>
      </c>
      <c r="Y5230" s="8"/>
    </row>
    <row r="5231" spans="1:25" x14ac:dyDescent="0.25">
      <c r="A5231" t="str">
        <f>"09-0301"</f>
        <v>09-0301</v>
      </c>
      <c r="D5231" s="8">
        <v>39932</v>
      </c>
      <c r="F5231" s="8">
        <v>39932</v>
      </c>
      <c r="G5231" s="8">
        <v>39932</v>
      </c>
      <c r="Y5231" s="8"/>
    </row>
    <row r="5232" spans="1:25" x14ac:dyDescent="0.25">
      <c r="A5232" t="str">
        <f>"09-0302"</f>
        <v>09-0302</v>
      </c>
      <c r="D5232" s="8">
        <v>39932</v>
      </c>
      <c r="F5232" s="8">
        <v>39932</v>
      </c>
      <c r="G5232" s="8">
        <v>39932</v>
      </c>
      <c r="Y5232" s="8"/>
    </row>
    <row r="5233" spans="1:25" x14ac:dyDescent="0.25">
      <c r="A5233" t="str">
        <f>"09-0303"</f>
        <v>09-0303</v>
      </c>
      <c r="D5233" s="8">
        <v>39932</v>
      </c>
      <c r="F5233" s="8">
        <v>39932</v>
      </c>
      <c r="G5233" s="8">
        <v>39933</v>
      </c>
      <c r="Y5233" s="8"/>
    </row>
    <row r="5234" spans="1:25" x14ac:dyDescent="0.25">
      <c r="A5234" t="str">
        <f>"09-0284B"</f>
        <v>09-0284B</v>
      </c>
      <c r="D5234" s="8">
        <v>39931</v>
      </c>
      <c r="F5234" s="8">
        <v>39931</v>
      </c>
      <c r="G5234" s="8">
        <v>39931</v>
      </c>
      <c r="Y5234" s="8"/>
    </row>
    <row r="5235" spans="1:25" x14ac:dyDescent="0.25">
      <c r="A5235" t="str">
        <f>"09-0293"</f>
        <v>09-0293</v>
      </c>
      <c r="D5235" s="8">
        <v>39931</v>
      </c>
      <c r="F5235" s="8">
        <v>39939</v>
      </c>
      <c r="G5235" s="8">
        <v>39932</v>
      </c>
      <c r="Y5235" s="8"/>
    </row>
    <row r="5236" spans="1:25" x14ac:dyDescent="0.25">
      <c r="A5236" t="str">
        <f>"09-0294"</f>
        <v>09-0294</v>
      </c>
      <c r="D5236" s="8">
        <v>39931</v>
      </c>
      <c r="F5236" s="8">
        <v>39931</v>
      </c>
      <c r="G5236" s="8">
        <v>39931</v>
      </c>
      <c r="Y5236" s="8"/>
    </row>
    <row r="5237" spans="1:25" x14ac:dyDescent="0.25">
      <c r="A5237" t="str">
        <f>"09-0290"</f>
        <v>09-0290</v>
      </c>
      <c r="D5237" s="8">
        <v>39930</v>
      </c>
      <c r="F5237" s="8">
        <v>39930</v>
      </c>
      <c r="G5237" s="8">
        <v>39930</v>
      </c>
      <c r="Y5237" s="8"/>
    </row>
    <row r="5238" spans="1:25" x14ac:dyDescent="0.25">
      <c r="A5238" t="str">
        <f>"09-0291"</f>
        <v>09-0291</v>
      </c>
      <c r="D5238" s="8">
        <v>39930</v>
      </c>
      <c r="F5238" s="8">
        <v>39930</v>
      </c>
      <c r="G5238" s="8">
        <v>39930</v>
      </c>
      <c r="Y5238" s="8"/>
    </row>
    <row r="5239" spans="1:25" x14ac:dyDescent="0.25">
      <c r="A5239" t="str">
        <f>"09-0289"</f>
        <v>09-0289</v>
      </c>
      <c r="D5239" s="8">
        <v>39929</v>
      </c>
      <c r="F5239" s="8">
        <v>39980</v>
      </c>
      <c r="G5239" s="8">
        <v>39929</v>
      </c>
      <c r="Y5239" s="8"/>
    </row>
    <row r="5240" spans="1:25" x14ac:dyDescent="0.25">
      <c r="A5240" t="str">
        <f>"09-0287"</f>
        <v>09-0287</v>
      </c>
      <c r="D5240" s="8">
        <v>39928</v>
      </c>
      <c r="F5240" s="8">
        <v>39928</v>
      </c>
      <c r="G5240" s="8">
        <v>39928</v>
      </c>
      <c r="Y5240" s="8"/>
    </row>
    <row r="5241" spans="1:25" x14ac:dyDescent="0.25">
      <c r="A5241" t="str">
        <f>"09-0288"</f>
        <v>09-0288</v>
      </c>
      <c r="D5241" s="8">
        <v>39928</v>
      </c>
      <c r="F5241" s="8">
        <v>39928</v>
      </c>
      <c r="G5241" s="8">
        <v>39928</v>
      </c>
      <c r="Y5241" s="8"/>
    </row>
    <row r="5242" spans="1:25" x14ac:dyDescent="0.25">
      <c r="A5242" t="str">
        <f>"09-0052D"</f>
        <v>09-0052D</v>
      </c>
      <c r="D5242" s="8">
        <v>39927</v>
      </c>
      <c r="F5242" s="8">
        <v>39927</v>
      </c>
      <c r="G5242" s="8">
        <v>39927</v>
      </c>
      <c r="Y5242" s="8"/>
    </row>
    <row r="5243" spans="1:25" x14ac:dyDescent="0.25">
      <c r="A5243" t="str">
        <f>"09-0262B"</f>
        <v>09-0262B</v>
      </c>
      <c r="D5243" s="8">
        <v>39927</v>
      </c>
      <c r="F5243" s="8">
        <v>39927</v>
      </c>
      <c r="G5243" s="8">
        <v>39927</v>
      </c>
      <c r="Y5243" s="8"/>
    </row>
    <row r="5244" spans="1:25" x14ac:dyDescent="0.25">
      <c r="A5244" t="str">
        <f>"09-0283"</f>
        <v>09-0283</v>
      </c>
      <c r="D5244" s="8">
        <v>39927</v>
      </c>
      <c r="F5244" s="8">
        <v>39927</v>
      </c>
      <c r="G5244" s="8">
        <v>39927</v>
      </c>
      <c r="Y5244" s="8"/>
    </row>
    <row r="5245" spans="1:25" x14ac:dyDescent="0.25">
      <c r="A5245" t="str">
        <f>"09-0284"</f>
        <v>09-0284</v>
      </c>
      <c r="D5245" s="8">
        <v>39927</v>
      </c>
      <c r="F5245" s="8">
        <v>39927</v>
      </c>
      <c r="G5245" s="8">
        <v>39927</v>
      </c>
      <c r="Y5245" s="8"/>
    </row>
    <row r="5246" spans="1:25" x14ac:dyDescent="0.25">
      <c r="A5246" t="str">
        <f>"09-0285"</f>
        <v>09-0285</v>
      </c>
      <c r="D5246" s="8">
        <v>39927</v>
      </c>
      <c r="F5246" s="8">
        <v>39927</v>
      </c>
      <c r="G5246" s="8">
        <v>39927</v>
      </c>
      <c r="Y5246" s="8"/>
    </row>
    <row r="5247" spans="1:25" x14ac:dyDescent="0.25">
      <c r="A5247" t="str">
        <f>"09-0286"</f>
        <v>09-0286</v>
      </c>
      <c r="D5247" s="8">
        <v>39927</v>
      </c>
      <c r="F5247" s="8">
        <v>40499</v>
      </c>
      <c r="G5247" s="8">
        <v>39927</v>
      </c>
      <c r="Y5247" s="8"/>
    </row>
    <row r="5248" spans="1:25" x14ac:dyDescent="0.25">
      <c r="A5248" t="str">
        <f>"09-0280"</f>
        <v>09-0280</v>
      </c>
      <c r="D5248" s="8">
        <v>39926</v>
      </c>
      <c r="F5248" s="8">
        <v>39926</v>
      </c>
      <c r="G5248" s="8">
        <v>39926</v>
      </c>
      <c r="Y5248" s="8"/>
    </row>
    <row r="5249" spans="1:25" x14ac:dyDescent="0.25">
      <c r="A5249" t="str">
        <f>"09-0281"</f>
        <v>09-0281</v>
      </c>
      <c r="D5249" s="8">
        <v>39926</v>
      </c>
      <c r="F5249" s="8">
        <v>39926</v>
      </c>
      <c r="G5249" s="8">
        <v>39927</v>
      </c>
      <c r="Y5249" s="8"/>
    </row>
    <row r="5250" spans="1:25" x14ac:dyDescent="0.25">
      <c r="A5250" t="str">
        <f>"09-0282"</f>
        <v>09-0282</v>
      </c>
      <c r="D5250" s="8">
        <v>39926</v>
      </c>
      <c r="F5250" s="8">
        <v>39926</v>
      </c>
      <c r="G5250" s="8">
        <v>39926</v>
      </c>
      <c r="Y5250" s="8"/>
    </row>
    <row r="5251" spans="1:25" x14ac:dyDescent="0.25">
      <c r="A5251" t="str">
        <f>"09-0278"</f>
        <v>09-0278</v>
      </c>
      <c r="D5251" s="8">
        <v>39924</v>
      </c>
      <c r="F5251" s="8">
        <v>39924</v>
      </c>
      <c r="G5251" s="8">
        <v>39924</v>
      </c>
      <c r="Y5251" s="8"/>
    </row>
    <row r="5252" spans="1:25" x14ac:dyDescent="0.25">
      <c r="A5252" t="str">
        <f>"09-0279"</f>
        <v>09-0279</v>
      </c>
      <c r="D5252" s="8">
        <v>39924</v>
      </c>
      <c r="F5252" s="8">
        <v>39924</v>
      </c>
      <c r="G5252" s="8">
        <v>39928</v>
      </c>
      <c r="Y5252" s="8"/>
    </row>
    <row r="5253" spans="1:25" x14ac:dyDescent="0.25">
      <c r="A5253" t="str">
        <f>"09-0042B"</f>
        <v>09-0042B</v>
      </c>
      <c r="D5253" s="8">
        <v>39923</v>
      </c>
      <c r="F5253" s="8">
        <v>39923</v>
      </c>
      <c r="G5253" s="8">
        <v>39923</v>
      </c>
      <c r="Y5253" s="8"/>
    </row>
    <row r="5254" spans="1:25" x14ac:dyDescent="0.25">
      <c r="A5254" t="str">
        <f>"09-0277"</f>
        <v>09-0277</v>
      </c>
      <c r="D5254" s="8">
        <v>39923</v>
      </c>
      <c r="F5254" s="8">
        <v>39923</v>
      </c>
      <c r="G5254" s="8">
        <v>39926</v>
      </c>
      <c r="Y5254" s="8"/>
    </row>
    <row r="5255" spans="1:25" x14ac:dyDescent="0.25">
      <c r="A5255" t="str">
        <f>"09-0271B"</f>
        <v>09-0271B</v>
      </c>
      <c r="D5255" s="8">
        <v>39920</v>
      </c>
      <c r="F5255" s="8">
        <v>39920</v>
      </c>
      <c r="G5255" s="8">
        <v>39920</v>
      </c>
      <c r="Y5255" s="8"/>
    </row>
    <row r="5256" spans="1:25" x14ac:dyDescent="0.25">
      <c r="A5256" t="str">
        <f>"09-0273"</f>
        <v>09-0273</v>
      </c>
      <c r="D5256" s="8">
        <v>39920</v>
      </c>
      <c r="F5256" s="8">
        <v>39920</v>
      </c>
      <c r="G5256" s="8">
        <v>39920</v>
      </c>
      <c r="Y5256" s="8"/>
    </row>
    <row r="5257" spans="1:25" x14ac:dyDescent="0.25">
      <c r="A5257" t="str">
        <f>"09-0274"</f>
        <v>09-0274</v>
      </c>
      <c r="D5257" s="8">
        <v>39920</v>
      </c>
      <c r="F5257" s="8">
        <v>39920</v>
      </c>
      <c r="G5257" s="8">
        <v>39920</v>
      </c>
      <c r="Y5257" s="8"/>
    </row>
    <row r="5258" spans="1:25" x14ac:dyDescent="0.25">
      <c r="A5258" t="str">
        <f>"09-0275"</f>
        <v>09-0275</v>
      </c>
      <c r="D5258" s="8">
        <v>39920</v>
      </c>
      <c r="F5258" s="8">
        <v>39920</v>
      </c>
      <c r="G5258" s="8">
        <v>39923</v>
      </c>
      <c r="Y5258" s="8"/>
    </row>
    <row r="5259" spans="1:25" x14ac:dyDescent="0.25">
      <c r="A5259" t="str">
        <f>"09-0276"</f>
        <v>09-0276</v>
      </c>
      <c r="D5259" s="8">
        <v>39920</v>
      </c>
      <c r="F5259" s="8">
        <v>39920</v>
      </c>
      <c r="G5259" s="8">
        <v>39920</v>
      </c>
      <c r="Y5259" s="8"/>
    </row>
    <row r="5260" spans="1:25" x14ac:dyDescent="0.25">
      <c r="A5260" t="str">
        <f>"09-0269"</f>
        <v>09-0269</v>
      </c>
      <c r="D5260" s="8">
        <v>39918</v>
      </c>
      <c r="F5260" s="8">
        <v>39918</v>
      </c>
      <c r="G5260" s="8">
        <v>39918</v>
      </c>
      <c r="Y5260" s="8"/>
    </row>
    <row r="5261" spans="1:25" x14ac:dyDescent="0.25">
      <c r="A5261" t="str">
        <f>"09-0270"</f>
        <v>09-0270</v>
      </c>
      <c r="D5261" s="8">
        <v>39918</v>
      </c>
      <c r="F5261" s="8">
        <v>39918</v>
      </c>
      <c r="G5261" s="8">
        <v>39920</v>
      </c>
      <c r="Y5261" s="8"/>
    </row>
    <row r="5262" spans="1:25" x14ac:dyDescent="0.25">
      <c r="A5262" t="str">
        <f>"09-0271"</f>
        <v>09-0271</v>
      </c>
      <c r="D5262" s="8">
        <v>39918</v>
      </c>
      <c r="F5262" s="8">
        <v>39918</v>
      </c>
      <c r="G5262" s="8">
        <v>39918</v>
      </c>
      <c r="Y5262" s="8"/>
    </row>
    <row r="5263" spans="1:25" x14ac:dyDescent="0.25">
      <c r="A5263" t="str">
        <f>"09-0265B"</f>
        <v>09-0265B</v>
      </c>
      <c r="D5263" s="8">
        <v>39917</v>
      </c>
      <c r="F5263" s="8">
        <v>39917</v>
      </c>
      <c r="G5263" s="8">
        <v>39917</v>
      </c>
      <c r="Y5263" s="8"/>
    </row>
    <row r="5264" spans="1:25" x14ac:dyDescent="0.25">
      <c r="A5264" t="str">
        <f>"09-0266"</f>
        <v>09-0266</v>
      </c>
      <c r="D5264" s="8">
        <v>39917</v>
      </c>
      <c r="F5264" s="8">
        <v>39917</v>
      </c>
      <c r="G5264" s="8">
        <v>39917</v>
      </c>
      <c r="Y5264" s="8"/>
    </row>
    <row r="5265" spans="1:25" x14ac:dyDescent="0.25">
      <c r="A5265" t="str">
        <f>"09-0267"</f>
        <v>09-0267</v>
      </c>
      <c r="D5265" s="8">
        <v>39917</v>
      </c>
      <c r="F5265" s="8">
        <v>39917</v>
      </c>
      <c r="G5265" s="8">
        <v>39917</v>
      </c>
      <c r="Y5265" s="8"/>
    </row>
    <row r="5266" spans="1:25" x14ac:dyDescent="0.25">
      <c r="A5266" t="str">
        <f>"09-0268"</f>
        <v>09-0268</v>
      </c>
      <c r="D5266" s="8">
        <v>39917</v>
      </c>
      <c r="F5266" s="8">
        <v>39917</v>
      </c>
      <c r="G5266" s="8">
        <v>39917</v>
      </c>
      <c r="Y5266" s="8"/>
    </row>
    <row r="5267" spans="1:25" x14ac:dyDescent="0.25">
      <c r="A5267" t="str">
        <f>"09-0264"</f>
        <v>09-0264</v>
      </c>
      <c r="D5267" s="8">
        <v>39913</v>
      </c>
      <c r="F5267" s="8">
        <v>39913</v>
      </c>
      <c r="G5267" s="8">
        <v>39913</v>
      </c>
      <c r="Y5267" s="8"/>
    </row>
    <row r="5268" spans="1:25" x14ac:dyDescent="0.25">
      <c r="A5268" t="str">
        <f>"09-0265"</f>
        <v>09-0265</v>
      </c>
      <c r="D5268" s="8">
        <v>39913</v>
      </c>
      <c r="F5268" s="8">
        <v>39913</v>
      </c>
      <c r="G5268" s="8">
        <v>39918</v>
      </c>
      <c r="Y5268" s="8"/>
    </row>
    <row r="5269" spans="1:25" x14ac:dyDescent="0.25">
      <c r="A5269" t="str">
        <f>"09-0262"</f>
        <v>09-0262</v>
      </c>
      <c r="D5269" s="8">
        <v>39912</v>
      </c>
      <c r="F5269" s="8">
        <v>39912</v>
      </c>
      <c r="G5269" s="8">
        <v>39918</v>
      </c>
      <c r="Y5269" s="8"/>
    </row>
    <row r="5270" spans="1:25" x14ac:dyDescent="0.25">
      <c r="A5270" t="str">
        <f>"09-0263"</f>
        <v>09-0263</v>
      </c>
      <c r="D5270" s="8">
        <v>39912</v>
      </c>
      <c r="F5270" s="8">
        <v>39912</v>
      </c>
      <c r="G5270" s="8">
        <v>39914</v>
      </c>
      <c r="Y5270" s="8"/>
    </row>
    <row r="5271" spans="1:25" x14ac:dyDescent="0.25">
      <c r="A5271" t="str">
        <f>"09-0254"</f>
        <v>09-0254</v>
      </c>
      <c r="D5271" s="8">
        <v>39911</v>
      </c>
      <c r="F5271" s="8">
        <v>39911</v>
      </c>
      <c r="G5271" s="8">
        <v>39911</v>
      </c>
      <c r="Y5271" s="8"/>
    </row>
    <row r="5272" spans="1:25" x14ac:dyDescent="0.25">
      <c r="A5272" t="str">
        <f>"09-0255"</f>
        <v>09-0255</v>
      </c>
      <c r="D5272" s="8">
        <v>39911</v>
      </c>
      <c r="F5272" s="8">
        <v>39911</v>
      </c>
      <c r="G5272" s="8">
        <v>39911</v>
      </c>
      <c r="Y5272" s="8"/>
    </row>
    <row r="5273" spans="1:25" x14ac:dyDescent="0.25">
      <c r="A5273" t="str">
        <f>"09-0256"</f>
        <v>09-0256</v>
      </c>
      <c r="D5273" s="8">
        <v>39911</v>
      </c>
      <c r="F5273" s="8">
        <v>39911</v>
      </c>
      <c r="G5273" s="8">
        <v>39911</v>
      </c>
      <c r="Y5273" s="8"/>
    </row>
    <row r="5274" spans="1:25" x14ac:dyDescent="0.25">
      <c r="A5274" t="str">
        <f>"09-0257"</f>
        <v>09-0257</v>
      </c>
      <c r="D5274" s="8">
        <v>39911</v>
      </c>
      <c r="F5274" s="8">
        <v>39917</v>
      </c>
      <c r="G5274" s="8">
        <v>39913</v>
      </c>
      <c r="Y5274" s="8"/>
    </row>
    <row r="5275" spans="1:25" x14ac:dyDescent="0.25">
      <c r="A5275" t="str">
        <f>"09-0248"</f>
        <v>09-0248</v>
      </c>
      <c r="D5275" s="8">
        <v>39910</v>
      </c>
      <c r="F5275" s="8">
        <v>39913</v>
      </c>
      <c r="G5275" s="8">
        <v>39912</v>
      </c>
      <c r="Y5275" s="8"/>
    </row>
    <row r="5276" spans="1:25" x14ac:dyDescent="0.25">
      <c r="A5276" t="str">
        <f>"09-0249"</f>
        <v>09-0249</v>
      </c>
      <c r="D5276" s="8">
        <v>39910</v>
      </c>
      <c r="F5276" s="8">
        <v>39910</v>
      </c>
      <c r="G5276" s="8">
        <v>39910</v>
      </c>
      <c r="Y5276" s="8"/>
    </row>
    <row r="5277" spans="1:25" x14ac:dyDescent="0.25">
      <c r="A5277" t="str">
        <f>"09-0250"</f>
        <v>09-0250</v>
      </c>
      <c r="D5277" s="8">
        <v>39910</v>
      </c>
      <c r="F5277" s="8">
        <v>39910</v>
      </c>
      <c r="G5277" s="8">
        <v>39911</v>
      </c>
      <c r="Y5277" s="8"/>
    </row>
    <row r="5278" spans="1:25" x14ac:dyDescent="0.25">
      <c r="A5278" t="str">
        <f>"09-0252"</f>
        <v>09-0252</v>
      </c>
      <c r="D5278" s="8">
        <v>39910</v>
      </c>
      <c r="F5278" s="8">
        <v>39910</v>
      </c>
      <c r="G5278" s="8">
        <v>39910</v>
      </c>
      <c r="Y5278" s="8"/>
    </row>
    <row r="5279" spans="1:25" x14ac:dyDescent="0.25">
      <c r="A5279" t="str">
        <f>"09-0253"</f>
        <v>09-0253</v>
      </c>
      <c r="D5279" s="8">
        <v>39910</v>
      </c>
      <c r="F5279" s="8">
        <v>39910</v>
      </c>
      <c r="G5279" s="8">
        <v>39910</v>
      </c>
      <c r="Y5279" s="8"/>
    </row>
    <row r="5280" spans="1:25" x14ac:dyDescent="0.25">
      <c r="A5280" t="str">
        <f>"09-0244"</f>
        <v>09-0244</v>
      </c>
      <c r="D5280" s="8">
        <v>39909</v>
      </c>
      <c r="F5280" s="8">
        <v>39909</v>
      </c>
      <c r="G5280" s="8">
        <v>39909</v>
      </c>
      <c r="Y5280" s="8"/>
    </row>
    <row r="5281" spans="1:25" x14ac:dyDescent="0.25">
      <c r="A5281" t="str">
        <f>"09-0245"</f>
        <v>09-0245</v>
      </c>
      <c r="D5281" s="8">
        <v>39909</v>
      </c>
      <c r="F5281" s="8">
        <v>39909</v>
      </c>
      <c r="G5281" s="8">
        <v>39909</v>
      </c>
      <c r="Y5281" s="8"/>
    </row>
    <row r="5282" spans="1:25" x14ac:dyDescent="0.25">
      <c r="A5282" t="str">
        <f>"09-0246"</f>
        <v>09-0246</v>
      </c>
      <c r="D5282" s="8">
        <v>39909</v>
      </c>
      <c r="F5282" s="8">
        <v>39909</v>
      </c>
      <c r="G5282" s="8">
        <v>39909</v>
      </c>
      <c r="Y5282" s="8"/>
    </row>
    <row r="5283" spans="1:25" x14ac:dyDescent="0.25">
      <c r="A5283" t="str">
        <f>"09-0247"</f>
        <v>09-0247</v>
      </c>
      <c r="D5283" s="8">
        <v>39909</v>
      </c>
      <c r="F5283" s="8">
        <v>39909</v>
      </c>
      <c r="G5283" s="8">
        <v>39909</v>
      </c>
      <c r="Y5283" s="8"/>
    </row>
    <row r="5284" spans="1:25" x14ac:dyDescent="0.25">
      <c r="A5284" t="str">
        <f>"09-0239"</f>
        <v>09-0239</v>
      </c>
      <c r="D5284" s="8">
        <v>39906</v>
      </c>
      <c r="F5284" s="8">
        <v>39906</v>
      </c>
      <c r="G5284" s="8">
        <v>39906</v>
      </c>
      <c r="Y5284" s="8"/>
    </row>
    <row r="5285" spans="1:25" x14ac:dyDescent="0.25">
      <c r="A5285" t="str">
        <f>"09-0240"</f>
        <v>09-0240</v>
      </c>
      <c r="D5285" s="8">
        <v>39906</v>
      </c>
      <c r="F5285" s="8">
        <v>39906</v>
      </c>
      <c r="G5285" s="8">
        <v>39906</v>
      </c>
      <c r="Y5285" s="8"/>
    </row>
    <row r="5286" spans="1:25" x14ac:dyDescent="0.25">
      <c r="A5286" t="str">
        <f>"09-0241"</f>
        <v>09-0241</v>
      </c>
      <c r="D5286" s="8">
        <v>39906</v>
      </c>
      <c r="F5286" s="8">
        <v>39906</v>
      </c>
      <c r="G5286" s="8">
        <v>39906</v>
      </c>
      <c r="Y5286" s="8"/>
    </row>
    <row r="5287" spans="1:25" x14ac:dyDescent="0.25">
      <c r="A5287" t="str">
        <f>"09-0242"</f>
        <v>09-0242</v>
      </c>
      <c r="D5287" s="8">
        <v>39906</v>
      </c>
      <c r="F5287" s="8">
        <v>39906</v>
      </c>
      <c r="G5287" s="8">
        <v>39911</v>
      </c>
      <c r="Y5287" s="8"/>
    </row>
    <row r="5288" spans="1:25" x14ac:dyDescent="0.25">
      <c r="A5288" t="str">
        <f>"09-0243"</f>
        <v>09-0243</v>
      </c>
      <c r="D5288" s="8">
        <v>39906</v>
      </c>
      <c r="F5288" s="8">
        <v>39906</v>
      </c>
      <c r="G5288" s="8">
        <v>39906</v>
      </c>
      <c r="Y5288" s="8"/>
    </row>
    <row r="5289" spans="1:25" x14ac:dyDescent="0.25">
      <c r="A5289" t="str">
        <f>"09-0238"</f>
        <v>09-0238</v>
      </c>
      <c r="D5289" s="8">
        <v>39905</v>
      </c>
      <c r="F5289" s="8">
        <v>39905</v>
      </c>
      <c r="G5289" s="8">
        <v>39906</v>
      </c>
      <c r="Y5289" s="8"/>
    </row>
    <row r="5290" spans="1:25" x14ac:dyDescent="0.25">
      <c r="A5290" t="str">
        <f>"09-0052C"</f>
        <v>09-0052C</v>
      </c>
      <c r="D5290" s="8">
        <v>39904</v>
      </c>
      <c r="F5290" s="8">
        <v>39904</v>
      </c>
      <c r="G5290" s="8">
        <v>39904</v>
      </c>
      <c r="Y5290" s="8"/>
    </row>
    <row r="5291" spans="1:25" x14ac:dyDescent="0.25">
      <c r="A5291" t="str">
        <f>"09-0230"</f>
        <v>09-0230</v>
      </c>
      <c r="D5291" s="8">
        <v>39904</v>
      </c>
      <c r="F5291" s="8">
        <v>39904</v>
      </c>
      <c r="G5291" s="8">
        <v>39904</v>
      </c>
      <c r="Y5291" s="8"/>
    </row>
    <row r="5292" spans="1:25" x14ac:dyDescent="0.25">
      <c r="A5292" t="str">
        <f>"09-0232"</f>
        <v>09-0232</v>
      </c>
      <c r="D5292" s="8">
        <v>39904</v>
      </c>
      <c r="F5292" s="8">
        <v>39905</v>
      </c>
      <c r="G5292" s="8">
        <v>39906</v>
      </c>
      <c r="Y5292" s="8"/>
    </row>
    <row r="5293" spans="1:25" x14ac:dyDescent="0.25">
      <c r="A5293" t="str">
        <f>"09-0233"</f>
        <v>09-0233</v>
      </c>
      <c r="D5293" s="8">
        <v>39904</v>
      </c>
      <c r="F5293" s="8">
        <v>39904</v>
      </c>
      <c r="G5293" s="8">
        <v>39913</v>
      </c>
      <c r="Y5293" s="8"/>
    </row>
    <row r="5294" spans="1:25" x14ac:dyDescent="0.25">
      <c r="A5294" t="str">
        <f>"09-0234"</f>
        <v>09-0234</v>
      </c>
      <c r="D5294" s="8">
        <v>39904</v>
      </c>
      <c r="F5294" s="8">
        <v>39904</v>
      </c>
      <c r="G5294" s="8">
        <v>39904</v>
      </c>
      <c r="Y5294" s="8"/>
    </row>
    <row r="5295" spans="1:25" x14ac:dyDescent="0.25">
      <c r="A5295" t="str">
        <f>"09-0235"</f>
        <v>09-0235</v>
      </c>
      <c r="D5295" s="8">
        <v>39904</v>
      </c>
      <c r="F5295" s="8">
        <v>39904</v>
      </c>
      <c r="G5295" s="8">
        <v>39905</v>
      </c>
      <c r="Y5295" s="8"/>
    </row>
    <row r="5296" spans="1:25" x14ac:dyDescent="0.25">
      <c r="A5296" t="str">
        <f>"09-0236"</f>
        <v>09-0236</v>
      </c>
      <c r="D5296" s="8">
        <v>39904</v>
      </c>
      <c r="F5296" s="8">
        <v>39904</v>
      </c>
      <c r="G5296" s="8">
        <v>39904</v>
      </c>
      <c r="Y5296" s="8"/>
    </row>
    <row r="5297" spans="1:25" x14ac:dyDescent="0.25">
      <c r="A5297" t="str">
        <f>"09-0237"</f>
        <v>09-0237</v>
      </c>
      <c r="D5297" s="8">
        <v>39904</v>
      </c>
      <c r="F5297" s="8">
        <v>39904</v>
      </c>
      <c r="G5297" s="8">
        <v>39904</v>
      </c>
      <c r="Y5297" s="8"/>
    </row>
    <row r="5298" spans="1:25" x14ac:dyDescent="0.25">
      <c r="A5298" t="str">
        <f>"09-0227"</f>
        <v>09-0227</v>
      </c>
      <c r="D5298" s="8">
        <v>39903</v>
      </c>
      <c r="F5298" s="8">
        <v>39903</v>
      </c>
      <c r="G5298" s="8">
        <v>39903</v>
      </c>
      <c r="Y5298" s="8"/>
    </row>
    <row r="5299" spans="1:25" x14ac:dyDescent="0.25">
      <c r="A5299" t="str">
        <f>"09-0228"</f>
        <v>09-0228</v>
      </c>
      <c r="D5299" s="8">
        <v>39903</v>
      </c>
      <c r="F5299" s="8">
        <v>39903</v>
      </c>
      <c r="G5299" s="8">
        <v>39903</v>
      </c>
      <c r="Y5299" s="8"/>
    </row>
    <row r="5300" spans="1:25" x14ac:dyDescent="0.25">
      <c r="A5300" t="str">
        <f>"09-0229"</f>
        <v>09-0229</v>
      </c>
      <c r="D5300" s="8">
        <v>39903</v>
      </c>
      <c r="F5300" s="8">
        <v>39903</v>
      </c>
      <c r="G5300" s="8">
        <v>39903</v>
      </c>
      <c r="Y5300" s="8"/>
    </row>
    <row r="5301" spans="1:25" x14ac:dyDescent="0.25">
      <c r="A5301" t="str">
        <f>"09-0231"</f>
        <v>09-0231</v>
      </c>
      <c r="D5301" s="8">
        <v>39903</v>
      </c>
      <c r="F5301" s="8">
        <v>39904</v>
      </c>
      <c r="G5301" s="8">
        <v>39903</v>
      </c>
      <c r="Y5301" s="8"/>
    </row>
    <row r="5302" spans="1:25" x14ac:dyDescent="0.25">
      <c r="A5302" t="str">
        <f>"09-0224"</f>
        <v>09-0224</v>
      </c>
      <c r="D5302" s="8">
        <v>39902</v>
      </c>
      <c r="F5302" s="8">
        <v>39902</v>
      </c>
      <c r="G5302" s="8">
        <v>39902</v>
      </c>
      <c r="Y5302" s="8"/>
    </row>
    <row r="5303" spans="1:25" x14ac:dyDescent="0.25">
      <c r="A5303" t="str">
        <f>"09-0225"</f>
        <v>09-0225</v>
      </c>
      <c r="D5303" s="8">
        <v>39902</v>
      </c>
      <c r="F5303" s="8">
        <v>39902</v>
      </c>
      <c r="G5303" s="8">
        <v>39902</v>
      </c>
      <c r="Y5303" s="8"/>
    </row>
    <row r="5304" spans="1:25" x14ac:dyDescent="0.25">
      <c r="A5304" t="str">
        <f>"09-0226"</f>
        <v>09-0226</v>
      </c>
      <c r="D5304" s="8">
        <v>39902</v>
      </c>
      <c r="F5304" s="8">
        <v>39980</v>
      </c>
      <c r="G5304" s="8">
        <v>39902</v>
      </c>
      <c r="Y5304" s="8"/>
    </row>
    <row r="5305" spans="1:25" x14ac:dyDescent="0.25">
      <c r="A5305" t="str">
        <f>"09-0223"</f>
        <v>09-0223</v>
      </c>
      <c r="D5305" s="8">
        <v>39899</v>
      </c>
      <c r="F5305" s="8">
        <v>39899</v>
      </c>
      <c r="G5305" s="8">
        <v>39929</v>
      </c>
      <c r="Y5305" s="8"/>
    </row>
    <row r="5306" spans="1:25" x14ac:dyDescent="0.25">
      <c r="A5306" t="str">
        <f>"09-0221"</f>
        <v>09-0221</v>
      </c>
      <c r="D5306" s="8">
        <v>39898</v>
      </c>
      <c r="G5306" s="8">
        <v>39899</v>
      </c>
    </row>
    <row r="5307" spans="1:25" x14ac:dyDescent="0.25">
      <c r="A5307" t="str">
        <f>"09-0222"</f>
        <v>09-0222</v>
      </c>
      <c r="D5307" s="8">
        <v>39898</v>
      </c>
      <c r="F5307" s="8">
        <v>39898</v>
      </c>
      <c r="G5307" s="8">
        <v>39892</v>
      </c>
      <c r="Y5307" s="8"/>
    </row>
    <row r="5308" spans="1:25" x14ac:dyDescent="0.25">
      <c r="A5308" t="str">
        <f>"09-0218"</f>
        <v>09-0218</v>
      </c>
      <c r="D5308" s="8">
        <v>39897</v>
      </c>
      <c r="F5308" s="8">
        <v>39897</v>
      </c>
      <c r="G5308" s="8">
        <v>39897</v>
      </c>
      <c r="Y5308" s="8"/>
    </row>
    <row r="5309" spans="1:25" x14ac:dyDescent="0.25">
      <c r="A5309" t="str">
        <f>"09-0219"</f>
        <v>09-0219</v>
      </c>
      <c r="D5309" s="8">
        <v>39897</v>
      </c>
      <c r="F5309" s="8">
        <v>39897</v>
      </c>
      <c r="G5309" s="8">
        <v>39898</v>
      </c>
      <c r="Y5309" s="8"/>
    </row>
    <row r="5310" spans="1:25" x14ac:dyDescent="0.25">
      <c r="A5310" t="str">
        <f>"09-0220"</f>
        <v>09-0220</v>
      </c>
      <c r="D5310" s="8">
        <v>39897</v>
      </c>
      <c r="F5310" s="8">
        <v>39897</v>
      </c>
      <c r="G5310" s="8">
        <v>39897</v>
      </c>
      <c r="Y5310" s="8"/>
    </row>
    <row r="5311" spans="1:25" x14ac:dyDescent="0.25">
      <c r="A5311" t="str">
        <f>"08-0889B"</f>
        <v>08-0889B</v>
      </c>
      <c r="D5311" s="8">
        <v>39896</v>
      </c>
      <c r="F5311" s="8">
        <v>39896</v>
      </c>
      <c r="G5311" s="8">
        <v>39896</v>
      </c>
      <c r="Y5311" s="8"/>
    </row>
    <row r="5312" spans="1:25" x14ac:dyDescent="0.25">
      <c r="A5312" t="str">
        <f>"09-0215"</f>
        <v>09-0215</v>
      </c>
      <c r="D5312" s="8">
        <v>39896</v>
      </c>
      <c r="F5312" s="8">
        <v>39896</v>
      </c>
      <c r="G5312" s="8">
        <v>39896</v>
      </c>
      <c r="Y5312" s="8"/>
    </row>
    <row r="5313" spans="1:25" x14ac:dyDescent="0.25">
      <c r="A5313" t="str">
        <f>"09-0216"</f>
        <v>09-0216</v>
      </c>
      <c r="D5313" s="8">
        <v>39896</v>
      </c>
      <c r="F5313" s="8">
        <v>39896</v>
      </c>
      <c r="G5313" s="8">
        <v>39901</v>
      </c>
      <c r="Y5313" s="8"/>
    </row>
    <row r="5314" spans="1:25" x14ac:dyDescent="0.25">
      <c r="A5314" t="str">
        <f>"09-0217"</f>
        <v>09-0217</v>
      </c>
      <c r="D5314" s="8">
        <v>39896</v>
      </c>
      <c r="F5314" s="8">
        <v>39945</v>
      </c>
      <c r="G5314" s="8">
        <v>39896</v>
      </c>
      <c r="Y5314" s="8"/>
    </row>
    <row r="5315" spans="1:25" x14ac:dyDescent="0.25">
      <c r="A5315" t="str">
        <f>"09-0167B"</f>
        <v>09-0167B</v>
      </c>
      <c r="D5315" s="8">
        <v>39895</v>
      </c>
      <c r="F5315" s="8">
        <v>39897</v>
      </c>
      <c r="G5315" s="8">
        <v>39895</v>
      </c>
      <c r="Y5315" s="8"/>
    </row>
    <row r="5316" spans="1:25" x14ac:dyDescent="0.25">
      <c r="A5316" t="str">
        <f>"09-0200B"</f>
        <v>09-0200B</v>
      </c>
      <c r="D5316" s="8">
        <v>39895</v>
      </c>
      <c r="F5316" s="8">
        <v>39895</v>
      </c>
      <c r="G5316" s="8">
        <v>39895</v>
      </c>
      <c r="Y5316" s="8"/>
    </row>
    <row r="5317" spans="1:25" x14ac:dyDescent="0.25">
      <c r="A5317" t="str">
        <f>"09-0211"</f>
        <v>09-0211</v>
      </c>
      <c r="D5317" s="8">
        <v>39895</v>
      </c>
      <c r="F5317" s="8">
        <v>39899</v>
      </c>
      <c r="G5317" s="8">
        <v>39901</v>
      </c>
      <c r="Y5317" s="8"/>
    </row>
    <row r="5318" spans="1:25" x14ac:dyDescent="0.25">
      <c r="A5318" t="str">
        <f>"09-0212"</f>
        <v>09-0212</v>
      </c>
      <c r="D5318" s="8">
        <v>39895</v>
      </c>
      <c r="F5318" s="8">
        <v>39895</v>
      </c>
      <c r="G5318" s="8">
        <v>39895</v>
      </c>
      <c r="Y5318" s="8"/>
    </row>
    <row r="5319" spans="1:25" x14ac:dyDescent="0.25">
      <c r="A5319" t="str">
        <f>"09-0213"</f>
        <v>09-0213</v>
      </c>
      <c r="D5319" s="8">
        <v>39895</v>
      </c>
      <c r="F5319" s="8">
        <v>39895</v>
      </c>
      <c r="G5319" s="8">
        <v>39895</v>
      </c>
      <c r="Y5319" s="8"/>
    </row>
    <row r="5320" spans="1:25" x14ac:dyDescent="0.25">
      <c r="A5320" t="str">
        <f>"09-0214"</f>
        <v>09-0214</v>
      </c>
      <c r="D5320" s="8">
        <v>39895</v>
      </c>
      <c r="F5320" s="8">
        <v>40043</v>
      </c>
      <c r="G5320" s="8">
        <v>39897</v>
      </c>
      <c r="Y5320" s="8"/>
    </row>
    <row r="5321" spans="1:25" x14ac:dyDescent="0.25">
      <c r="A5321" t="str">
        <f>"09-0207"</f>
        <v>09-0207</v>
      </c>
      <c r="D5321" s="8">
        <v>39892</v>
      </c>
      <c r="F5321" s="8">
        <v>39892</v>
      </c>
      <c r="G5321" s="8">
        <v>39892</v>
      </c>
      <c r="Y5321" s="8"/>
    </row>
    <row r="5322" spans="1:25" x14ac:dyDescent="0.25">
      <c r="A5322" t="str">
        <f>"09-0208"</f>
        <v>09-0208</v>
      </c>
      <c r="D5322" s="8">
        <v>39892</v>
      </c>
      <c r="F5322" s="8">
        <v>39892</v>
      </c>
      <c r="G5322" s="8">
        <v>39892</v>
      </c>
      <c r="Y5322" s="8"/>
    </row>
    <row r="5323" spans="1:25" x14ac:dyDescent="0.25">
      <c r="A5323" t="str">
        <f>"09-0209"</f>
        <v>09-0209</v>
      </c>
      <c r="D5323" s="8">
        <v>39892</v>
      </c>
      <c r="F5323" s="8">
        <v>39892</v>
      </c>
      <c r="G5323" s="8">
        <v>39892</v>
      </c>
      <c r="Y5323" s="8"/>
    </row>
    <row r="5324" spans="1:25" x14ac:dyDescent="0.25">
      <c r="A5324" t="str">
        <f>"09-0206"</f>
        <v>09-0206</v>
      </c>
      <c r="D5324" s="8">
        <v>39891</v>
      </c>
      <c r="F5324" s="8">
        <v>39891</v>
      </c>
      <c r="G5324" s="8">
        <v>39891</v>
      </c>
      <c r="Y5324" s="8"/>
    </row>
    <row r="5325" spans="1:25" x14ac:dyDescent="0.25">
      <c r="A5325" t="str">
        <f>"09-0202"</f>
        <v>09-0202</v>
      </c>
      <c r="D5325" s="8">
        <v>39890</v>
      </c>
      <c r="F5325" s="8">
        <v>39890</v>
      </c>
      <c r="G5325" s="8">
        <v>39890</v>
      </c>
      <c r="Y5325" s="8"/>
    </row>
    <row r="5326" spans="1:25" x14ac:dyDescent="0.25">
      <c r="A5326" t="str">
        <f>"09-0203"</f>
        <v>09-0203</v>
      </c>
      <c r="D5326" s="8">
        <v>39890</v>
      </c>
      <c r="F5326" s="8">
        <v>39890</v>
      </c>
      <c r="G5326" s="8">
        <v>39888</v>
      </c>
      <c r="Y5326" s="8"/>
    </row>
    <row r="5327" spans="1:25" x14ac:dyDescent="0.25">
      <c r="A5327" t="str">
        <f>"09-0204"</f>
        <v>09-0204</v>
      </c>
      <c r="D5327" s="8">
        <v>39890</v>
      </c>
      <c r="F5327" s="8">
        <v>39890</v>
      </c>
      <c r="G5327" s="8">
        <v>39892</v>
      </c>
      <c r="Y5327" s="8"/>
    </row>
    <row r="5328" spans="1:25" x14ac:dyDescent="0.25">
      <c r="A5328" t="str">
        <f>"09-0205"</f>
        <v>09-0205</v>
      </c>
      <c r="D5328" s="8">
        <v>39890</v>
      </c>
      <c r="F5328" s="8">
        <v>39890</v>
      </c>
      <c r="G5328" s="8">
        <v>39890</v>
      </c>
      <c r="Y5328" s="8"/>
    </row>
    <row r="5329" spans="1:25" x14ac:dyDescent="0.25">
      <c r="A5329" t="str">
        <f>"09-0200"</f>
        <v>09-0200</v>
      </c>
      <c r="D5329" s="8">
        <v>39889</v>
      </c>
      <c r="F5329" s="8">
        <v>39889</v>
      </c>
      <c r="G5329" s="8">
        <v>39890</v>
      </c>
      <c r="Y5329" s="8"/>
    </row>
    <row r="5330" spans="1:25" x14ac:dyDescent="0.25">
      <c r="A5330" t="str">
        <f>"09-0201"</f>
        <v>09-0201</v>
      </c>
      <c r="D5330" s="8">
        <v>39889</v>
      </c>
      <c r="F5330" s="8">
        <v>39889</v>
      </c>
      <c r="G5330" s="8">
        <v>39889</v>
      </c>
      <c r="Y5330" s="8"/>
    </row>
    <row r="5331" spans="1:25" x14ac:dyDescent="0.25">
      <c r="A5331" t="str">
        <f>"09-0090B"</f>
        <v>09-0090B</v>
      </c>
      <c r="D5331" s="8">
        <v>39888</v>
      </c>
      <c r="F5331" s="8">
        <v>39888</v>
      </c>
      <c r="G5331" s="8">
        <v>39888</v>
      </c>
      <c r="Y5331" s="8"/>
    </row>
    <row r="5332" spans="1:25" x14ac:dyDescent="0.25">
      <c r="A5332" t="str">
        <f>"09-0194"</f>
        <v>09-0194</v>
      </c>
      <c r="D5332" s="8">
        <v>39888</v>
      </c>
      <c r="F5332" s="8">
        <v>39980</v>
      </c>
      <c r="G5332" s="8">
        <v>39890</v>
      </c>
      <c r="Y5332" s="8"/>
    </row>
    <row r="5333" spans="1:25" x14ac:dyDescent="0.25">
      <c r="A5333" t="str">
        <f>"09-0195"</f>
        <v>09-0195</v>
      </c>
      <c r="D5333" s="8">
        <v>39888</v>
      </c>
      <c r="F5333" s="8">
        <v>39980</v>
      </c>
      <c r="G5333" s="8">
        <v>39888</v>
      </c>
      <c r="Y5333" s="8"/>
    </row>
    <row r="5334" spans="1:25" x14ac:dyDescent="0.25">
      <c r="A5334" t="str">
        <f>"09-0196"</f>
        <v>09-0196</v>
      </c>
      <c r="D5334" s="8">
        <v>39888</v>
      </c>
      <c r="F5334" s="8">
        <v>39888</v>
      </c>
      <c r="G5334" s="8">
        <v>39888</v>
      </c>
      <c r="Y5334" s="8"/>
    </row>
    <row r="5335" spans="1:25" x14ac:dyDescent="0.25">
      <c r="A5335" t="str">
        <f>"09-0197"</f>
        <v>09-0197</v>
      </c>
      <c r="D5335" s="8">
        <v>39888</v>
      </c>
      <c r="F5335" s="8">
        <v>39888</v>
      </c>
      <c r="G5335" s="8">
        <v>39888</v>
      </c>
      <c r="Y5335" s="8"/>
    </row>
    <row r="5336" spans="1:25" x14ac:dyDescent="0.25">
      <c r="A5336" t="str">
        <f>"09-0198"</f>
        <v>09-0198</v>
      </c>
      <c r="D5336" s="8">
        <v>39888</v>
      </c>
      <c r="F5336" s="8">
        <v>39888</v>
      </c>
      <c r="G5336" s="8">
        <v>39888</v>
      </c>
      <c r="Y5336" s="8"/>
    </row>
    <row r="5337" spans="1:25" x14ac:dyDescent="0.25">
      <c r="A5337" t="str">
        <f>"09-0199"</f>
        <v>09-0199</v>
      </c>
      <c r="D5337" s="8">
        <v>39888</v>
      </c>
      <c r="F5337" s="8">
        <v>39888</v>
      </c>
      <c r="G5337" s="8">
        <v>39883</v>
      </c>
      <c r="Y5337" s="8"/>
    </row>
    <row r="5338" spans="1:25" x14ac:dyDescent="0.25">
      <c r="A5338" t="str">
        <f>"09-0076B"</f>
        <v>09-0076B</v>
      </c>
      <c r="D5338" s="8">
        <v>39884</v>
      </c>
      <c r="F5338" s="8">
        <v>39884</v>
      </c>
      <c r="G5338" s="8">
        <v>39886</v>
      </c>
      <c r="Y5338" s="8"/>
    </row>
    <row r="5339" spans="1:25" x14ac:dyDescent="0.25">
      <c r="A5339" t="str">
        <f>"09-0189"</f>
        <v>09-0189</v>
      </c>
      <c r="D5339" s="8">
        <v>39884</v>
      </c>
      <c r="F5339" s="8">
        <v>39884</v>
      </c>
      <c r="G5339" s="8">
        <v>39886</v>
      </c>
      <c r="Y5339" s="8"/>
    </row>
    <row r="5340" spans="1:25" x14ac:dyDescent="0.25">
      <c r="A5340" t="str">
        <f>"09-0190"</f>
        <v>09-0190</v>
      </c>
      <c r="D5340" s="8">
        <v>39884</v>
      </c>
      <c r="F5340" s="8">
        <v>39980</v>
      </c>
      <c r="G5340" s="8">
        <v>39884</v>
      </c>
      <c r="Y5340" s="8"/>
    </row>
    <row r="5341" spans="1:25" x14ac:dyDescent="0.25">
      <c r="A5341" t="str">
        <f>"09-0191"</f>
        <v>09-0191</v>
      </c>
      <c r="D5341" s="8">
        <v>39884</v>
      </c>
      <c r="F5341" s="8">
        <v>39884</v>
      </c>
      <c r="G5341" s="8">
        <v>39890</v>
      </c>
      <c r="Y5341" s="8"/>
    </row>
    <row r="5342" spans="1:25" x14ac:dyDescent="0.25">
      <c r="A5342" t="str">
        <f>"09-0192"</f>
        <v>09-0192</v>
      </c>
      <c r="D5342" s="8">
        <v>39884</v>
      </c>
      <c r="F5342" s="8">
        <v>39884</v>
      </c>
      <c r="G5342" s="8">
        <v>39884</v>
      </c>
      <c r="Y5342" s="8"/>
    </row>
    <row r="5343" spans="1:25" x14ac:dyDescent="0.25">
      <c r="A5343" t="str">
        <f>"09-0193"</f>
        <v>09-0193</v>
      </c>
      <c r="D5343" s="8">
        <v>39884</v>
      </c>
      <c r="F5343" s="8">
        <v>39960</v>
      </c>
      <c r="G5343" s="8">
        <v>39884</v>
      </c>
      <c r="Y5343" s="8"/>
    </row>
    <row r="5344" spans="1:25" x14ac:dyDescent="0.25">
      <c r="A5344" t="str">
        <f>"09-0184"</f>
        <v>09-0184</v>
      </c>
      <c r="D5344" s="8">
        <v>39883</v>
      </c>
      <c r="F5344" s="8">
        <v>39883</v>
      </c>
      <c r="G5344" s="8">
        <v>39884</v>
      </c>
      <c r="Y5344" s="8"/>
    </row>
    <row r="5345" spans="1:25" x14ac:dyDescent="0.25">
      <c r="A5345" t="str">
        <f>"09-0185"</f>
        <v>09-0185</v>
      </c>
      <c r="D5345" s="8">
        <v>39883</v>
      </c>
      <c r="F5345" s="8">
        <v>39883</v>
      </c>
      <c r="G5345" s="8">
        <v>39883</v>
      </c>
      <c r="Y5345" s="8"/>
    </row>
    <row r="5346" spans="1:25" x14ac:dyDescent="0.25">
      <c r="A5346" t="str">
        <f>"09-0186"</f>
        <v>09-0186</v>
      </c>
      <c r="D5346" s="8">
        <v>39883</v>
      </c>
      <c r="F5346" s="8">
        <v>39883</v>
      </c>
      <c r="G5346" s="8">
        <v>39883</v>
      </c>
      <c r="Y5346" s="8"/>
    </row>
    <row r="5347" spans="1:25" x14ac:dyDescent="0.25">
      <c r="A5347" t="str">
        <f>"09-0187"</f>
        <v>09-0187</v>
      </c>
      <c r="D5347" s="8">
        <v>39883</v>
      </c>
      <c r="F5347" s="8">
        <v>39883</v>
      </c>
      <c r="G5347" s="8">
        <v>39883</v>
      </c>
      <c r="Y5347" s="8"/>
    </row>
    <row r="5348" spans="1:25" x14ac:dyDescent="0.25">
      <c r="A5348" t="str">
        <f>"09-0188"</f>
        <v>09-0188</v>
      </c>
      <c r="D5348" s="8">
        <v>39883</v>
      </c>
      <c r="F5348" s="8">
        <v>39883</v>
      </c>
      <c r="G5348" s="8">
        <v>39884</v>
      </c>
      <c r="Y5348" s="8"/>
    </row>
    <row r="5349" spans="1:25" x14ac:dyDescent="0.25">
      <c r="A5349" t="str">
        <f>"08-0643B"</f>
        <v>08-0643B</v>
      </c>
      <c r="D5349" s="8">
        <v>39882</v>
      </c>
      <c r="F5349" s="8">
        <v>39882</v>
      </c>
      <c r="G5349" s="8">
        <v>39882</v>
      </c>
      <c r="Y5349" s="8"/>
    </row>
    <row r="5350" spans="1:25" x14ac:dyDescent="0.25">
      <c r="A5350" t="str">
        <f>"09-0162B"</f>
        <v>09-0162B</v>
      </c>
      <c r="D5350" s="8">
        <v>39882</v>
      </c>
      <c r="F5350" s="8">
        <v>39882</v>
      </c>
      <c r="G5350" s="8">
        <v>39882</v>
      </c>
      <c r="Y5350" s="8"/>
    </row>
    <row r="5351" spans="1:25" x14ac:dyDescent="0.25">
      <c r="A5351" t="str">
        <f>"09-0180"</f>
        <v>09-0180</v>
      </c>
      <c r="D5351" s="8">
        <v>39882</v>
      </c>
      <c r="F5351" s="8">
        <v>39890</v>
      </c>
      <c r="G5351" s="8">
        <v>39882</v>
      </c>
      <c r="Y5351" s="8"/>
    </row>
    <row r="5352" spans="1:25" x14ac:dyDescent="0.25">
      <c r="A5352" t="str">
        <f>"09-0181"</f>
        <v>09-0181</v>
      </c>
      <c r="D5352" s="8">
        <v>39882</v>
      </c>
      <c r="F5352" s="8">
        <v>39882</v>
      </c>
      <c r="G5352" s="8">
        <v>39882</v>
      </c>
      <c r="Y5352" s="8"/>
    </row>
    <row r="5353" spans="1:25" x14ac:dyDescent="0.25">
      <c r="A5353" t="str">
        <f>"09-0182"</f>
        <v>09-0182</v>
      </c>
      <c r="D5353" s="8">
        <v>39882</v>
      </c>
      <c r="F5353" s="8">
        <v>39883</v>
      </c>
      <c r="G5353" s="8">
        <v>39885</v>
      </c>
      <c r="Y5353" s="8"/>
    </row>
    <row r="5354" spans="1:25" x14ac:dyDescent="0.25">
      <c r="A5354" t="str">
        <f>"09-0183"</f>
        <v>09-0183</v>
      </c>
      <c r="D5354" s="8">
        <v>39882</v>
      </c>
      <c r="F5354" s="8">
        <v>39884</v>
      </c>
      <c r="G5354" s="8">
        <v>39884</v>
      </c>
      <c r="Y5354" s="8"/>
    </row>
    <row r="5355" spans="1:25" x14ac:dyDescent="0.25">
      <c r="A5355" t="str">
        <f>"09-0174"</f>
        <v>09-0174</v>
      </c>
      <c r="D5355" s="8">
        <v>39881</v>
      </c>
      <c r="F5355" s="8">
        <v>39881</v>
      </c>
      <c r="G5355" s="8">
        <v>39881</v>
      </c>
      <c r="Y5355" s="8"/>
    </row>
    <row r="5356" spans="1:25" x14ac:dyDescent="0.25">
      <c r="A5356" t="str">
        <f>"09-0175"</f>
        <v>09-0175</v>
      </c>
      <c r="D5356" s="8">
        <v>39881</v>
      </c>
      <c r="F5356" s="8">
        <v>39881</v>
      </c>
      <c r="G5356" s="8">
        <v>39881</v>
      </c>
      <c r="Y5356" s="8"/>
    </row>
    <row r="5357" spans="1:25" x14ac:dyDescent="0.25">
      <c r="A5357" t="str">
        <f>"09-0176"</f>
        <v>09-0176</v>
      </c>
      <c r="D5357" s="8">
        <v>39881</v>
      </c>
      <c r="F5357" s="8">
        <v>39881</v>
      </c>
      <c r="G5357" s="8">
        <v>39881</v>
      </c>
      <c r="Y5357" s="8"/>
    </row>
    <row r="5358" spans="1:25" x14ac:dyDescent="0.25">
      <c r="A5358" t="str">
        <f>"09-0177"</f>
        <v>09-0177</v>
      </c>
      <c r="D5358" s="8">
        <v>39881</v>
      </c>
      <c r="F5358" s="8">
        <v>39890</v>
      </c>
      <c r="G5358" s="8">
        <v>39881</v>
      </c>
      <c r="Y5358" s="8"/>
    </row>
    <row r="5359" spans="1:25" x14ac:dyDescent="0.25">
      <c r="A5359" t="str">
        <f>"09-0179"</f>
        <v>09-0179</v>
      </c>
      <c r="D5359" s="8">
        <v>39881</v>
      </c>
      <c r="F5359" s="8">
        <v>39881</v>
      </c>
      <c r="G5359" s="8">
        <v>39881</v>
      </c>
      <c r="Y5359" s="8"/>
    </row>
    <row r="5360" spans="1:25" x14ac:dyDescent="0.25">
      <c r="A5360" t="str">
        <f>"09-0170"</f>
        <v>09-0170</v>
      </c>
      <c r="D5360" s="8">
        <v>39878</v>
      </c>
      <c r="F5360" s="8">
        <v>39878</v>
      </c>
      <c r="G5360" s="8">
        <v>39878</v>
      </c>
      <c r="Y5360" s="8"/>
    </row>
    <row r="5361" spans="1:25" x14ac:dyDescent="0.25">
      <c r="A5361" t="str">
        <f>"09-0171"</f>
        <v>09-0171</v>
      </c>
      <c r="D5361" s="8">
        <v>39878</v>
      </c>
      <c r="F5361" s="8">
        <v>39878</v>
      </c>
      <c r="G5361" s="8">
        <v>39878</v>
      </c>
      <c r="Y5361" s="8"/>
    </row>
    <row r="5362" spans="1:25" x14ac:dyDescent="0.25">
      <c r="A5362" t="str">
        <f>"09-0172"</f>
        <v>09-0172</v>
      </c>
      <c r="D5362" s="8">
        <v>39878</v>
      </c>
      <c r="F5362" s="8">
        <v>39878</v>
      </c>
      <c r="G5362" s="8">
        <v>39878</v>
      </c>
      <c r="Y5362" s="8"/>
    </row>
    <row r="5363" spans="1:25" x14ac:dyDescent="0.25">
      <c r="A5363" t="str">
        <f>"09-0173"</f>
        <v>09-0173</v>
      </c>
      <c r="D5363" s="8">
        <v>39878</v>
      </c>
      <c r="F5363" s="8">
        <v>40506</v>
      </c>
      <c r="G5363" s="8">
        <v>39878</v>
      </c>
      <c r="Y5363" s="8"/>
    </row>
    <row r="5364" spans="1:25" x14ac:dyDescent="0.25">
      <c r="A5364" t="str">
        <f>"09-0168"</f>
        <v>09-0168</v>
      </c>
      <c r="D5364" s="8">
        <v>39877</v>
      </c>
      <c r="F5364" s="8">
        <v>39877</v>
      </c>
      <c r="G5364" s="8">
        <v>39877</v>
      </c>
      <c r="Y5364" s="8"/>
    </row>
    <row r="5365" spans="1:25" x14ac:dyDescent="0.25">
      <c r="A5365" t="str">
        <f>"09-0169"</f>
        <v>09-0169</v>
      </c>
      <c r="D5365" s="8">
        <v>39877</v>
      </c>
      <c r="F5365" s="8">
        <v>39878</v>
      </c>
      <c r="G5365" s="8">
        <v>39877</v>
      </c>
      <c r="Y5365" s="8"/>
    </row>
    <row r="5366" spans="1:25" x14ac:dyDescent="0.25">
      <c r="A5366" t="str">
        <f>"09-0163"</f>
        <v>09-0163</v>
      </c>
      <c r="D5366" s="8">
        <v>39876</v>
      </c>
      <c r="F5366" s="8">
        <v>40121</v>
      </c>
      <c r="G5366" s="8">
        <v>39876</v>
      </c>
      <c r="Y5366" s="8"/>
    </row>
    <row r="5367" spans="1:25" x14ac:dyDescent="0.25">
      <c r="A5367" t="str">
        <f>"09-0164"</f>
        <v>09-0164</v>
      </c>
      <c r="D5367" s="8">
        <v>39876</v>
      </c>
      <c r="F5367" s="8">
        <v>39884</v>
      </c>
      <c r="G5367" s="8">
        <v>39881</v>
      </c>
      <c r="Y5367" s="8"/>
    </row>
    <row r="5368" spans="1:25" x14ac:dyDescent="0.25">
      <c r="A5368" t="str">
        <f>"09-0165"</f>
        <v>09-0165</v>
      </c>
      <c r="D5368" s="8">
        <v>39876</v>
      </c>
      <c r="F5368" s="8">
        <v>39876</v>
      </c>
      <c r="G5368" s="8">
        <v>39876</v>
      </c>
      <c r="Y5368" s="8"/>
    </row>
    <row r="5369" spans="1:25" x14ac:dyDescent="0.25">
      <c r="A5369" t="str">
        <f>"09-0167"</f>
        <v>09-0167</v>
      </c>
      <c r="D5369" s="8">
        <v>39876</v>
      </c>
      <c r="F5369" s="8">
        <v>39876</v>
      </c>
      <c r="G5369" s="8">
        <v>39877</v>
      </c>
      <c r="Y5369" s="8"/>
    </row>
    <row r="5370" spans="1:25" x14ac:dyDescent="0.25">
      <c r="A5370" t="str">
        <f>"09-0159"</f>
        <v>09-0159</v>
      </c>
      <c r="D5370" s="8">
        <v>39875</v>
      </c>
      <c r="F5370" s="8">
        <v>39875</v>
      </c>
      <c r="G5370" s="8">
        <v>39875</v>
      </c>
      <c r="Y5370" s="8"/>
    </row>
    <row r="5371" spans="1:25" x14ac:dyDescent="0.25">
      <c r="A5371" t="str">
        <f>"09-0160"</f>
        <v>09-0160</v>
      </c>
      <c r="D5371" s="8">
        <v>39875</v>
      </c>
      <c r="F5371" s="8">
        <v>39875</v>
      </c>
      <c r="G5371" s="8">
        <v>39875</v>
      </c>
      <c r="Y5371" s="8"/>
    </row>
    <row r="5372" spans="1:25" x14ac:dyDescent="0.25">
      <c r="A5372" t="str">
        <f>"09-0161"</f>
        <v>09-0161</v>
      </c>
      <c r="D5372" s="8">
        <v>39875</v>
      </c>
      <c r="F5372" s="8">
        <v>39875</v>
      </c>
      <c r="G5372" s="8">
        <v>39875</v>
      </c>
      <c r="Y5372" s="8"/>
    </row>
    <row r="5373" spans="1:25" x14ac:dyDescent="0.25">
      <c r="A5373" t="str">
        <f>"09-0162"</f>
        <v>09-0162</v>
      </c>
      <c r="D5373" s="8">
        <v>39875</v>
      </c>
      <c r="F5373" s="8">
        <v>39876</v>
      </c>
      <c r="G5373" s="8">
        <v>39875</v>
      </c>
      <c r="Y5373" s="8"/>
    </row>
    <row r="5374" spans="1:25" x14ac:dyDescent="0.25">
      <c r="A5374" t="str">
        <f>"09-0156"</f>
        <v>09-0156</v>
      </c>
      <c r="D5374" s="8">
        <v>39874</v>
      </c>
      <c r="F5374" s="8">
        <v>39874</v>
      </c>
      <c r="G5374" s="8">
        <v>39874</v>
      </c>
      <c r="Y5374" s="8"/>
    </row>
    <row r="5375" spans="1:25" x14ac:dyDescent="0.25">
      <c r="A5375" t="str">
        <f>"09-0157"</f>
        <v>09-0157</v>
      </c>
      <c r="D5375" s="8">
        <v>39874</v>
      </c>
      <c r="F5375" s="8">
        <v>39874</v>
      </c>
      <c r="G5375" s="8">
        <v>39874</v>
      </c>
      <c r="Y5375" s="8"/>
    </row>
    <row r="5376" spans="1:25" x14ac:dyDescent="0.25">
      <c r="A5376" t="str">
        <f>"09-0158"</f>
        <v>09-0158</v>
      </c>
      <c r="D5376" s="8">
        <v>39874</v>
      </c>
      <c r="F5376" s="8">
        <v>39882</v>
      </c>
      <c r="G5376" s="8">
        <v>39874</v>
      </c>
      <c r="Y5376" s="8"/>
    </row>
    <row r="5377" spans="1:25" x14ac:dyDescent="0.25">
      <c r="A5377" t="str">
        <f>"09-0154"</f>
        <v>09-0154</v>
      </c>
      <c r="D5377" s="8">
        <v>39871</v>
      </c>
      <c r="F5377" s="8">
        <v>39871</v>
      </c>
      <c r="G5377" s="8">
        <v>39871</v>
      </c>
      <c r="Y5377" s="8"/>
    </row>
    <row r="5378" spans="1:25" x14ac:dyDescent="0.25">
      <c r="A5378" t="str">
        <f>"09-0155"</f>
        <v>09-0155</v>
      </c>
      <c r="D5378" s="8">
        <v>39871</v>
      </c>
      <c r="F5378" s="8">
        <v>39899</v>
      </c>
      <c r="G5378" s="8">
        <v>39871</v>
      </c>
      <c r="Y5378" s="8"/>
    </row>
    <row r="5379" spans="1:25" x14ac:dyDescent="0.25">
      <c r="A5379" t="str">
        <f>"09-0149"</f>
        <v>09-0149</v>
      </c>
      <c r="D5379" s="8">
        <v>39870</v>
      </c>
      <c r="F5379" s="8">
        <v>39870</v>
      </c>
      <c r="G5379" s="8">
        <v>39870</v>
      </c>
      <c r="Y5379" s="8"/>
    </row>
    <row r="5380" spans="1:25" x14ac:dyDescent="0.25">
      <c r="A5380" t="str">
        <f>"09-0150"</f>
        <v>09-0150</v>
      </c>
      <c r="D5380" s="8">
        <v>39870</v>
      </c>
      <c r="F5380" s="8">
        <v>39870</v>
      </c>
      <c r="G5380" s="8">
        <v>39870</v>
      </c>
      <c r="Y5380" s="8"/>
    </row>
    <row r="5381" spans="1:25" x14ac:dyDescent="0.25">
      <c r="A5381" t="str">
        <f>"09-0151"</f>
        <v>09-0151</v>
      </c>
      <c r="D5381" s="8">
        <v>39870</v>
      </c>
      <c r="F5381" s="8">
        <v>39870</v>
      </c>
      <c r="G5381" s="8">
        <v>39870</v>
      </c>
      <c r="Y5381" s="8"/>
    </row>
    <row r="5382" spans="1:25" x14ac:dyDescent="0.25">
      <c r="A5382" t="str">
        <f>"09-0152"</f>
        <v>09-0152</v>
      </c>
      <c r="D5382" s="8">
        <v>39870</v>
      </c>
      <c r="F5382" s="8">
        <v>39870</v>
      </c>
      <c r="G5382" s="8">
        <v>39870</v>
      </c>
      <c r="Y5382" s="8"/>
    </row>
    <row r="5383" spans="1:25" x14ac:dyDescent="0.25">
      <c r="A5383" t="str">
        <f>"09-0153"</f>
        <v>09-0153</v>
      </c>
      <c r="D5383" s="8">
        <v>39870</v>
      </c>
      <c r="F5383" s="8">
        <v>39870</v>
      </c>
      <c r="G5383" s="8">
        <v>39870</v>
      </c>
      <c r="Y5383" s="8"/>
    </row>
    <row r="5384" spans="1:25" x14ac:dyDescent="0.25">
      <c r="A5384" t="str">
        <f>"09-0146"</f>
        <v>09-0146</v>
      </c>
      <c r="D5384" s="8">
        <v>39869</v>
      </c>
      <c r="F5384" s="8">
        <v>39869</v>
      </c>
      <c r="G5384" s="8">
        <v>39871</v>
      </c>
      <c r="Y5384" s="8"/>
    </row>
    <row r="5385" spans="1:25" x14ac:dyDescent="0.25">
      <c r="A5385" t="str">
        <f>"09-0147"</f>
        <v>09-0147</v>
      </c>
      <c r="D5385" s="8">
        <v>39869</v>
      </c>
      <c r="F5385" s="8">
        <v>39869</v>
      </c>
      <c r="G5385" s="8">
        <v>39869</v>
      </c>
      <c r="Y5385" s="8"/>
    </row>
    <row r="5386" spans="1:25" x14ac:dyDescent="0.25">
      <c r="A5386" t="str">
        <f>"09-0148"</f>
        <v>09-0148</v>
      </c>
      <c r="D5386" s="8">
        <v>39869</v>
      </c>
      <c r="F5386" s="8">
        <v>39883</v>
      </c>
      <c r="G5386" s="8">
        <v>39874</v>
      </c>
      <c r="Y5386" s="8"/>
    </row>
    <row r="5387" spans="1:25" x14ac:dyDescent="0.25">
      <c r="A5387" t="str">
        <f>"09-0143"</f>
        <v>09-0143</v>
      </c>
      <c r="D5387" s="8">
        <v>39868</v>
      </c>
      <c r="F5387" s="8">
        <v>39868</v>
      </c>
      <c r="G5387" s="8">
        <v>39868</v>
      </c>
      <c r="Y5387" s="8"/>
    </row>
    <row r="5388" spans="1:25" x14ac:dyDescent="0.25">
      <c r="A5388" t="str">
        <f>"09-0144"</f>
        <v>09-0144</v>
      </c>
      <c r="D5388" s="8">
        <v>39868</v>
      </c>
      <c r="F5388" s="8">
        <v>39868</v>
      </c>
      <c r="G5388" s="8">
        <v>39868</v>
      </c>
      <c r="Y5388" s="8"/>
    </row>
    <row r="5389" spans="1:25" x14ac:dyDescent="0.25">
      <c r="A5389" t="str">
        <f>"09-0145"</f>
        <v>09-0145</v>
      </c>
      <c r="D5389" s="8">
        <v>39868</v>
      </c>
      <c r="F5389" s="8">
        <v>39868</v>
      </c>
      <c r="G5389" s="8">
        <v>39868</v>
      </c>
      <c r="Y5389" s="8"/>
    </row>
    <row r="5390" spans="1:25" x14ac:dyDescent="0.25">
      <c r="A5390" t="str">
        <f>"09-0137"</f>
        <v>09-0137</v>
      </c>
      <c r="D5390" s="8">
        <v>39867</v>
      </c>
      <c r="F5390" s="8">
        <v>39867</v>
      </c>
      <c r="G5390" s="8">
        <v>39867</v>
      </c>
      <c r="Y5390" s="8"/>
    </row>
    <row r="5391" spans="1:25" x14ac:dyDescent="0.25">
      <c r="A5391" t="str">
        <f>"09-0138"</f>
        <v>09-0138</v>
      </c>
      <c r="D5391" s="8">
        <v>39867</v>
      </c>
      <c r="F5391" s="8">
        <v>39867</v>
      </c>
      <c r="G5391" s="8">
        <v>39867</v>
      </c>
      <c r="Y5391" s="8"/>
    </row>
    <row r="5392" spans="1:25" x14ac:dyDescent="0.25">
      <c r="A5392" t="str">
        <f>"09-0139"</f>
        <v>09-0139</v>
      </c>
      <c r="D5392" s="8">
        <v>39867</v>
      </c>
      <c r="F5392" s="8">
        <v>39891</v>
      </c>
      <c r="G5392" s="8">
        <v>39867</v>
      </c>
      <c r="Y5392" s="8"/>
    </row>
    <row r="5393" spans="1:25" x14ac:dyDescent="0.25">
      <c r="A5393" t="str">
        <f>"09-0140"</f>
        <v>09-0140</v>
      </c>
      <c r="D5393" s="8">
        <v>39867</v>
      </c>
      <c r="F5393" s="8">
        <v>39869</v>
      </c>
      <c r="G5393" s="8">
        <v>39867</v>
      </c>
      <c r="Y5393" s="8"/>
    </row>
    <row r="5394" spans="1:25" x14ac:dyDescent="0.25">
      <c r="A5394" t="str">
        <f>"09-0141"</f>
        <v>09-0141</v>
      </c>
      <c r="D5394" s="8">
        <v>39867</v>
      </c>
      <c r="F5394" s="8">
        <v>39867</v>
      </c>
      <c r="G5394" s="8">
        <v>39867</v>
      </c>
      <c r="Y5394" s="8"/>
    </row>
    <row r="5395" spans="1:25" x14ac:dyDescent="0.25">
      <c r="A5395" t="str">
        <f>"09-0142"</f>
        <v>09-0142</v>
      </c>
      <c r="D5395" s="8">
        <v>39867</v>
      </c>
      <c r="F5395" s="8">
        <v>39867</v>
      </c>
      <c r="G5395" s="8">
        <v>39867</v>
      </c>
      <c r="Y5395" s="8"/>
    </row>
    <row r="5396" spans="1:25" x14ac:dyDescent="0.25">
      <c r="A5396" t="str">
        <f>"09-0134"</f>
        <v>09-0134</v>
      </c>
      <c r="D5396" s="8">
        <v>39864</v>
      </c>
      <c r="F5396" s="8">
        <v>39868</v>
      </c>
      <c r="G5396" s="8">
        <v>39868</v>
      </c>
      <c r="Y5396" s="8"/>
    </row>
    <row r="5397" spans="1:25" x14ac:dyDescent="0.25">
      <c r="A5397" t="str">
        <f>"09-0135"</f>
        <v>09-0135</v>
      </c>
      <c r="D5397" s="8">
        <v>39864</v>
      </c>
      <c r="F5397" s="8">
        <v>39864</v>
      </c>
      <c r="G5397" s="8">
        <v>39864</v>
      </c>
      <c r="Y5397" s="8"/>
    </row>
    <row r="5398" spans="1:25" x14ac:dyDescent="0.25">
      <c r="A5398" t="str">
        <f>"09-0136"</f>
        <v>09-0136</v>
      </c>
      <c r="D5398" s="8">
        <v>39864</v>
      </c>
      <c r="G5398" s="8">
        <v>39871</v>
      </c>
    </row>
    <row r="5399" spans="1:25" x14ac:dyDescent="0.25">
      <c r="A5399" t="str">
        <f>"09-0127"</f>
        <v>09-0127</v>
      </c>
      <c r="D5399" s="8">
        <v>39863</v>
      </c>
      <c r="F5399" s="8">
        <v>39969</v>
      </c>
      <c r="G5399" s="8">
        <v>39863</v>
      </c>
      <c r="Y5399" s="8"/>
    </row>
    <row r="5400" spans="1:25" x14ac:dyDescent="0.25">
      <c r="A5400" t="str">
        <f>"09-0128"</f>
        <v>09-0128</v>
      </c>
      <c r="D5400" s="8">
        <v>39863</v>
      </c>
      <c r="F5400" s="8">
        <v>39863</v>
      </c>
      <c r="G5400" s="8">
        <v>39863</v>
      </c>
      <c r="Y5400" s="8"/>
    </row>
    <row r="5401" spans="1:25" x14ac:dyDescent="0.25">
      <c r="A5401" t="str">
        <f>"09-0129"</f>
        <v>09-0129</v>
      </c>
      <c r="D5401" s="8">
        <v>39863</v>
      </c>
      <c r="F5401" s="8">
        <v>40021</v>
      </c>
      <c r="G5401" s="8">
        <v>39863</v>
      </c>
      <c r="Y5401" s="8"/>
    </row>
    <row r="5402" spans="1:25" x14ac:dyDescent="0.25">
      <c r="A5402" t="str">
        <f>"09-0130"</f>
        <v>09-0130</v>
      </c>
      <c r="D5402" s="8">
        <v>39863</v>
      </c>
      <c r="F5402" s="8">
        <v>39863</v>
      </c>
      <c r="G5402" s="8">
        <v>39863</v>
      </c>
      <c r="Y5402" s="8"/>
    </row>
    <row r="5403" spans="1:25" x14ac:dyDescent="0.25">
      <c r="A5403" t="str">
        <f>"09-0131"</f>
        <v>09-0131</v>
      </c>
      <c r="D5403" s="8">
        <v>39863</v>
      </c>
      <c r="F5403" s="8">
        <v>39952</v>
      </c>
      <c r="G5403" s="8">
        <v>39863</v>
      </c>
      <c r="Y5403" s="8"/>
    </row>
    <row r="5404" spans="1:25" x14ac:dyDescent="0.25">
      <c r="A5404" t="str">
        <f>"09-0132"</f>
        <v>09-0132</v>
      </c>
      <c r="D5404" s="8">
        <v>39863</v>
      </c>
      <c r="F5404" s="8">
        <v>39871</v>
      </c>
      <c r="G5404" s="8">
        <v>39863</v>
      </c>
      <c r="Y5404" s="8"/>
    </row>
    <row r="5405" spans="1:25" x14ac:dyDescent="0.25">
      <c r="A5405" t="str">
        <f>"09-0133"</f>
        <v>09-0133</v>
      </c>
      <c r="D5405" s="8">
        <v>39863</v>
      </c>
      <c r="F5405" s="8">
        <v>39863</v>
      </c>
      <c r="G5405" s="8">
        <v>39864</v>
      </c>
      <c r="Y5405" s="8"/>
    </row>
    <row r="5406" spans="1:25" x14ac:dyDescent="0.25">
      <c r="A5406" t="str">
        <f>"09-0093B"</f>
        <v>09-0093B</v>
      </c>
      <c r="D5406" s="8">
        <v>39862</v>
      </c>
      <c r="F5406" s="8">
        <v>39862</v>
      </c>
      <c r="G5406" s="8">
        <v>39862</v>
      </c>
      <c r="Y5406" s="8"/>
    </row>
    <row r="5407" spans="1:25" x14ac:dyDescent="0.25">
      <c r="A5407" t="str">
        <f>"09-0121"</f>
        <v>09-0121</v>
      </c>
      <c r="D5407" s="8">
        <v>39862</v>
      </c>
      <c r="F5407" s="8">
        <v>39903</v>
      </c>
      <c r="G5407" s="8">
        <v>39862</v>
      </c>
      <c r="Y5407" s="8"/>
    </row>
    <row r="5408" spans="1:25" x14ac:dyDescent="0.25">
      <c r="A5408" t="str">
        <f>"09-0122"</f>
        <v>09-0122</v>
      </c>
      <c r="D5408" s="8">
        <v>39862</v>
      </c>
      <c r="F5408" s="8">
        <v>39862</v>
      </c>
      <c r="G5408" s="8">
        <v>39862</v>
      </c>
      <c r="Y5408" s="8"/>
    </row>
    <row r="5409" spans="1:25" x14ac:dyDescent="0.25">
      <c r="A5409" t="str">
        <f>"09-0123"</f>
        <v>09-0123</v>
      </c>
      <c r="D5409" s="8">
        <v>39862</v>
      </c>
      <c r="F5409" s="8">
        <v>39862</v>
      </c>
      <c r="G5409" s="8">
        <v>39862</v>
      </c>
      <c r="Y5409" s="8"/>
    </row>
    <row r="5410" spans="1:25" x14ac:dyDescent="0.25">
      <c r="A5410" t="str">
        <f>"09-0124"</f>
        <v>09-0124</v>
      </c>
      <c r="D5410" s="8">
        <v>39862</v>
      </c>
      <c r="F5410" s="8">
        <v>39862</v>
      </c>
      <c r="G5410" s="8">
        <v>39862</v>
      </c>
      <c r="Y5410" s="8"/>
    </row>
    <row r="5411" spans="1:25" x14ac:dyDescent="0.25">
      <c r="A5411" t="str">
        <f>"09-0125"</f>
        <v>09-0125</v>
      </c>
      <c r="D5411" s="8">
        <v>39862</v>
      </c>
      <c r="F5411" s="8">
        <v>39862</v>
      </c>
      <c r="G5411" s="8">
        <v>39863</v>
      </c>
      <c r="Y5411" s="8"/>
    </row>
    <row r="5412" spans="1:25" x14ac:dyDescent="0.25">
      <c r="A5412" t="str">
        <f>"09-0126"</f>
        <v>09-0126</v>
      </c>
      <c r="D5412" s="8">
        <v>39862</v>
      </c>
      <c r="F5412" s="8">
        <v>39862</v>
      </c>
      <c r="G5412" s="8">
        <v>39862</v>
      </c>
      <c r="Y5412" s="8"/>
    </row>
    <row r="5413" spans="1:25" x14ac:dyDescent="0.25">
      <c r="A5413" t="str">
        <f>"09-0009C"</f>
        <v>09-0009C</v>
      </c>
      <c r="D5413" s="8">
        <v>39861</v>
      </c>
      <c r="F5413" s="8">
        <v>39896</v>
      </c>
      <c r="G5413" s="8">
        <v>39861</v>
      </c>
      <c r="Y5413" s="8"/>
    </row>
    <row r="5414" spans="1:25" x14ac:dyDescent="0.25">
      <c r="A5414" t="str">
        <f>"09-0115B"</f>
        <v>09-0115B</v>
      </c>
      <c r="D5414" s="8">
        <v>39861</v>
      </c>
      <c r="F5414" s="8">
        <v>39861</v>
      </c>
      <c r="G5414" s="8">
        <v>39861</v>
      </c>
      <c r="Y5414" s="8"/>
    </row>
    <row r="5415" spans="1:25" x14ac:dyDescent="0.25">
      <c r="A5415" t="str">
        <f>"09-0117"</f>
        <v>09-0117</v>
      </c>
      <c r="D5415" s="8">
        <v>39861</v>
      </c>
      <c r="F5415" s="8">
        <v>39861</v>
      </c>
      <c r="G5415" s="8">
        <v>39868</v>
      </c>
      <c r="Y5415" s="8"/>
    </row>
    <row r="5416" spans="1:25" x14ac:dyDescent="0.25">
      <c r="A5416" t="str">
        <f>"09-0118"</f>
        <v>09-0118</v>
      </c>
      <c r="D5416" s="8">
        <v>39861</v>
      </c>
      <c r="F5416" s="8">
        <v>39861</v>
      </c>
      <c r="G5416" s="8">
        <v>39861</v>
      </c>
      <c r="Y5416" s="8"/>
    </row>
    <row r="5417" spans="1:25" x14ac:dyDescent="0.25">
      <c r="A5417" t="str">
        <f>"09-0119"</f>
        <v>09-0119</v>
      </c>
      <c r="D5417" s="8">
        <v>39861</v>
      </c>
      <c r="F5417" s="8">
        <v>39864</v>
      </c>
      <c r="G5417" s="8">
        <v>39864</v>
      </c>
      <c r="Y5417" s="8"/>
    </row>
    <row r="5418" spans="1:25" x14ac:dyDescent="0.25">
      <c r="A5418" t="str">
        <f>"09-0120"</f>
        <v>09-0120</v>
      </c>
      <c r="D5418" s="8">
        <v>39861</v>
      </c>
      <c r="F5418" s="8">
        <v>39861</v>
      </c>
      <c r="G5418" s="8">
        <v>39861</v>
      </c>
      <c r="Y5418" s="8"/>
    </row>
    <row r="5419" spans="1:25" x14ac:dyDescent="0.25">
      <c r="A5419" t="str">
        <f>"09-0110"</f>
        <v>09-0110</v>
      </c>
      <c r="D5419" s="8">
        <v>39860</v>
      </c>
      <c r="F5419" s="8">
        <v>39860</v>
      </c>
      <c r="G5419" s="8">
        <v>39860</v>
      </c>
      <c r="Y5419" s="8"/>
    </row>
    <row r="5420" spans="1:25" x14ac:dyDescent="0.25">
      <c r="A5420" t="str">
        <f>"09-0111"</f>
        <v>09-0111</v>
      </c>
      <c r="D5420" s="8">
        <v>39860</v>
      </c>
      <c r="F5420" s="8">
        <v>39860</v>
      </c>
      <c r="G5420" s="8">
        <v>39860</v>
      </c>
      <c r="Y5420" s="8"/>
    </row>
    <row r="5421" spans="1:25" x14ac:dyDescent="0.25">
      <c r="A5421" t="str">
        <f>"09-0112"</f>
        <v>09-0112</v>
      </c>
      <c r="D5421" s="8">
        <v>39860</v>
      </c>
      <c r="F5421" s="8">
        <v>39860</v>
      </c>
      <c r="G5421" s="8">
        <v>39864</v>
      </c>
      <c r="Y5421" s="8"/>
    </row>
    <row r="5422" spans="1:25" x14ac:dyDescent="0.25">
      <c r="A5422" t="str">
        <f>"09-0113"</f>
        <v>09-0113</v>
      </c>
      <c r="D5422" s="8">
        <v>39860</v>
      </c>
      <c r="F5422" s="8">
        <v>39860</v>
      </c>
      <c r="G5422" s="8">
        <v>39860</v>
      </c>
      <c r="Y5422" s="8"/>
    </row>
    <row r="5423" spans="1:25" x14ac:dyDescent="0.25">
      <c r="A5423" t="str">
        <f>"09-0114"</f>
        <v>09-0114</v>
      </c>
      <c r="D5423" s="8">
        <v>39860</v>
      </c>
      <c r="F5423" s="8">
        <v>39861</v>
      </c>
      <c r="G5423" s="8">
        <v>39860</v>
      </c>
      <c r="Y5423" s="8"/>
    </row>
    <row r="5424" spans="1:25" x14ac:dyDescent="0.25">
      <c r="A5424" t="str">
        <f>"09-0115"</f>
        <v>09-0115</v>
      </c>
      <c r="D5424" s="8">
        <v>39860</v>
      </c>
      <c r="F5424" s="8">
        <v>39861</v>
      </c>
      <c r="G5424" s="8">
        <v>39862</v>
      </c>
      <c r="Y5424" s="8"/>
    </row>
    <row r="5425" spans="1:25" x14ac:dyDescent="0.25">
      <c r="A5425" t="str">
        <f>"09-0116"</f>
        <v>09-0116</v>
      </c>
      <c r="D5425" s="8">
        <v>39860</v>
      </c>
      <c r="F5425" s="8">
        <v>39860</v>
      </c>
      <c r="G5425" s="8">
        <v>39860</v>
      </c>
      <c r="Y5425" s="8"/>
    </row>
    <row r="5426" spans="1:25" x14ac:dyDescent="0.25">
      <c r="A5426" t="str">
        <f>"09-0105"</f>
        <v>09-0105</v>
      </c>
      <c r="D5426" s="8">
        <v>39857</v>
      </c>
      <c r="F5426" s="8">
        <v>39857</v>
      </c>
      <c r="G5426" s="8">
        <v>39857</v>
      </c>
      <c r="Y5426" s="8"/>
    </row>
    <row r="5427" spans="1:25" x14ac:dyDescent="0.25">
      <c r="A5427" t="str">
        <f>"09-0106"</f>
        <v>09-0106</v>
      </c>
      <c r="D5427" s="8">
        <v>39857</v>
      </c>
      <c r="F5427" s="8">
        <v>39869</v>
      </c>
      <c r="G5427" s="8">
        <v>39857</v>
      </c>
      <c r="Y5427" s="8"/>
    </row>
    <row r="5428" spans="1:25" x14ac:dyDescent="0.25">
      <c r="A5428" t="str">
        <f>"09-0107"</f>
        <v>09-0107</v>
      </c>
      <c r="D5428" s="8">
        <v>39857</v>
      </c>
      <c r="F5428" s="8">
        <v>41774</v>
      </c>
      <c r="G5428" s="8">
        <v>39857</v>
      </c>
      <c r="Y5428" s="8"/>
    </row>
    <row r="5429" spans="1:25" x14ac:dyDescent="0.25">
      <c r="A5429" t="str">
        <f>"09-0096"</f>
        <v>09-0096</v>
      </c>
      <c r="D5429" s="8">
        <v>39856</v>
      </c>
      <c r="F5429" s="8">
        <v>39856</v>
      </c>
      <c r="G5429" s="8">
        <v>39856</v>
      </c>
      <c r="Y5429" s="8"/>
    </row>
    <row r="5430" spans="1:25" x14ac:dyDescent="0.25">
      <c r="A5430" t="str">
        <f>"09-0097"</f>
        <v>09-0097</v>
      </c>
      <c r="D5430" s="8">
        <v>39856</v>
      </c>
      <c r="F5430" s="8">
        <v>39856</v>
      </c>
      <c r="G5430" s="8">
        <v>39855</v>
      </c>
      <c r="Y5430" s="8"/>
    </row>
    <row r="5431" spans="1:25" x14ac:dyDescent="0.25">
      <c r="A5431" t="str">
        <f>"09-0098"</f>
        <v>09-0098</v>
      </c>
      <c r="D5431" s="8">
        <v>39856</v>
      </c>
      <c r="F5431" s="8">
        <v>39856</v>
      </c>
      <c r="G5431" s="8">
        <v>39856</v>
      </c>
      <c r="Y5431" s="8"/>
    </row>
    <row r="5432" spans="1:25" x14ac:dyDescent="0.25">
      <c r="A5432" t="str">
        <f>"09-0099"</f>
        <v>09-0099</v>
      </c>
      <c r="D5432" s="8">
        <v>39856</v>
      </c>
      <c r="F5432" s="8">
        <v>39862</v>
      </c>
      <c r="G5432" s="8">
        <v>39856</v>
      </c>
      <c r="Y5432" s="8"/>
    </row>
    <row r="5433" spans="1:25" x14ac:dyDescent="0.25">
      <c r="A5433" t="str">
        <f>"09-0100"</f>
        <v>09-0100</v>
      </c>
      <c r="D5433" s="8">
        <v>39856</v>
      </c>
      <c r="F5433" s="8">
        <v>39867</v>
      </c>
      <c r="G5433" s="8">
        <v>39856</v>
      </c>
      <c r="Y5433" s="8"/>
    </row>
    <row r="5434" spans="1:25" x14ac:dyDescent="0.25">
      <c r="A5434" t="str">
        <f>"09-0102"</f>
        <v>09-0102</v>
      </c>
      <c r="D5434" s="8">
        <v>39856</v>
      </c>
      <c r="F5434" s="8">
        <v>39856</v>
      </c>
      <c r="G5434" s="8">
        <v>39856</v>
      </c>
      <c r="Y5434" s="8"/>
    </row>
    <row r="5435" spans="1:25" x14ac:dyDescent="0.25">
      <c r="A5435" t="str">
        <f>"09-0103"</f>
        <v>09-0103</v>
      </c>
      <c r="D5435" s="8">
        <v>39856</v>
      </c>
      <c r="F5435" s="8">
        <v>39993</v>
      </c>
      <c r="G5435" s="8">
        <v>39856</v>
      </c>
      <c r="Y5435" s="8"/>
    </row>
    <row r="5436" spans="1:25" x14ac:dyDescent="0.25">
      <c r="A5436" t="str">
        <f>"09-0104"</f>
        <v>09-0104</v>
      </c>
      <c r="D5436" s="8">
        <v>39856</v>
      </c>
      <c r="F5436" s="8">
        <v>39856</v>
      </c>
      <c r="G5436" s="8">
        <v>39856</v>
      </c>
      <c r="Y5436" s="8"/>
    </row>
    <row r="5437" spans="1:25" x14ac:dyDescent="0.25">
      <c r="A5437" t="str">
        <f>"09-0008D"</f>
        <v>09-0008D</v>
      </c>
      <c r="D5437" s="8">
        <v>39855</v>
      </c>
      <c r="F5437" s="8">
        <v>39855</v>
      </c>
      <c r="G5437" s="8">
        <v>39855</v>
      </c>
      <c r="Y5437" s="8"/>
    </row>
    <row r="5438" spans="1:25" x14ac:dyDescent="0.25">
      <c r="A5438" t="str">
        <f>"09-0009B"</f>
        <v>09-0009B</v>
      </c>
      <c r="D5438" s="8">
        <v>39855</v>
      </c>
      <c r="F5438" s="8">
        <v>39855</v>
      </c>
      <c r="G5438" s="8">
        <v>39864</v>
      </c>
      <c r="Y5438" s="8"/>
    </row>
    <row r="5439" spans="1:25" x14ac:dyDescent="0.25">
      <c r="A5439" t="str">
        <f>"09-0092"</f>
        <v>09-0092</v>
      </c>
      <c r="D5439" s="8">
        <v>39855</v>
      </c>
      <c r="F5439" s="8">
        <v>39855</v>
      </c>
      <c r="G5439" s="8">
        <v>39857</v>
      </c>
      <c r="Y5439" s="8"/>
    </row>
    <row r="5440" spans="1:25" x14ac:dyDescent="0.25">
      <c r="A5440" t="str">
        <f>"09-0093"</f>
        <v>09-0093</v>
      </c>
      <c r="D5440" s="8">
        <v>39855</v>
      </c>
      <c r="F5440" s="8">
        <v>39855</v>
      </c>
      <c r="G5440" s="8">
        <v>39855</v>
      </c>
      <c r="Y5440" s="8"/>
    </row>
    <row r="5441" spans="1:25" x14ac:dyDescent="0.25">
      <c r="A5441" t="str">
        <f>"09-0095"</f>
        <v>09-0095</v>
      </c>
      <c r="D5441" s="8">
        <v>39855</v>
      </c>
      <c r="F5441" s="8">
        <v>39855</v>
      </c>
      <c r="G5441" s="8">
        <v>39857</v>
      </c>
      <c r="Y5441" s="8"/>
    </row>
    <row r="5442" spans="1:25" x14ac:dyDescent="0.25">
      <c r="A5442" t="str">
        <f>"09-0008C"</f>
        <v>09-0008C</v>
      </c>
      <c r="D5442" s="8">
        <v>39854</v>
      </c>
      <c r="F5442" s="8">
        <v>39854</v>
      </c>
      <c r="G5442" s="8">
        <v>39854</v>
      </c>
      <c r="Y5442" s="8"/>
    </row>
    <row r="5443" spans="1:25" x14ac:dyDescent="0.25">
      <c r="A5443" t="str">
        <f>"09-0087"</f>
        <v>09-0087</v>
      </c>
      <c r="D5443" s="8">
        <v>39854</v>
      </c>
      <c r="F5443" s="8">
        <v>39870</v>
      </c>
      <c r="G5443" s="8">
        <v>39854</v>
      </c>
      <c r="Y5443" s="8"/>
    </row>
    <row r="5444" spans="1:25" x14ac:dyDescent="0.25">
      <c r="A5444" t="str">
        <f>"09-0088"</f>
        <v>09-0088</v>
      </c>
      <c r="D5444" s="8">
        <v>39854</v>
      </c>
      <c r="F5444" s="8">
        <v>39854</v>
      </c>
      <c r="G5444" s="8">
        <v>39854</v>
      </c>
      <c r="Y5444" s="8"/>
    </row>
    <row r="5445" spans="1:25" x14ac:dyDescent="0.25">
      <c r="A5445" t="str">
        <f>"09-0089"</f>
        <v>09-0089</v>
      </c>
      <c r="D5445" s="8">
        <v>39854</v>
      </c>
      <c r="F5445" s="8">
        <v>39854</v>
      </c>
      <c r="G5445" s="8">
        <v>39854</v>
      </c>
      <c r="Y5445" s="8"/>
    </row>
    <row r="5446" spans="1:25" x14ac:dyDescent="0.25">
      <c r="A5446" t="str">
        <f>"09-0090"</f>
        <v>09-0090</v>
      </c>
      <c r="D5446" s="8">
        <v>39854</v>
      </c>
      <c r="F5446" s="8">
        <v>39857</v>
      </c>
      <c r="G5446" s="8">
        <v>39860</v>
      </c>
      <c r="Y5446" s="8"/>
    </row>
    <row r="5447" spans="1:25" x14ac:dyDescent="0.25">
      <c r="A5447" t="str">
        <f>"09-0091"</f>
        <v>09-0091</v>
      </c>
      <c r="D5447" s="8">
        <v>39854</v>
      </c>
      <c r="F5447" s="8">
        <v>39855</v>
      </c>
      <c r="G5447" s="8">
        <v>39856</v>
      </c>
      <c r="Y5447" s="8"/>
    </row>
    <row r="5448" spans="1:25" x14ac:dyDescent="0.25">
      <c r="A5448" t="str">
        <f>"09-0081"</f>
        <v>09-0081</v>
      </c>
      <c r="D5448" s="8">
        <v>39853</v>
      </c>
      <c r="F5448" s="8">
        <v>39853</v>
      </c>
      <c r="G5448" s="8">
        <v>39853</v>
      </c>
      <c r="Y5448" s="8"/>
    </row>
    <row r="5449" spans="1:25" x14ac:dyDescent="0.25">
      <c r="A5449" t="str">
        <f>"09-0082"</f>
        <v>09-0082</v>
      </c>
      <c r="D5449" s="8">
        <v>39853</v>
      </c>
      <c r="F5449" s="8">
        <v>39853</v>
      </c>
      <c r="G5449" s="8">
        <v>39853</v>
      </c>
      <c r="Y5449" s="8"/>
    </row>
    <row r="5450" spans="1:25" x14ac:dyDescent="0.25">
      <c r="A5450" t="str">
        <f>"09-0083"</f>
        <v>09-0083</v>
      </c>
      <c r="D5450" s="8">
        <v>39853</v>
      </c>
      <c r="F5450" s="8">
        <v>39853</v>
      </c>
      <c r="G5450" s="8">
        <v>39853</v>
      </c>
      <c r="Y5450" s="8"/>
    </row>
    <row r="5451" spans="1:25" x14ac:dyDescent="0.25">
      <c r="A5451" t="str">
        <f>"09-0084"</f>
        <v>09-0084</v>
      </c>
      <c r="D5451" s="8">
        <v>39853</v>
      </c>
      <c r="F5451" s="8">
        <v>39853</v>
      </c>
      <c r="G5451" s="8">
        <v>39853</v>
      </c>
      <c r="Y5451" s="8"/>
    </row>
    <row r="5452" spans="1:25" x14ac:dyDescent="0.25">
      <c r="A5452" t="str">
        <f>"09-0085"</f>
        <v>09-0085</v>
      </c>
      <c r="D5452" s="8">
        <v>39853</v>
      </c>
      <c r="F5452" s="8">
        <v>39853</v>
      </c>
      <c r="G5452" s="8">
        <v>39853</v>
      </c>
      <c r="Y5452" s="8"/>
    </row>
    <row r="5453" spans="1:25" x14ac:dyDescent="0.25">
      <c r="A5453" t="str">
        <f>"09-0086"</f>
        <v>09-0086</v>
      </c>
      <c r="D5453" s="8">
        <v>39853</v>
      </c>
      <c r="F5453" s="8">
        <v>39853</v>
      </c>
      <c r="G5453" s="8">
        <v>39853</v>
      </c>
      <c r="Y5453" s="8"/>
    </row>
    <row r="5454" spans="1:25" x14ac:dyDescent="0.25">
      <c r="A5454" t="str">
        <f>"09-0080"</f>
        <v>09-0080</v>
      </c>
      <c r="D5454" s="8">
        <v>39850</v>
      </c>
      <c r="F5454" s="8">
        <v>39850</v>
      </c>
      <c r="G5454" s="8">
        <v>39850</v>
      </c>
      <c r="Y5454" s="8"/>
    </row>
    <row r="5455" spans="1:25" x14ac:dyDescent="0.25">
      <c r="A5455" t="str">
        <f>"08-0984B"</f>
        <v>08-0984B</v>
      </c>
      <c r="D5455" s="8">
        <v>39849</v>
      </c>
      <c r="F5455" s="8">
        <v>39849</v>
      </c>
      <c r="G5455" s="8">
        <v>39849</v>
      </c>
      <c r="Y5455" s="8"/>
    </row>
    <row r="5456" spans="1:25" x14ac:dyDescent="0.25">
      <c r="A5456" t="str">
        <f>"09-0076"</f>
        <v>09-0076</v>
      </c>
      <c r="D5456" s="8">
        <v>39849</v>
      </c>
      <c r="F5456" s="8">
        <v>39849</v>
      </c>
      <c r="G5456" s="8">
        <v>39849</v>
      </c>
      <c r="Y5456" s="8"/>
    </row>
    <row r="5457" spans="1:25" x14ac:dyDescent="0.25">
      <c r="A5457" t="str">
        <f>"09-0077"</f>
        <v>09-0077</v>
      </c>
      <c r="D5457" s="8">
        <v>39849</v>
      </c>
      <c r="F5457" s="8">
        <v>39850</v>
      </c>
      <c r="G5457" s="8">
        <v>39849</v>
      </c>
      <c r="Y5457" s="8"/>
    </row>
    <row r="5458" spans="1:25" x14ac:dyDescent="0.25">
      <c r="A5458" t="str">
        <f>"09-0078"</f>
        <v>09-0078</v>
      </c>
      <c r="D5458" s="8">
        <v>39849</v>
      </c>
      <c r="F5458" s="8">
        <v>39849</v>
      </c>
      <c r="G5458" s="8">
        <v>39849</v>
      </c>
      <c r="Y5458" s="8"/>
    </row>
    <row r="5459" spans="1:25" x14ac:dyDescent="0.25">
      <c r="A5459" t="str">
        <f>"09-0079"</f>
        <v>09-0079</v>
      </c>
      <c r="D5459" s="8">
        <v>39849</v>
      </c>
      <c r="F5459" s="8">
        <v>41393</v>
      </c>
      <c r="G5459" s="8">
        <v>39849</v>
      </c>
      <c r="Y5459" s="8"/>
    </row>
    <row r="5460" spans="1:25" x14ac:dyDescent="0.25">
      <c r="A5460" t="str">
        <f>"09-0074"</f>
        <v>09-0074</v>
      </c>
      <c r="D5460" s="8">
        <v>39848</v>
      </c>
      <c r="F5460" s="8">
        <v>39850</v>
      </c>
      <c r="G5460" s="8">
        <v>39850</v>
      </c>
      <c r="Y5460" s="8"/>
    </row>
    <row r="5461" spans="1:25" x14ac:dyDescent="0.25">
      <c r="A5461" t="str">
        <f>"09-0075"</f>
        <v>09-0075</v>
      </c>
      <c r="D5461" s="8">
        <v>39848</v>
      </c>
      <c r="F5461" s="8">
        <v>39850</v>
      </c>
      <c r="G5461" s="8">
        <v>39850</v>
      </c>
      <c r="Y5461" s="8"/>
    </row>
    <row r="5462" spans="1:25" x14ac:dyDescent="0.25">
      <c r="A5462" t="str">
        <f>"09-0008B"</f>
        <v>09-0008B</v>
      </c>
      <c r="D5462" s="8">
        <v>39847</v>
      </c>
      <c r="F5462" s="8">
        <v>39847</v>
      </c>
      <c r="G5462" s="8">
        <v>39848</v>
      </c>
      <c r="Y5462" s="8"/>
    </row>
    <row r="5463" spans="1:25" x14ac:dyDescent="0.25">
      <c r="A5463" t="str">
        <f>"09-0071"</f>
        <v>09-0071</v>
      </c>
      <c r="D5463" s="8">
        <v>39847</v>
      </c>
      <c r="F5463" s="8">
        <v>39847</v>
      </c>
      <c r="G5463" s="8">
        <v>39850</v>
      </c>
      <c r="Y5463" s="8"/>
    </row>
    <row r="5464" spans="1:25" x14ac:dyDescent="0.25">
      <c r="A5464" t="str">
        <f>"09-0072"</f>
        <v>09-0072</v>
      </c>
      <c r="D5464" s="8">
        <v>39847</v>
      </c>
      <c r="G5464" s="8">
        <v>39850</v>
      </c>
    </row>
    <row r="5465" spans="1:25" x14ac:dyDescent="0.25">
      <c r="A5465" t="str">
        <f>"09-0073"</f>
        <v>09-0073</v>
      </c>
      <c r="D5465" s="8">
        <v>39847</v>
      </c>
      <c r="F5465" s="8">
        <v>39847</v>
      </c>
      <c r="G5465" s="8">
        <v>39847</v>
      </c>
      <c r="Y5465" s="8"/>
    </row>
    <row r="5466" spans="1:25" x14ac:dyDescent="0.25">
      <c r="A5466" t="str">
        <f>"08-0946B"</f>
        <v>08-0946B</v>
      </c>
      <c r="D5466" s="8">
        <v>39846</v>
      </c>
      <c r="F5466" s="8">
        <v>39847</v>
      </c>
      <c r="G5466" s="8">
        <v>39846</v>
      </c>
      <c r="Y5466" s="8"/>
    </row>
    <row r="5467" spans="1:25" x14ac:dyDescent="0.25">
      <c r="A5467" t="str">
        <f>"09-0067"</f>
        <v>09-0067</v>
      </c>
      <c r="D5467" s="8">
        <v>39846</v>
      </c>
      <c r="F5467" s="8">
        <v>39846</v>
      </c>
      <c r="G5467" s="8">
        <v>39846</v>
      </c>
      <c r="Y5467" s="8"/>
    </row>
    <row r="5468" spans="1:25" x14ac:dyDescent="0.25">
      <c r="A5468" t="str">
        <f>"09-0069"</f>
        <v>09-0069</v>
      </c>
      <c r="D5468" s="8">
        <v>39846</v>
      </c>
      <c r="F5468" s="8">
        <v>39846</v>
      </c>
      <c r="G5468" s="8">
        <v>39846</v>
      </c>
      <c r="Y5468" s="8"/>
    </row>
    <row r="5469" spans="1:25" x14ac:dyDescent="0.25">
      <c r="A5469" t="str">
        <f>"09-0070"</f>
        <v>09-0070</v>
      </c>
      <c r="D5469" s="8">
        <v>39846</v>
      </c>
      <c r="F5469" s="8">
        <v>39846</v>
      </c>
      <c r="G5469" s="8">
        <v>39846</v>
      </c>
      <c r="Y5469" s="8"/>
    </row>
    <row r="5470" spans="1:25" x14ac:dyDescent="0.25">
      <c r="A5470" t="str">
        <f>"09-0064"</f>
        <v>09-0064</v>
      </c>
      <c r="D5470" s="8">
        <v>39843</v>
      </c>
      <c r="F5470" s="8">
        <v>39843</v>
      </c>
      <c r="G5470" s="8">
        <v>39843</v>
      </c>
      <c r="Y5470" s="8"/>
    </row>
    <row r="5471" spans="1:25" x14ac:dyDescent="0.25">
      <c r="A5471" t="str">
        <f>"09-0065"</f>
        <v>09-0065</v>
      </c>
      <c r="D5471" s="8">
        <v>39843</v>
      </c>
      <c r="F5471" s="8">
        <v>39843</v>
      </c>
      <c r="G5471" s="8">
        <v>39848</v>
      </c>
      <c r="Y5471" s="8"/>
    </row>
    <row r="5472" spans="1:25" x14ac:dyDescent="0.25">
      <c r="A5472" t="str">
        <f>"09-0066"</f>
        <v>09-0066</v>
      </c>
      <c r="D5472" s="8">
        <v>39843</v>
      </c>
      <c r="F5472" s="8">
        <v>39853</v>
      </c>
      <c r="G5472" s="8">
        <v>39843</v>
      </c>
      <c r="Y5472" s="8"/>
    </row>
    <row r="5473" spans="1:25" x14ac:dyDescent="0.25">
      <c r="A5473" t="str">
        <f>"09-0068"</f>
        <v>09-0068</v>
      </c>
      <c r="D5473" s="8">
        <v>39843</v>
      </c>
      <c r="F5473" s="8">
        <v>39846</v>
      </c>
      <c r="G5473" s="8">
        <v>39843</v>
      </c>
      <c r="Y5473" s="8"/>
    </row>
    <row r="5474" spans="1:25" x14ac:dyDescent="0.25">
      <c r="A5474" t="str">
        <f>"09-0059"</f>
        <v>09-0059</v>
      </c>
      <c r="D5474" s="8">
        <v>39842</v>
      </c>
      <c r="F5474" s="8">
        <v>39842</v>
      </c>
      <c r="G5474" s="8">
        <v>39836</v>
      </c>
      <c r="Y5474" s="8"/>
    </row>
    <row r="5475" spans="1:25" x14ac:dyDescent="0.25">
      <c r="A5475" t="str">
        <f>"09-0060"</f>
        <v>09-0060</v>
      </c>
      <c r="D5475" s="8">
        <v>39842</v>
      </c>
      <c r="F5475" s="8">
        <v>39842</v>
      </c>
      <c r="G5475" s="8">
        <v>39842</v>
      </c>
      <c r="Y5475" s="8"/>
    </row>
    <row r="5476" spans="1:25" x14ac:dyDescent="0.25">
      <c r="A5476" t="str">
        <f>"09-0061"</f>
        <v>09-0061</v>
      </c>
      <c r="D5476" s="8">
        <v>39842</v>
      </c>
      <c r="F5476" s="8">
        <v>39842</v>
      </c>
      <c r="G5476" s="8">
        <v>39842</v>
      </c>
      <c r="Y5476" s="8"/>
    </row>
    <row r="5477" spans="1:25" x14ac:dyDescent="0.25">
      <c r="A5477" t="str">
        <f>"09-0062"</f>
        <v>09-0062</v>
      </c>
      <c r="D5477" s="8">
        <v>39842</v>
      </c>
      <c r="F5477" s="8">
        <v>39842</v>
      </c>
      <c r="G5477" s="8">
        <v>39839</v>
      </c>
      <c r="Y5477" s="8"/>
    </row>
    <row r="5478" spans="1:25" x14ac:dyDescent="0.25">
      <c r="A5478" t="str">
        <f>"09-0063"</f>
        <v>09-0063</v>
      </c>
      <c r="D5478" s="8">
        <v>39842</v>
      </c>
      <c r="F5478" s="8">
        <v>39842</v>
      </c>
      <c r="G5478" s="8">
        <v>39842</v>
      </c>
      <c r="Y5478" s="8"/>
    </row>
    <row r="5479" spans="1:25" x14ac:dyDescent="0.25">
      <c r="A5479" t="str">
        <f>"09-0057"</f>
        <v>09-0057</v>
      </c>
      <c r="D5479" s="8">
        <v>39841</v>
      </c>
      <c r="F5479" s="8">
        <v>39846</v>
      </c>
      <c r="G5479" s="8">
        <v>39841</v>
      </c>
      <c r="Y5479" s="8"/>
    </row>
    <row r="5480" spans="1:25" x14ac:dyDescent="0.25">
      <c r="A5480" t="str">
        <f>"09-0058"</f>
        <v>09-0058</v>
      </c>
      <c r="D5480" s="8">
        <v>39841</v>
      </c>
      <c r="F5480" s="8">
        <v>40751</v>
      </c>
      <c r="G5480" s="8">
        <v>39841</v>
      </c>
      <c r="Y5480" s="8"/>
    </row>
    <row r="5481" spans="1:25" x14ac:dyDescent="0.25">
      <c r="A5481" t="str">
        <f>"09-0052B"</f>
        <v>09-0052B</v>
      </c>
      <c r="D5481" s="8">
        <v>39840</v>
      </c>
      <c r="F5481" s="8">
        <v>39840</v>
      </c>
      <c r="G5481" s="8">
        <v>39840</v>
      </c>
      <c r="Y5481" s="8"/>
    </row>
    <row r="5482" spans="1:25" x14ac:dyDescent="0.25">
      <c r="A5482" t="str">
        <f>"09-0055"</f>
        <v>09-0055</v>
      </c>
      <c r="D5482" s="8">
        <v>39840</v>
      </c>
      <c r="F5482" s="8">
        <v>39840</v>
      </c>
      <c r="G5482" s="8">
        <v>39840</v>
      </c>
      <c r="Y5482" s="8"/>
    </row>
    <row r="5483" spans="1:25" x14ac:dyDescent="0.25">
      <c r="A5483" t="str">
        <f>"09-0056"</f>
        <v>09-0056</v>
      </c>
      <c r="D5483" s="8">
        <v>39840</v>
      </c>
      <c r="F5483" s="8">
        <v>39841</v>
      </c>
      <c r="G5483" s="8">
        <v>39841</v>
      </c>
      <c r="Y5483" s="8"/>
    </row>
    <row r="5484" spans="1:25" x14ac:dyDescent="0.25">
      <c r="A5484" t="str">
        <f>"09-0054"</f>
        <v>09-0054</v>
      </c>
      <c r="D5484" s="8">
        <v>39839</v>
      </c>
      <c r="F5484" s="8">
        <v>39840</v>
      </c>
      <c r="G5484" s="8">
        <v>39840</v>
      </c>
      <c r="Y5484" s="8"/>
    </row>
    <row r="5485" spans="1:25" x14ac:dyDescent="0.25">
      <c r="A5485" t="str">
        <f>"09-0050"</f>
        <v>09-0050</v>
      </c>
      <c r="D5485" s="8">
        <v>39836</v>
      </c>
      <c r="F5485" s="8">
        <v>39836</v>
      </c>
      <c r="G5485" s="8">
        <v>39836</v>
      </c>
      <c r="Y5485" s="8"/>
    </row>
    <row r="5486" spans="1:25" x14ac:dyDescent="0.25">
      <c r="A5486" t="str">
        <f>"09-0051"</f>
        <v>09-0051</v>
      </c>
      <c r="D5486" s="8">
        <v>39836</v>
      </c>
      <c r="F5486" s="8">
        <v>39868</v>
      </c>
      <c r="G5486" s="8">
        <v>39836</v>
      </c>
      <c r="Y5486" s="8"/>
    </row>
    <row r="5487" spans="1:25" x14ac:dyDescent="0.25">
      <c r="A5487" t="str">
        <f>"09-0052"</f>
        <v>09-0052</v>
      </c>
      <c r="D5487" s="8">
        <v>39836</v>
      </c>
      <c r="F5487" s="8">
        <v>39902</v>
      </c>
      <c r="G5487" s="8">
        <v>39836</v>
      </c>
      <c r="Y5487" s="8"/>
    </row>
    <row r="5488" spans="1:25" x14ac:dyDescent="0.25">
      <c r="A5488" t="str">
        <f>"09-0053"</f>
        <v>09-0053</v>
      </c>
      <c r="D5488" s="8">
        <v>39836</v>
      </c>
      <c r="F5488" s="8">
        <v>39836</v>
      </c>
      <c r="G5488" s="8">
        <v>39836</v>
      </c>
      <c r="Y5488" s="8"/>
    </row>
    <row r="5489" spans="1:25" x14ac:dyDescent="0.25">
      <c r="A5489" t="str">
        <f>"09-0044"</f>
        <v>09-0044</v>
      </c>
      <c r="D5489" s="8">
        <v>39834</v>
      </c>
      <c r="F5489" s="8">
        <v>39834</v>
      </c>
      <c r="G5489" s="8">
        <v>39899</v>
      </c>
      <c r="Y5489" s="8"/>
    </row>
    <row r="5490" spans="1:25" x14ac:dyDescent="0.25">
      <c r="A5490" t="str">
        <f>"09-0045"</f>
        <v>09-0045</v>
      </c>
      <c r="D5490" s="8">
        <v>39834</v>
      </c>
      <c r="F5490" s="8">
        <v>39834</v>
      </c>
      <c r="G5490" s="8">
        <v>39834</v>
      </c>
      <c r="Y5490" s="8"/>
    </row>
    <row r="5491" spans="1:25" x14ac:dyDescent="0.25">
      <c r="A5491" t="str">
        <f>"09-0046"</f>
        <v>09-0046</v>
      </c>
      <c r="D5491" s="8">
        <v>39834</v>
      </c>
      <c r="F5491" s="8">
        <v>39834</v>
      </c>
      <c r="G5491" s="8">
        <v>39834</v>
      </c>
      <c r="Y5491" s="8"/>
    </row>
    <row r="5492" spans="1:25" x14ac:dyDescent="0.25">
      <c r="A5492" t="str">
        <f>"09-0047"</f>
        <v>09-0047</v>
      </c>
      <c r="D5492" s="8">
        <v>39834</v>
      </c>
      <c r="F5492" s="8">
        <v>39847</v>
      </c>
      <c r="G5492" s="8">
        <v>39836</v>
      </c>
      <c r="Y5492" s="8"/>
    </row>
    <row r="5493" spans="1:25" x14ac:dyDescent="0.25">
      <c r="A5493" t="str">
        <f>"09-0048"</f>
        <v>09-0048</v>
      </c>
      <c r="D5493" s="8">
        <v>39834</v>
      </c>
      <c r="F5493" s="8">
        <v>39834</v>
      </c>
      <c r="G5493" s="8">
        <v>39834</v>
      </c>
      <c r="Y5493" s="8"/>
    </row>
    <row r="5494" spans="1:25" x14ac:dyDescent="0.25">
      <c r="A5494" t="str">
        <f>"09-0049"</f>
        <v>09-0049</v>
      </c>
      <c r="D5494" s="8">
        <v>39834</v>
      </c>
      <c r="F5494" s="8">
        <v>39834</v>
      </c>
      <c r="G5494" s="8">
        <v>39834</v>
      </c>
      <c r="Y5494" s="8"/>
    </row>
    <row r="5495" spans="1:25" x14ac:dyDescent="0.25">
      <c r="A5495" t="str">
        <f>"09-0037"</f>
        <v>09-0037</v>
      </c>
      <c r="D5495" s="8">
        <v>39833</v>
      </c>
      <c r="F5495" s="8">
        <v>39833</v>
      </c>
      <c r="G5495" s="8">
        <v>39833</v>
      </c>
      <c r="Y5495" s="8"/>
    </row>
    <row r="5496" spans="1:25" x14ac:dyDescent="0.25">
      <c r="A5496" t="str">
        <f>"09-0038"</f>
        <v>09-0038</v>
      </c>
      <c r="D5496" s="8">
        <v>39833</v>
      </c>
      <c r="F5496" s="8">
        <v>39833</v>
      </c>
      <c r="G5496" s="8">
        <v>39819</v>
      </c>
      <c r="Y5496" s="8"/>
    </row>
    <row r="5497" spans="1:25" x14ac:dyDescent="0.25">
      <c r="A5497" t="str">
        <f>"09-0039"</f>
        <v>09-0039</v>
      </c>
      <c r="D5497" s="8">
        <v>39833</v>
      </c>
      <c r="F5497" s="8">
        <v>39833</v>
      </c>
      <c r="G5497" s="8">
        <v>39833</v>
      </c>
      <c r="Y5497" s="8"/>
    </row>
    <row r="5498" spans="1:25" x14ac:dyDescent="0.25">
      <c r="A5498" t="str">
        <f>"09-0041"</f>
        <v>09-0041</v>
      </c>
      <c r="D5498" s="8">
        <v>39833</v>
      </c>
      <c r="F5498" s="8">
        <v>39833</v>
      </c>
      <c r="G5498" s="8">
        <v>39833</v>
      </c>
      <c r="Y5498" s="8"/>
    </row>
    <row r="5499" spans="1:25" x14ac:dyDescent="0.25">
      <c r="A5499" t="str">
        <f>"09-0042"</f>
        <v>09-0042</v>
      </c>
      <c r="D5499" s="8">
        <v>39833</v>
      </c>
      <c r="F5499" s="8">
        <v>39834</v>
      </c>
      <c r="G5499" s="8">
        <v>39836</v>
      </c>
      <c r="Y5499" s="8"/>
    </row>
    <row r="5500" spans="1:25" x14ac:dyDescent="0.25">
      <c r="A5500" t="str">
        <f>"09-0043"</f>
        <v>09-0043</v>
      </c>
      <c r="D5500" s="8">
        <v>39833</v>
      </c>
      <c r="F5500" s="8">
        <v>39833</v>
      </c>
      <c r="G5500" s="8">
        <v>39835</v>
      </c>
      <c r="Y5500" s="8"/>
    </row>
    <row r="5501" spans="1:25" x14ac:dyDescent="0.25">
      <c r="A5501" t="str">
        <f>"08-0959B"</f>
        <v>08-0959B</v>
      </c>
      <c r="D5501" s="8">
        <v>39832</v>
      </c>
      <c r="F5501" s="8">
        <v>39832</v>
      </c>
      <c r="G5501" s="8">
        <v>39832</v>
      </c>
      <c r="Y5501" s="8"/>
    </row>
    <row r="5502" spans="1:25" x14ac:dyDescent="0.25">
      <c r="A5502" t="str">
        <f>"09-0032"</f>
        <v>09-0032</v>
      </c>
      <c r="D5502" s="8">
        <v>39832</v>
      </c>
      <c r="F5502" s="8">
        <v>39832</v>
      </c>
      <c r="G5502" s="8">
        <v>39833</v>
      </c>
      <c r="Y5502" s="8"/>
    </row>
    <row r="5503" spans="1:25" x14ac:dyDescent="0.25">
      <c r="A5503" t="str">
        <f>"09-0033"</f>
        <v>09-0033</v>
      </c>
      <c r="D5503" s="8">
        <v>39832</v>
      </c>
      <c r="F5503" s="8">
        <v>39832</v>
      </c>
      <c r="G5503" s="8">
        <v>39833</v>
      </c>
      <c r="Y5503" s="8"/>
    </row>
    <row r="5504" spans="1:25" x14ac:dyDescent="0.25">
      <c r="A5504" t="str">
        <f>"09-0034"</f>
        <v>09-0034</v>
      </c>
      <c r="D5504" s="8">
        <v>39832</v>
      </c>
      <c r="F5504" s="8">
        <v>39832</v>
      </c>
      <c r="G5504" s="8">
        <v>39832</v>
      </c>
      <c r="Y5504" s="8"/>
    </row>
    <row r="5505" spans="1:25" x14ac:dyDescent="0.25">
      <c r="A5505" t="str">
        <f>"09-0035"</f>
        <v>09-0035</v>
      </c>
      <c r="D5505" s="8">
        <v>39832</v>
      </c>
      <c r="F5505" s="8">
        <v>39832</v>
      </c>
      <c r="G5505" s="8">
        <v>39832</v>
      </c>
      <c r="Y5505" s="8"/>
    </row>
    <row r="5506" spans="1:25" x14ac:dyDescent="0.25">
      <c r="A5506" t="str">
        <f>"09-0036"</f>
        <v>09-0036</v>
      </c>
      <c r="D5506" s="8">
        <v>39832</v>
      </c>
      <c r="F5506" s="8">
        <v>39834</v>
      </c>
      <c r="G5506" s="8">
        <v>39832</v>
      </c>
      <c r="Y5506" s="8"/>
    </row>
    <row r="5507" spans="1:25" x14ac:dyDescent="0.25">
      <c r="A5507" t="str">
        <f>"09-0029"</f>
        <v>09-0029</v>
      </c>
      <c r="D5507" s="8">
        <v>39828</v>
      </c>
      <c r="F5507" s="8">
        <v>39828</v>
      </c>
      <c r="G5507" s="8">
        <v>39828</v>
      </c>
      <c r="Y5507" s="8"/>
    </row>
    <row r="5508" spans="1:25" x14ac:dyDescent="0.25">
      <c r="A5508" t="str">
        <f>"09-0030"</f>
        <v>09-0030</v>
      </c>
      <c r="D5508" s="8">
        <v>39828</v>
      </c>
      <c r="F5508" s="8">
        <v>39828</v>
      </c>
      <c r="G5508" s="8">
        <v>39828</v>
      </c>
      <c r="Y5508" s="8"/>
    </row>
    <row r="5509" spans="1:25" x14ac:dyDescent="0.25">
      <c r="A5509" t="str">
        <f>"09-0031"</f>
        <v>09-0031</v>
      </c>
      <c r="D5509" s="8">
        <v>39828</v>
      </c>
      <c r="F5509" s="8">
        <v>39828</v>
      </c>
      <c r="G5509" s="8">
        <v>39828</v>
      </c>
      <c r="Y5509" s="8"/>
    </row>
    <row r="5510" spans="1:25" x14ac:dyDescent="0.25">
      <c r="A5510" t="str">
        <f>"09-0025"</f>
        <v>09-0025</v>
      </c>
      <c r="D5510" s="8">
        <v>39827</v>
      </c>
      <c r="F5510" s="8">
        <v>39827</v>
      </c>
      <c r="G5510" s="8">
        <v>39827</v>
      </c>
      <c r="Y5510" s="8"/>
    </row>
    <row r="5511" spans="1:25" x14ac:dyDescent="0.25">
      <c r="A5511" t="str">
        <f>"09-0026"</f>
        <v>09-0026</v>
      </c>
      <c r="D5511" s="8">
        <v>39827</v>
      </c>
      <c r="F5511" s="8">
        <v>39849</v>
      </c>
      <c r="G5511" s="8">
        <v>39827</v>
      </c>
      <c r="Y5511" s="8"/>
    </row>
    <row r="5512" spans="1:25" x14ac:dyDescent="0.25">
      <c r="A5512" t="str">
        <f>"09-0027"</f>
        <v>09-0027</v>
      </c>
      <c r="D5512" s="8">
        <v>39827</v>
      </c>
      <c r="F5512" s="8">
        <v>39827</v>
      </c>
      <c r="G5512" s="8">
        <v>39827</v>
      </c>
      <c r="Y5512" s="8"/>
    </row>
    <row r="5513" spans="1:25" x14ac:dyDescent="0.25">
      <c r="A5513" t="str">
        <f>"09-0028"</f>
        <v>09-0028</v>
      </c>
      <c r="D5513" s="8">
        <v>39827</v>
      </c>
      <c r="F5513" s="8">
        <v>39827</v>
      </c>
      <c r="G5513" s="8">
        <v>39827</v>
      </c>
      <c r="Y5513" s="8"/>
    </row>
    <row r="5514" spans="1:25" x14ac:dyDescent="0.25">
      <c r="A5514" t="str">
        <f>"08-0977B"</f>
        <v>08-0977B</v>
      </c>
      <c r="D5514" s="8">
        <v>39826</v>
      </c>
      <c r="F5514" s="8">
        <v>39826</v>
      </c>
      <c r="G5514" s="8">
        <v>39826</v>
      </c>
      <c r="Y5514" s="8"/>
    </row>
    <row r="5515" spans="1:25" x14ac:dyDescent="0.25">
      <c r="A5515" t="str">
        <f>"09-0023"</f>
        <v>09-0023</v>
      </c>
      <c r="D5515" s="8">
        <v>39826</v>
      </c>
      <c r="F5515" s="8">
        <v>39826</v>
      </c>
      <c r="G5515" s="8">
        <v>39826</v>
      </c>
      <c r="Y5515" s="8"/>
    </row>
    <row r="5516" spans="1:25" x14ac:dyDescent="0.25">
      <c r="A5516" t="str">
        <f>"09-0024"</f>
        <v>09-0024</v>
      </c>
      <c r="D5516" s="8">
        <v>39826</v>
      </c>
      <c r="F5516" s="8">
        <v>39826</v>
      </c>
      <c r="G5516" s="8">
        <v>39826</v>
      </c>
      <c r="Y5516" s="8"/>
    </row>
    <row r="5517" spans="1:25" x14ac:dyDescent="0.25">
      <c r="A5517" t="str">
        <f>"09-0020"</f>
        <v>09-0020</v>
      </c>
      <c r="D5517" s="8">
        <v>39825</v>
      </c>
      <c r="F5517" s="8">
        <v>39825</v>
      </c>
      <c r="G5517" s="8">
        <v>39825</v>
      </c>
      <c r="Y5517" s="8"/>
    </row>
    <row r="5518" spans="1:25" x14ac:dyDescent="0.25">
      <c r="A5518" t="str">
        <f>"09-0021"</f>
        <v>09-0021</v>
      </c>
      <c r="D5518" s="8">
        <v>39825</v>
      </c>
      <c r="F5518" s="8">
        <v>39825</v>
      </c>
      <c r="G5518" s="8">
        <v>39825</v>
      </c>
      <c r="Y5518" s="8"/>
    </row>
    <row r="5519" spans="1:25" x14ac:dyDescent="0.25">
      <c r="A5519" t="str">
        <f>"09-0022"</f>
        <v>09-0022</v>
      </c>
      <c r="D5519" s="8">
        <v>39825</v>
      </c>
      <c r="F5519" s="8">
        <v>39825</v>
      </c>
      <c r="G5519" s="8">
        <v>39825</v>
      </c>
      <c r="Y5519" s="8"/>
    </row>
    <row r="5520" spans="1:25" x14ac:dyDescent="0.25">
      <c r="A5520" t="str">
        <f>"09-0014"</f>
        <v>09-0014</v>
      </c>
      <c r="D5520" s="8">
        <v>39821</v>
      </c>
      <c r="F5520" s="8">
        <v>39822</v>
      </c>
      <c r="G5520" s="8">
        <v>39825</v>
      </c>
      <c r="Y5520" s="8"/>
    </row>
    <row r="5521" spans="1:25" x14ac:dyDescent="0.25">
      <c r="A5521" t="str">
        <f>"09-0015"</f>
        <v>09-0015</v>
      </c>
      <c r="D5521" s="8">
        <v>39821</v>
      </c>
      <c r="F5521" s="8">
        <v>40582</v>
      </c>
      <c r="G5521" s="8">
        <v>39825</v>
      </c>
      <c r="Y5521" s="8"/>
    </row>
    <row r="5522" spans="1:25" x14ac:dyDescent="0.25">
      <c r="A5522" t="str">
        <f>"09-0016"</f>
        <v>09-0016</v>
      </c>
      <c r="D5522" s="8">
        <v>39821</v>
      </c>
      <c r="F5522" s="8">
        <v>39821</v>
      </c>
      <c r="G5522" s="8">
        <v>39825</v>
      </c>
      <c r="Y5522" s="8"/>
    </row>
    <row r="5523" spans="1:25" x14ac:dyDescent="0.25">
      <c r="A5523" t="str">
        <f>"09-0017"</f>
        <v>09-0017</v>
      </c>
      <c r="D5523" s="8">
        <v>39821</v>
      </c>
      <c r="F5523" s="8">
        <v>39821</v>
      </c>
      <c r="G5523" s="8">
        <v>39821</v>
      </c>
      <c r="Y5523" s="8"/>
    </row>
    <row r="5524" spans="1:25" x14ac:dyDescent="0.25">
      <c r="A5524" t="str">
        <f>"09-0018"</f>
        <v>09-0018</v>
      </c>
      <c r="D5524" s="8">
        <v>39821</v>
      </c>
      <c r="F5524" s="8">
        <v>39821</v>
      </c>
      <c r="G5524" s="8">
        <v>39821</v>
      </c>
      <c r="Y5524" s="8"/>
    </row>
    <row r="5525" spans="1:25" x14ac:dyDescent="0.25">
      <c r="A5525" t="str">
        <f>"09-0019"</f>
        <v>09-0019</v>
      </c>
      <c r="D5525" s="8">
        <v>39821</v>
      </c>
      <c r="F5525" s="8">
        <v>39821</v>
      </c>
      <c r="G5525" s="8">
        <v>39826</v>
      </c>
      <c r="Y5525" s="8"/>
    </row>
    <row r="5526" spans="1:25" x14ac:dyDescent="0.25">
      <c r="A5526" t="str">
        <f>"09-0011"</f>
        <v>09-0011</v>
      </c>
      <c r="D5526" s="8">
        <v>39820</v>
      </c>
      <c r="F5526" s="8">
        <v>39820</v>
      </c>
      <c r="G5526" s="8">
        <v>39820</v>
      </c>
      <c r="Y5526" s="8"/>
    </row>
    <row r="5527" spans="1:25" x14ac:dyDescent="0.25">
      <c r="A5527" t="str">
        <f>"09-0012"</f>
        <v>09-0012</v>
      </c>
      <c r="D5527" s="8">
        <v>39820</v>
      </c>
      <c r="F5527" s="8">
        <v>39820</v>
      </c>
      <c r="G5527" s="8">
        <v>39820</v>
      </c>
      <c r="Y5527" s="8"/>
    </row>
    <row r="5528" spans="1:25" x14ac:dyDescent="0.25">
      <c r="A5528" t="str">
        <f>"09-0013"</f>
        <v>09-0013</v>
      </c>
      <c r="D5528" s="8">
        <v>39820</v>
      </c>
      <c r="F5528" s="8">
        <v>39847</v>
      </c>
      <c r="G5528" s="8">
        <v>39820</v>
      </c>
      <c r="Y5528" s="8"/>
    </row>
    <row r="5529" spans="1:25" x14ac:dyDescent="0.25">
      <c r="A5529" t="str">
        <f>"09-0005"</f>
        <v>09-0005</v>
      </c>
      <c r="D5529" s="8">
        <v>39819</v>
      </c>
      <c r="F5529" s="8">
        <v>39854</v>
      </c>
      <c r="G5529" s="8">
        <v>39819</v>
      </c>
      <c r="Y5529" s="8"/>
    </row>
    <row r="5530" spans="1:25" x14ac:dyDescent="0.25">
      <c r="A5530" t="str">
        <f>"09-0006"</f>
        <v>09-0006</v>
      </c>
      <c r="D5530" s="8">
        <v>39819</v>
      </c>
      <c r="F5530" s="8">
        <v>39825</v>
      </c>
      <c r="G5530" s="8">
        <v>39822</v>
      </c>
      <c r="Y5530" s="8"/>
    </row>
    <row r="5531" spans="1:25" x14ac:dyDescent="0.25">
      <c r="A5531" t="str">
        <f>"09-0007"</f>
        <v>09-0007</v>
      </c>
      <c r="D5531" s="8">
        <v>39819</v>
      </c>
      <c r="F5531" s="8">
        <v>40044</v>
      </c>
      <c r="G5531" s="8">
        <v>39819</v>
      </c>
      <c r="Y5531" s="8"/>
    </row>
    <row r="5532" spans="1:25" x14ac:dyDescent="0.25">
      <c r="A5532" t="str">
        <f>"09-0008"</f>
        <v>09-0008</v>
      </c>
      <c r="D5532" s="8">
        <v>39819</v>
      </c>
      <c r="F5532" s="8">
        <v>39848</v>
      </c>
      <c r="G5532" s="8">
        <v>39828</v>
      </c>
      <c r="Y5532" s="8"/>
    </row>
    <row r="5533" spans="1:25" x14ac:dyDescent="0.25">
      <c r="A5533" t="str">
        <f>"09-0009"</f>
        <v>09-0009</v>
      </c>
      <c r="D5533" s="8">
        <v>39819</v>
      </c>
      <c r="F5533" s="8">
        <v>39826</v>
      </c>
      <c r="G5533" s="8">
        <v>39828</v>
      </c>
      <c r="Y5533" s="8"/>
    </row>
    <row r="5534" spans="1:25" x14ac:dyDescent="0.25">
      <c r="A5534" t="str">
        <f>"09-0010"</f>
        <v>09-0010</v>
      </c>
      <c r="D5534" s="8">
        <v>39819</v>
      </c>
      <c r="F5534" s="8">
        <v>39819</v>
      </c>
      <c r="G5534" s="8">
        <v>39819</v>
      </c>
      <c r="Y5534" s="8"/>
    </row>
    <row r="5535" spans="1:25" x14ac:dyDescent="0.25">
      <c r="A5535" t="str">
        <f>"08-0919B"</f>
        <v>08-0919B</v>
      </c>
      <c r="D5535" s="8">
        <v>39818</v>
      </c>
      <c r="F5535" s="8">
        <v>39818</v>
      </c>
      <c r="G5535" s="8">
        <v>39818</v>
      </c>
      <c r="Y5535" s="8"/>
    </row>
    <row r="5536" spans="1:25" x14ac:dyDescent="0.25">
      <c r="A5536" t="str">
        <f>"09-0001"</f>
        <v>09-0001</v>
      </c>
      <c r="D5536" s="8">
        <v>39818</v>
      </c>
      <c r="F5536" s="8">
        <v>39818</v>
      </c>
      <c r="G5536" s="8">
        <v>39818</v>
      </c>
      <c r="Y5536" s="8"/>
    </row>
    <row r="5537" spans="1:25" x14ac:dyDescent="0.25">
      <c r="A5537" t="str">
        <f>"09-0002"</f>
        <v>09-0002</v>
      </c>
      <c r="D5537" s="8">
        <v>39818</v>
      </c>
      <c r="F5537" s="8">
        <v>39818</v>
      </c>
      <c r="G5537" s="8">
        <v>39818</v>
      </c>
      <c r="Y5537" s="8"/>
    </row>
    <row r="5538" spans="1:25" x14ac:dyDescent="0.25">
      <c r="A5538" t="str">
        <f>"09-0003"</f>
        <v>09-0003</v>
      </c>
      <c r="D5538" s="8">
        <v>39818</v>
      </c>
      <c r="F5538" s="8">
        <v>39818</v>
      </c>
      <c r="G5538" s="8">
        <v>39818</v>
      </c>
      <c r="Y5538" s="8"/>
    </row>
    <row r="5539" spans="1:25" x14ac:dyDescent="0.25">
      <c r="A5539" t="str">
        <f>"09-0004"</f>
        <v>09-0004</v>
      </c>
      <c r="D5539" s="8">
        <v>39818</v>
      </c>
      <c r="F5539" s="8">
        <v>39818</v>
      </c>
      <c r="G5539" s="8">
        <v>39818</v>
      </c>
      <c r="Y5539" s="8"/>
    </row>
    <row r="5540" spans="1:25" x14ac:dyDescent="0.25">
      <c r="A5540" t="str">
        <f>"08-0980"</f>
        <v>08-0980</v>
      </c>
      <c r="D5540" s="8">
        <v>39806</v>
      </c>
      <c r="F5540" s="8">
        <v>39806</v>
      </c>
      <c r="G5540" s="8">
        <v>39806</v>
      </c>
      <c r="Y5540" s="8"/>
    </row>
    <row r="5541" spans="1:25" x14ac:dyDescent="0.25">
      <c r="A5541" t="str">
        <f>"08-0981"</f>
        <v>08-0981</v>
      </c>
      <c r="D5541" s="8">
        <v>39806</v>
      </c>
      <c r="F5541" s="8">
        <v>39832</v>
      </c>
      <c r="G5541" s="8">
        <v>39828</v>
      </c>
      <c r="Y5541" s="8"/>
    </row>
    <row r="5542" spans="1:25" x14ac:dyDescent="0.25">
      <c r="A5542" t="str">
        <f>"08-0982"</f>
        <v>08-0982</v>
      </c>
      <c r="D5542" s="8">
        <v>39806</v>
      </c>
      <c r="F5542" s="8">
        <v>39806</v>
      </c>
      <c r="G5542" s="8">
        <v>39806</v>
      </c>
      <c r="Y5542" s="8"/>
    </row>
    <row r="5543" spans="1:25" x14ac:dyDescent="0.25">
      <c r="A5543" t="str">
        <f>"08-0983"</f>
        <v>08-0983</v>
      </c>
      <c r="D5543" s="8">
        <v>39806</v>
      </c>
      <c r="F5543" s="8">
        <v>39827</v>
      </c>
      <c r="G5543" s="8">
        <v>39818</v>
      </c>
      <c r="Y5543" s="8"/>
    </row>
    <row r="5544" spans="1:25" x14ac:dyDescent="0.25">
      <c r="A5544" t="str">
        <f>"08-0984"</f>
        <v>08-0984</v>
      </c>
      <c r="D5544" s="8">
        <v>39806</v>
      </c>
      <c r="F5544" s="8">
        <v>39806</v>
      </c>
      <c r="G5544" s="8">
        <v>39814</v>
      </c>
      <c r="Y5544" s="8"/>
    </row>
    <row r="5545" spans="1:25" x14ac:dyDescent="0.25">
      <c r="A5545" t="str">
        <f>"08-0974"</f>
        <v>08-0974</v>
      </c>
      <c r="D5545" s="8">
        <v>39805</v>
      </c>
      <c r="F5545" s="8">
        <v>39805</v>
      </c>
      <c r="G5545" s="8">
        <v>39805</v>
      </c>
      <c r="Y5545" s="8"/>
    </row>
    <row r="5546" spans="1:25" x14ac:dyDescent="0.25">
      <c r="A5546" t="str">
        <f>"08-0975"</f>
        <v>08-0975</v>
      </c>
      <c r="D5546" s="8">
        <v>39805</v>
      </c>
      <c r="F5546" s="8">
        <v>39805</v>
      </c>
      <c r="G5546" s="8">
        <v>39805</v>
      </c>
      <c r="Y5546" s="8"/>
    </row>
    <row r="5547" spans="1:25" x14ac:dyDescent="0.25">
      <c r="A5547" t="str">
        <f>"08-0976"</f>
        <v>08-0976</v>
      </c>
      <c r="D5547" s="8">
        <v>39805</v>
      </c>
      <c r="F5547" s="8">
        <v>39805</v>
      </c>
      <c r="G5547" s="8">
        <v>39805</v>
      </c>
      <c r="Y5547" s="8"/>
    </row>
    <row r="5548" spans="1:25" x14ac:dyDescent="0.25">
      <c r="A5548" t="str">
        <f>"08-0977"</f>
        <v>08-0977</v>
      </c>
      <c r="D5548" s="8">
        <v>39805</v>
      </c>
      <c r="F5548" s="8">
        <v>39818</v>
      </c>
      <c r="G5548" s="8">
        <v>39821</v>
      </c>
      <c r="Y5548" s="8"/>
    </row>
    <row r="5549" spans="1:25" x14ac:dyDescent="0.25">
      <c r="A5549" t="str">
        <f>"08-0978"</f>
        <v>08-0978</v>
      </c>
      <c r="D5549" s="8">
        <v>39805</v>
      </c>
      <c r="F5549" s="8">
        <v>39805</v>
      </c>
      <c r="G5549" s="8">
        <v>39805</v>
      </c>
      <c r="Y5549" s="8"/>
    </row>
    <row r="5550" spans="1:25" x14ac:dyDescent="0.25">
      <c r="A5550" t="str">
        <f>"08-0963"</f>
        <v>08-0963</v>
      </c>
      <c r="D5550" s="8">
        <v>39804</v>
      </c>
      <c r="F5550" s="8">
        <v>39804</v>
      </c>
      <c r="G5550" s="8">
        <v>39804</v>
      </c>
      <c r="Y5550" s="8"/>
    </row>
    <row r="5551" spans="1:25" x14ac:dyDescent="0.25">
      <c r="A5551" t="str">
        <f>"08-0964"</f>
        <v>08-0964</v>
      </c>
      <c r="D5551" s="8">
        <v>39804</v>
      </c>
      <c r="F5551" s="8">
        <v>39804</v>
      </c>
      <c r="G5551" s="8">
        <v>39804</v>
      </c>
      <c r="Y5551" s="8"/>
    </row>
    <row r="5552" spans="1:25" x14ac:dyDescent="0.25">
      <c r="A5552" t="str">
        <f>"08-0965"</f>
        <v>08-0965</v>
      </c>
      <c r="D5552" s="8">
        <v>39804</v>
      </c>
      <c r="F5552" s="8">
        <v>39804</v>
      </c>
      <c r="G5552" s="8">
        <v>39804</v>
      </c>
      <c r="Y5552" s="8"/>
    </row>
    <row r="5553" spans="1:25" x14ac:dyDescent="0.25">
      <c r="A5553" t="str">
        <f>"08-0966"</f>
        <v>08-0966</v>
      </c>
      <c r="D5553" s="8">
        <v>39804</v>
      </c>
      <c r="F5553" s="8">
        <v>39804</v>
      </c>
      <c r="G5553" s="8">
        <v>39804</v>
      </c>
      <c r="Y5553" s="8"/>
    </row>
    <row r="5554" spans="1:25" x14ac:dyDescent="0.25">
      <c r="A5554" t="str">
        <f>"08-0967"</f>
        <v>08-0967</v>
      </c>
      <c r="D5554" s="8">
        <v>39804</v>
      </c>
      <c r="F5554" s="8">
        <v>39804</v>
      </c>
      <c r="G5554" s="8">
        <v>39804</v>
      </c>
      <c r="Y5554" s="8"/>
    </row>
    <row r="5555" spans="1:25" x14ac:dyDescent="0.25">
      <c r="A5555" t="str">
        <f>"08-0968"</f>
        <v>08-0968</v>
      </c>
      <c r="D5555" s="8">
        <v>39804</v>
      </c>
      <c r="F5555" s="8">
        <v>39804</v>
      </c>
      <c r="G5555" s="8">
        <v>39804</v>
      </c>
      <c r="Y5555" s="8"/>
    </row>
    <row r="5556" spans="1:25" x14ac:dyDescent="0.25">
      <c r="A5556" t="str">
        <f>"08-0970"</f>
        <v>08-0970</v>
      </c>
      <c r="D5556" s="8">
        <v>39804</v>
      </c>
      <c r="F5556" s="8">
        <v>39819</v>
      </c>
      <c r="G5556" s="8">
        <v>39821</v>
      </c>
      <c r="Y5556" s="8"/>
    </row>
    <row r="5557" spans="1:25" x14ac:dyDescent="0.25">
      <c r="A5557" t="str">
        <f>"08-0971"</f>
        <v>08-0971</v>
      </c>
      <c r="D5557" s="8">
        <v>39804</v>
      </c>
      <c r="F5557" s="8">
        <v>39805</v>
      </c>
      <c r="G5557" s="8">
        <v>39805</v>
      </c>
      <c r="Y5557" s="8"/>
    </row>
    <row r="5558" spans="1:25" x14ac:dyDescent="0.25">
      <c r="A5558" t="str">
        <f>"08-0972"</f>
        <v>08-0972</v>
      </c>
      <c r="D5558" s="8">
        <v>39804</v>
      </c>
      <c r="F5558" s="8">
        <v>39805</v>
      </c>
      <c r="G5558" s="8">
        <v>39805</v>
      </c>
      <c r="Y5558" s="8"/>
    </row>
    <row r="5559" spans="1:25" x14ac:dyDescent="0.25">
      <c r="A5559" t="str">
        <f>"08-0973"</f>
        <v>08-0973</v>
      </c>
      <c r="D5559" s="8">
        <v>39804</v>
      </c>
      <c r="F5559" s="8">
        <v>39805</v>
      </c>
      <c r="G5559" s="8">
        <v>39804</v>
      </c>
      <c r="Y5559" s="8"/>
    </row>
    <row r="5560" spans="1:25" x14ac:dyDescent="0.25">
      <c r="A5560" t="str">
        <f>"08-0962"</f>
        <v>08-0962</v>
      </c>
      <c r="D5560" s="8">
        <v>39800</v>
      </c>
      <c r="F5560" s="8">
        <v>39800</v>
      </c>
      <c r="G5560" s="8">
        <v>39800</v>
      </c>
      <c r="Y5560" s="8"/>
    </row>
    <row r="5561" spans="1:25" x14ac:dyDescent="0.25">
      <c r="A5561" t="str">
        <f>"08-0957"</f>
        <v>08-0957</v>
      </c>
      <c r="D5561" s="8">
        <v>39799</v>
      </c>
      <c r="F5561" s="8">
        <v>39799</v>
      </c>
      <c r="G5561" s="8">
        <v>39799</v>
      </c>
      <c r="Y5561" s="8"/>
    </row>
    <row r="5562" spans="1:25" x14ac:dyDescent="0.25">
      <c r="A5562" t="str">
        <f>"08-0958"</f>
        <v>08-0958</v>
      </c>
      <c r="D5562" s="8">
        <v>39799</v>
      </c>
      <c r="F5562" s="8">
        <v>39799</v>
      </c>
      <c r="G5562" s="8">
        <v>39799</v>
      </c>
      <c r="Y5562" s="8"/>
    </row>
    <row r="5563" spans="1:25" x14ac:dyDescent="0.25">
      <c r="A5563" t="str">
        <f>"08-0959"</f>
        <v>08-0959</v>
      </c>
      <c r="D5563" s="8">
        <v>39799</v>
      </c>
      <c r="F5563" s="8">
        <v>39799</v>
      </c>
      <c r="G5563" s="8">
        <v>39800</v>
      </c>
      <c r="Y5563" s="8"/>
    </row>
    <row r="5564" spans="1:25" x14ac:dyDescent="0.25">
      <c r="A5564" t="str">
        <f>"08-0960"</f>
        <v>08-0960</v>
      </c>
      <c r="D5564" s="8">
        <v>39799</v>
      </c>
      <c r="F5564" s="8">
        <v>39799</v>
      </c>
      <c r="G5564" s="8">
        <v>39799</v>
      </c>
      <c r="Y5564" s="8"/>
    </row>
    <row r="5565" spans="1:25" x14ac:dyDescent="0.25">
      <c r="A5565" t="str">
        <f>"08-0961"</f>
        <v>08-0961</v>
      </c>
      <c r="D5565" s="8">
        <v>39799</v>
      </c>
      <c r="F5565" s="8">
        <v>39799</v>
      </c>
      <c r="G5565" s="8">
        <v>39799</v>
      </c>
      <c r="Y5565" s="8"/>
    </row>
    <row r="5566" spans="1:25" x14ac:dyDescent="0.25">
      <c r="A5566" t="str">
        <f>"08-0951"</f>
        <v>08-0951</v>
      </c>
      <c r="D5566" s="8">
        <v>39798</v>
      </c>
      <c r="F5566" s="8">
        <v>39799</v>
      </c>
      <c r="G5566" s="8">
        <v>39797</v>
      </c>
      <c r="Y5566" s="8"/>
    </row>
    <row r="5567" spans="1:25" x14ac:dyDescent="0.25">
      <c r="A5567" t="str">
        <f>"08-0952"</f>
        <v>08-0952</v>
      </c>
      <c r="D5567" s="8">
        <v>39798</v>
      </c>
      <c r="F5567" s="8">
        <v>39798</v>
      </c>
      <c r="G5567" s="8">
        <v>39798</v>
      </c>
      <c r="Y5567" s="8"/>
    </row>
    <row r="5568" spans="1:25" x14ac:dyDescent="0.25">
      <c r="A5568" t="str">
        <f>"08-0953"</f>
        <v>08-0953</v>
      </c>
      <c r="D5568" s="8">
        <v>39798</v>
      </c>
      <c r="F5568" s="8">
        <v>39798</v>
      </c>
      <c r="G5568" s="8">
        <v>39798</v>
      </c>
      <c r="Y5568" s="8"/>
    </row>
    <row r="5569" spans="1:25" x14ac:dyDescent="0.25">
      <c r="A5569" t="str">
        <f>"08-0954"</f>
        <v>08-0954</v>
      </c>
      <c r="D5569" s="8">
        <v>39798</v>
      </c>
      <c r="F5569" s="8">
        <v>39798</v>
      </c>
      <c r="G5569" s="8">
        <v>39798</v>
      </c>
      <c r="Y5569" s="8"/>
    </row>
    <row r="5570" spans="1:25" x14ac:dyDescent="0.25">
      <c r="A5570" t="str">
        <f>"08-0955"</f>
        <v>08-0955</v>
      </c>
      <c r="D5570" s="8">
        <v>39798</v>
      </c>
      <c r="F5570" s="8">
        <v>39798</v>
      </c>
      <c r="G5570" s="8">
        <v>39797</v>
      </c>
      <c r="Y5570" s="8"/>
    </row>
    <row r="5571" spans="1:25" x14ac:dyDescent="0.25">
      <c r="A5571" t="str">
        <f>"08-0956"</f>
        <v>08-0956</v>
      </c>
      <c r="D5571" s="8">
        <v>39798</v>
      </c>
      <c r="F5571" s="8">
        <v>39798</v>
      </c>
      <c r="G5571" s="8">
        <v>39798</v>
      </c>
      <c r="Y5571" s="8"/>
    </row>
    <row r="5572" spans="1:25" x14ac:dyDescent="0.25">
      <c r="A5572" t="str">
        <f>"08-0949"</f>
        <v>08-0949</v>
      </c>
      <c r="D5572" s="8">
        <v>39797</v>
      </c>
      <c r="F5572" s="8">
        <v>39798</v>
      </c>
      <c r="G5572" s="8">
        <v>39797</v>
      </c>
      <c r="Y5572" s="8"/>
    </row>
    <row r="5573" spans="1:25" x14ac:dyDescent="0.25">
      <c r="A5573" t="str">
        <f>"08-0950"</f>
        <v>08-0950</v>
      </c>
      <c r="D5573" s="8">
        <v>39797</v>
      </c>
      <c r="F5573" s="8">
        <v>39800</v>
      </c>
      <c r="G5573" s="8">
        <v>39797</v>
      </c>
      <c r="Y5573" s="8"/>
    </row>
    <row r="5574" spans="1:25" x14ac:dyDescent="0.25">
      <c r="A5574" t="str">
        <f>"08-0861B"</f>
        <v>08-0861B</v>
      </c>
      <c r="D5574" s="8">
        <v>39794</v>
      </c>
      <c r="F5574" s="8">
        <v>39794</v>
      </c>
      <c r="G5574" s="8">
        <v>39794</v>
      </c>
      <c r="Y5574" s="8"/>
    </row>
    <row r="5575" spans="1:25" x14ac:dyDescent="0.25">
      <c r="A5575" t="str">
        <f>"08-0939"</f>
        <v>08-0939</v>
      </c>
      <c r="D5575" s="8">
        <v>39794</v>
      </c>
      <c r="F5575" s="8">
        <v>39800</v>
      </c>
      <c r="G5575" s="8">
        <v>39794</v>
      </c>
      <c r="Y5575" s="8"/>
    </row>
    <row r="5576" spans="1:25" x14ac:dyDescent="0.25">
      <c r="A5576" t="str">
        <f>"08-0940"</f>
        <v>08-0940</v>
      </c>
      <c r="D5576" s="8">
        <v>39794</v>
      </c>
      <c r="F5576" s="8">
        <v>39794</v>
      </c>
      <c r="G5576" s="8">
        <v>39794</v>
      </c>
      <c r="Y5576" s="8"/>
    </row>
    <row r="5577" spans="1:25" x14ac:dyDescent="0.25">
      <c r="A5577" t="str">
        <f>"08-0941"</f>
        <v>08-0941</v>
      </c>
      <c r="D5577" s="8">
        <v>39794</v>
      </c>
      <c r="F5577" s="8">
        <v>39794</v>
      </c>
      <c r="G5577" s="8">
        <v>39794</v>
      </c>
      <c r="Y5577" s="8"/>
    </row>
    <row r="5578" spans="1:25" x14ac:dyDescent="0.25">
      <c r="A5578" t="str">
        <f>"08-0942"</f>
        <v>08-0942</v>
      </c>
      <c r="D5578" s="8">
        <v>39794</v>
      </c>
      <c r="F5578" s="8">
        <v>39794</v>
      </c>
      <c r="G5578" s="8">
        <v>39794</v>
      </c>
      <c r="Y5578" s="8"/>
    </row>
    <row r="5579" spans="1:25" x14ac:dyDescent="0.25">
      <c r="A5579" t="str">
        <f>"08-0943"</f>
        <v>08-0943</v>
      </c>
      <c r="D5579" s="8">
        <v>39794</v>
      </c>
      <c r="F5579" s="8">
        <v>39794</v>
      </c>
      <c r="G5579" s="8">
        <v>39794</v>
      </c>
      <c r="Y5579" s="8"/>
    </row>
    <row r="5580" spans="1:25" x14ac:dyDescent="0.25">
      <c r="A5580" t="str">
        <f>"08-0944"</f>
        <v>08-0944</v>
      </c>
      <c r="D5580" s="8">
        <v>39794</v>
      </c>
      <c r="F5580" s="8">
        <v>39794</v>
      </c>
      <c r="G5580" s="8">
        <v>39794</v>
      </c>
      <c r="Y5580" s="8"/>
    </row>
    <row r="5581" spans="1:25" x14ac:dyDescent="0.25">
      <c r="A5581" t="str">
        <f>"08-0945"</f>
        <v>08-0945</v>
      </c>
      <c r="D5581" s="8">
        <v>39794</v>
      </c>
      <c r="F5581" s="8">
        <v>39794</v>
      </c>
      <c r="G5581" s="8">
        <v>39794</v>
      </c>
      <c r="Y5581" s="8"/>
    </row>
    <row r="5582" spans="1:25" x14ac:dyDescent="0.25">
      <c r="A5582" t="str">
        <f>"08-0946"</f>
        <v>08-0946</v>
      </c>
      <c r="D5582" s="8">
        <v>39794</v>
      </c>
      <c r="F5582" s="8">
        <v>39794</v>
      </c>
      <c r="G5582" s="8">
        <v>39794</v>
      </c>
      <c r="Y5582" s="8"/>
    </row>
    <row r="5583" spans="1:25" x14ac:dyDescent="0.25">
      <c r="A5583" t="str">
        <f>"08-0947"</f>
        <v>08-0947</v>
      </c>
      <c r="D5583" s="8">
        <v>39794</v>
      </c>
      <c r="F5583" s="8">
        <v>39794</v>
      </c>
      <c r="G5583" s="8">
        <v>39794</v>
      </c>
      <c r="Y5583" s="8"/>
    </row>
    <row r="5584" spans="1:25" x14ac:dyDescent="0.25">
      <c r="A5584" t="str">
        <f>"08-0892B"</f>
        <v>08-0892B</v>
      </c>
      <c r="D5584" s="8">
        <v>39793</v>
      </c>
      <c r="F5584" s="8">
        <v>39793</v>
      </c>
      <c r="G5584" s="8">
        <v>39793</v>
      </c>
      <c r="Y5584" s="8"/>
    </row>
    <row r="5585" spans="1:25" x14ac:dyDescent="0.25">
      <c r="A5585" t="str">
        <f>"08-0900C"</f>
        <v>08-0900C</v>
      </c>
      <c r="D5585" s="8">
        <v>39793</v>
      </c>
      <c r="F5585" s="8">
        <v>39793</v>
      </c>
      <c r="G5585" s="8">
        <v>39793</v>
      </c>
      <c r="Y5585" s="8"/>
    </row>
    <row r="5586" spans="1:25" x14ac:dyDescent="0.25">
      <c r="A5586" t="str">
        <f>"08-0932"</f>
        <v>08-0932</v>
      </c>
      <c r="D5586" s="8">
        <v>39793</v>
      </c>
      <c r="F5586" s="8">
        <v>39794</v>
      </c>
      <c r="G5586" s="8">
        <v>39793</v>
      </c>
      <c r="Y5586" s="8"/>
    </row>
    <row r="5587" spans="1:25" x14ac:dyDescent="0.25">
      <c r="A5587" t="str">
        <f>"08-0933"</f>
        <v>08-0933</v>
      </c>
      <c r="D5587" s="8">
        <v>39793</v>
      </c>
      <c r="F5587" s="8">
        <v>39793</v>
      </c>
      <c r="G5587" s="8">
        <v>39793</v>
      </c>
      <c r="Y5587" s="8"/>
    </row>
    <row r="5588" spans="1:25" x14ac:dyDescent="0.25">
      <c r="A5588" t="str">
        <f>"08-0934"</f>
        <v>08-0934</v>
      </c>
      <c r="D5588" s="8">
        <v>39793</v>
      </c>
      <c r="F5588" s="8">
        <v>39793</v>
      </c>
      <c r="G5588" s="8">
        <v>39791</v>
      </c>
      <c r="Y5588" s="8"/>
    </row>
    <row r="5589" spans="1:25" x14ac:dyDescent="0.25">
      <c r="A5589" t="str">
        <f>"08-0935"</f>
        <v>08-0935</v>
      </c>
      <c r="D5589" s="8">
        <v>39793</v>
      </c>
      <c r="F5589" s="8">
        <v>39793</v>
      </c>
      <c r="G5589" s="8">
        <v>39793</v>
      </c>
      <c r="Y5589" s="8"/>
    </row>
    <row r="5590" spans="1:25" x14ac:dyDescent="0.25">
      <c r="A5590" t="str">
        <f>"08-0936"</f>
        <v>08-0936</v>
      </c>
      <c r="D5590" s="8">
        <v>39793</v>
      </c>
      <c r="F5590" s="8">
        <v>39793</v>
      </c>
      <c r="G5590" s="8">
        <v>39793</v>
      </c>
      <c r="Y5590" s="8"/>
    </row>
    <row r="5591" spans="1:25" x14ac:dyDescent="0.25">
      <c r="A5591" t="str">
        <f>"08-0937"</f>
        <v>08-0937</v>
      </c>
      <c r="D5591" s="8">
        <v>39793</v>
      </c>
      <c r="F5591" s="8">
        <v>39794</v>
      </c>
      <c r="G5591" s="8">
        <v>39793</v>
      </c>
      <c r="Y5591" s="8"/>
    </row>
    <row r="5592" spans="1:25" x14ac:dyDescent="0.25">
      <c r="A5592" t="str">
        <f>"08-0938"</f>
        <v>08-0938</v>
      </c>
      <c r="D5592" s="8">
        <v>39793</v>
      </c>
      <c r="F5592" s="8">
        <v>39794</v>
      </c>
      <c r="G5592" s="8">
        <v>39794</v>
      </c>
      <c r="Y5592" s="8"/>
    </row>
    <row r="5593" spans="1:25" x14ac:dyDescent="0.25">
      <c r="A5593" t="str">
        <f>"08-0931"</f>
        <v>08-0931</v>
      </c>
      <c r="D5593" s="8">
        <v>39792</v>
      </c>
      <c r="F5593" s="8">
        <v>39792</v>
      </c>
      <c r="G5593" s="8">
        <v>39792</v>
      </c>
      <c r="Y5593" s="8"/>
    </row>
    <row r="5594" spans="1:25" x14ac:dyDescent="0.25">
      <c r="A5594" t="str">
        <f>"08-0924"</f>
        <v>08-0924</v>
      </c>
      <c r="D5594" s="8">
        <v>39791</v>
      </c>
      <c r="F5594" s="8">
        <v>39791</v>
      </c>
      <c r="G5594" s="8">
        <v>39791</v>
      </c>
      <c r="Y5594" s="8"/>
    </row>
    <row r="5595" spans="1:25" x14ac:dyDescent="0.25">
      <c r="A5595" t="str">
        <f>"08-0925"</f>
        <v>08-0925</v>
      </c>
      <c r="D5595" s="8">
        <v>39791</v>
      </c>
      <c r="F5595" s="8">
        <v>39791</v>
      </c>
      <c r="G5595" s="8">
        <v>39791</v>
      </c>
      <c r="Y5595" s="8"/>
    </row>
    <row r="5596" spans="1:25" x14ac:dyDescent="0.25">
      <c r="A5596" t="str">
        <f>"08-0926"</f>
        <v>08-0926</v>
      </c>
      <c r="D5596" s="8">
        <v>39791</v>
      </c>
      <c r="F5596" s="8">
        <v>39791</v>
      </c>
      <c r="G5596" s="8">
        <v>39791</v>
      </c>
      <c r="Y5596" s="8"/>
    </row>
    <row r="5597" spans="1:25" x14ac:dyDescent="0.25">
      <c r="A5597" t="str">
        <f>"08-0927"</f>
        <v>08-0927</v>
      </c>
      <c r="D5597" s="8">
        <v>39791</v>
      </c>
      <c r="F5597" s="8">
        <v>39791</v>
      </c>
      <c r="G5597" s="8">
        <v>39791</v>
      </c>
      <c r="Y5597" s="8"/>
    </row>
    <row r="5598" spans="1:25" x14ac:dyDescent="0.25">
      <c r="A5598" t="str">
        <f>"08-0928"</f>
        <v>08-0928</v>
      </c>
      <c r="D5598" s="8">
        <v>39791</v>
      </c>
      <c r="F5598" s="8">
        <v>39791</v>
      </c>
      <c r="G5598" s="8">
        <v>39791</v>
      </c>
      <c r="Y5598" s="8"/>
    </row>
    <row r="5599" spans="1:25" x14ac:dyDescent="0.25">
      <c r="A5599" t="str">
        <f>"08-0929"</f>
        <v>08-0929</v>
      </c>
      <c r="D5599" s="8">
        <v>39791</v>
      </c>
      <c r="F5599" s="8">
        <v>39791</v>
      </c>
      <c r="G5599" s="8">
        <v>39790</v>
      </c>
      <c r="Y5599" s="8"/>
    </row>
    <row r="5600" spans="1:25" x14ac:dyDescent="0.25">
      <c r="A5600" t="str">
        <f>"08-0930"</f>
        <v>08-0930</v>
      </c>
      <c r="D5600" s="8">
        <v>39791</v>
      </c>
      <c r="F5600" s="8">
        <v>39791</v>
      </c>
      <c r="G5600" s="8">
        <v>39791</v>
      </c>
      <c r="Y5600" s="8"/>
    </row>
    <row r="5601" spans="1:25" x14ac:dyDescent="0.25">
      <c r="A5601" t="str">
        <f>"08-0900B"</f>
        <v>08-0900B</v>
      </c>
      <c r="D5601" s="8">
        <v>39790</v>
      </c>
      <c r="F5601" s="8">
        <v>41648</v>
      </c>
      <c r="G5601" s="8">
        <v>39790</v>
      </c>
      <c r="Y5601" s="8"/>
    </row>
    <row r="5602" spans="1:25" x14ac:dyDescent="0.25">
      <c r="A5602" t="str">
        <f>"08-0920"</f>
        <v>08-0920</v>
      </c>
      <c r="D5602" s="8">
        <v>39790</v>
      </c>
      <c r="F5602" s="8">
        <v>39790</v>
      </c>
      <c r="G5602" s="8">
        <v>39790</v>
      </c>
      <c r="Y5602" s="8"/>
    </row>
    <row r="5603" spans="1:25" x14ac:dyDescent="0.25">
      <c r="A5603" t="str">
        <f>"08-0921"</f>
        <v>08-0921</v>
      </c>
      <c r="D5603" s="8">
        <v>39790</v>
      </c>
      <c r="F5603" s="8">
        <v>39790</v>
      </c>
      <c r="G5603" s="8">
        <v>39790</v>
      </c>
      <c r="Y5603" s="8"/>
    </row>
    <row r="5604" spans="1:25" x14ac:dyDescent="0.25">
      <c r="A5604" t="str">
        <f>"08-0922"</f>
        <v>08-0922</v>
      </c>
      <c r="D5604" s="8">
        <v>39790</v>
      </c>
      <c r="F5604" s="8">
        <v>39790</v>
      </c>
      <c r="G5604" s="8">
        <v>39790</v>
      </c>
      <c r="Y5604" s="8"/>
    </row>
    <row r="5605" spans="1:25" x14ac:dyDescent="0.25">
      <c r="A5605" t="str">
        <f>"08-0923"</f>
        <v>08-0923</v>
      </c>
      <c r="D5605" s="8">
        <v>39790</v>
      </c>
      <c r="F5605" s="8">
        <v>39790</v>
      </c>
      <c r="G5605" s="8">
        <v>39790</v>
      </c>
      <c r="Y5605" s="8"/>
    </row>
    <row r="5606" spans="1:25" x14ac:dyDescent="0.25">
      <c r="A5606" t="str">
        <f>"08-0918"</f>
        <v>08-0918</v>
      </c>
      <c r="D5606" s="8">
        <v>39787</v>
      </c>
      <c r="F5606" s="8">
        <v>39790</v>
      </c>
      <c r="G5606" s="8">
        <v>39791</v>
      </c>
      <c r="Y5606" s="8"/>
    </row>
    <row r="5607" spans="1:25" x14ac:dyDescent="0.25">
      <c r="A5607" t="str">
        <f>"08-0919"</f>
        <v>08-0919</v>
      </c>
      <c r="D5607" s="8">
        <v>39787</v>
      </c>
      <c r="F5607" s="8">
        <v>39792</v>
      </c>
      <c r="G5607" s="8">
        <v>39791</v>
      </c>
      <c r="Y5607" s="8"/>
    </row>
    <row r="5608" spans="1:25" x14ac:dyDescent="0.25">
      <c r="A5608" t="str">
        <f>"08-0695C"</f>
        <v>08-0695C</v>
      </c>
      <c r="D5608" s="8">
        <v>39786</v>
      </c>
      <c r="F5608" s="8">
        <v>39786</v>
      </c>
      <c r="G5608" s="8">
        <v>39786</v>
      </c>
      <c r="Y5608" s="8"/>
    </row>
    <row r="5609" spans="1:25" x14ac:dyDescent="0.25">
      <c r="A5609" t="str">
        <f>"08-0917"</f>
        <v>08-0917</v>
      </c>
      <c r="D5609" s="8">
        <v>39786</v>
      </c>
      <c r="F5609" s="8">
        <v>39786</v>
      </c>
      <c r="G5609" s="8">
        <v>39786</v>
      </c>
      <c r="Y5609" s="8"/>
    </row>
    <row r="5610" spans="1:25" x14ac:dyDescent="0.25">
      <c r="A5610" t="str">
        <f>"08-0910"</f>
        <v>08-0910</v>
      </c>
      <c r="D5610" s="8">
        <v>39785</v>
      </c>
      <c r="F5610" s="8">
        <v>41744</v>
      </c>
      <c r="G5610" s="8">
        <v>39785</v>
      </c>
      <c r="Y5610" s="8"/>
    </row>
    <row r="5611" spans="1:25" x14ac:dyDescent="0.25">
      <c r="A5611" t="str">
        <f>"08-0911"</f>
        <v>08-0911</v>
      </c>
      <c r="D5611" s="8">
        <v>39785</v>
      </c>
      <c r="F5611" s="8">
        <v>39785</v>
      </c>
      <c r="G5611" s="8">
        <v>39790</v>
      </c>
      <c r="Y5611" s="8"/>
    </row>
    <row r="5612" spans="1:25" x14ac:dyDescent="0.25">
      <c r="A5612" t="str">
        <f>"08-0912"</f>
        <v>08-0912</v>
      </c>
      <c r="D5612" s="8">
        <v>39785</v>
      </c>
      <c r="F5612" s="8">
        <v>39785</v>
      </c>
      <c r="G5612" s="8">
        <v>39785</v>
      </c>
      <c r="Y5612" s="8"/>
    </row>
    <row r="5613" spans="1:25" x14ac:dyDescent="0.25">
      <c r="A5613" t="str">
        <f>"08-0913"</f>
        <v>08-0913</v>
      </c>
      <c r="D5613" s="8">
        <v>39785</v>
      </c>
      <c r="F5613" s="8">
        <v>39785</v>
      </c>
      <c r="G5613" s="8">
        <v>39790</v>
      </c>
      <c r="Y5613" s="8"/>
    </row>
    <row r="5614" spans="1:25" x14ac:dyDescent="0.25">
      <c r="A5614" t="str">
        <f>"08-0914"</f>
        <v>08-0914</v>
      </c>
      <c r="D5614" s="8">
        <v>39785</v>
      </c>
      <c r="F5614" s="8">
        <v>39785</v>
      </c>
      <c r="G5614" s="8">
        <v>39785</v>
      </c>
      <c r="Y5614" s="8"/>
    </row>
    <row r="5615" spans="1:25" x14ac:dyDescent="0.25">
      <c r="A5615" t="str">
        <f>"08-0915"</f>
        <v>08-0915</v>
      </c>
      <c r="D5615" s="8">
        <v>39785</v>
      </c>
      <c r="F5615" s="8">
        <v>39785</v>
      </c>
      <c r="G5615" s="8">
        <v>39785</v>
      </c>
      <c r="Y5615" s="8"/>
    </row>
    <row r="5616" spans="1:25" x14ac:dyDescent="0.25">
      <c r="A5616" t="str">
        <f>"08-0916"</f>
        <v>08-0916</v>
      </c>
      <c r="D5616" s="8">
        <v>39785</v>
      </c>
      <c r="F5616" s="8">
        <v>39785</v>
      </c>
      <c r="G5616" s="8">
        <v>39792</v>
      </c>
      <c r="Y5616" s="8"/>
    </row>
    <row r="5617" spans="1:25" x14ac:dyDescent="0.25">
      <c r="A5617" t="str">
        <f>"08-0903"</f>
        <v>08-0903</v>
      </c>
      <c r="D5617" s="8">
        <v>39784</v>
      </c>
      <c r="F5617" s="8">
        <v>39784</v>
      </c>
      <c r="G5617" s="8">
        <v>39784</v>
      </c>
      <c r="Y5617" s="8"/>
    </row>
    <row r="5618" spans="1:25" x14ac:dyDescent="0.25">
      <c r="A5618" t="str">
        <f>"08-0903B"</f>
        <v>08-0903B</v>
      </c>
      <c r="D5618" s="8">
        <v>39784</v>
      </c>
      <c r="F5618" s="8">
        <v>39784</v>
      </c>
      <c r="G5618" s="8">
        <v>39785</v>
      </c>
      <c r="Y5618" s="8"/>
    </row>
    <row r="5619" spans="1:25" x14ac:dyDescent="0.25">
      <c r="A5619" t="str">
        <f>"08-0904"</f>
        <v>08-0904</v>
      </c>
      <c r="D5619" s="8">
        <v>39784</v>
      </c>
      <c r="F5619" s="8">
        <v>39790</v>
      </c>
      <c r="G5619" s="8">
        <v>39784</v>
      </c>
      <c r="Y5619" s="8"/>
    </row>
    <row r="5620" spans="1:25" x14ac:dyDescent="0.25">
      <c r="A5620" t="str">
        <f>"08-0905"</f>
        <v>08-0905</v>
      </c>
      <c r="D5620" s="8">
        <v>39784</v>
      </c>
      <c r="F5620" s="8">
        <v>39784</v>
      </c>
      <c r="G5620" s="8">
        <v>39784</v>
      </c>
      <c r="Y5620" s="8"/>
    </row>
    <row r="5621" spans="1:25" x14ac:dyDescent="0.25">
      <c r="A5621" t="str">
        <f>"08-0906"</f>
        <v>08-0906</v>
      </c>
      <c r="D5621" s="8">
        <v>39784</v>
      </c>
      <c r="F5621" s="8">
        <v>39784</v>
      </c>
      <c r="G5621" s="8">
        <v>39785</v>
      </c>
      <c r="Y5621" s="8"/>
    </row>
    <row r="5622" spans="1:25" x14ac:dyDescent="0.25">
      <c r="A5622" t="str">
        <f>"08-0907"</f>
        <v>08-0907</v>
      </c>
      <c r="D5622" s="8">
        <v>39784</v>
      </c>
      <c r="F5622" s="8">
        <v>39784</v>
      </c>
      <c r="G5622" s="8">
        <v>39784</v>
      </c>
      <c r="Y5622" s="8"/>
    </row>
    <row r="5623" spans="1:25" x14ac:dyDescent="0.25">
      <c r="A5623" t="str">
        <f>"08-0908"</f>
        <v>08-0908</v>
      </c>
      <c r="D5623" s="8">
        <v>39784</v>
      </c>
      <c r="F5623" s="8">
        <v>39784</v>
      </c>
      <c r="G5623" s="8">
        <v>39784</v>
      </c>
      <c r="Y5623" s="8"/>
    </row>
    <row r="5624" spans="1:25" x14ac:dyDescent="0.25">
      <c r="A5624" t="str">
        <f>"08-0909"</f>
        <v>08-0909</v>
      </c>
      <c r="D5624" s="8">
        <v>39784</v>
      </c>
      <c r="F5624" s="8">
        <v>39785</v>
      </c>
      <c r="G5624" s="8">
        <v>39792</v>
      </c>
      <c r="Y5624" s="8"/>
    </row>
    <row r="5625" spans="1:25" x14ac:dyDescent="0.25">
      <c r="A5625" t="str">
        <f>"08-0389B"</f>
        <v>08-0389B</v>
      </c>
      <c r="D5625" s="8">
        <v>39783</v>
      </c>
      <c r="F5625" s="8">
        <v>39785</v>
      </c>
      <c r="G5625" s="8">
        <v>39783</v>
      </c>
      <c r="Y5625" s="8"/>
    </row>
    <row r="5626" spans="1:25" x14ac:dyDescent="0.25">
      <c r="A5626" t="str">
        <f>"08-0695B"</f>
        <v>08-0695B</v>
      </c>
      <c r="D5626" s="8">
        <v>39783</v>
      </c>
      <c r="F5626" s="8">
        <v>39783</v>
      </c>
      <c r="G5626" s="8">
        <v>39783</v>
      </c>
      <c r="Y5626" s="8"/>
    </row>
    <row r="5627" spans="1:25" x14ac:dyDescent="0.25">
      <c r="A5627" t="str">
        <f>"08-0899"</f>
        <v>08-0899</v>
      </c>
      <c r="D5627" s="8">
        <v>39783</v>
      </c>
      <c r="F5627" s="8">
        <v>39784</v>
      </c>
      <c r="G5627" s="8">
        <v>39784</v>
      </c>
      <c r="Y5627" s="8"/>
    </row>
    <row r="5628" spans="1:25" x14ac:dyDescent="0.25">
      <c r="A5628" t="str">
        <f>"08-0900"</f>
        <v>08-0900</v>
      </c>
      <c r="D5628" s="8">
        <v>39783</v>
      </c>
      <c r="F5628" s="8">
        <v>39783</v>
      </c>
      <c r="G5628" s="8">
        <v>39777</v>
      </c>
      <c r="Y5628" s="8"/>
    </row>
    <row r="5629" spans="1:25" x14ac:dyDescent="0.25">
      <c r="A5629" t="str">
        <f>"08-0901"</f>
        <v>08-0901</v>
      </c>
      <c r="D5629" s="8">
        <v>39783</v>
      </c>
      <c r="F5629" s="8">
        <v>39783</v>
      </c>
      <c r="G5629" s="8">
        <v>39783</v>
      </c>
      <c r="Y5629" s="8"/>
    </row>
    <row r="5630" spans="1:25" x14ac:dyDescent="0.25">
      <c r="A5630" t="str">
        <f>"08-0902"</f>
        <v>08-0902</v>
      </c>
      <c r="D5630" s="8">
        <v>39783</v>
      </c>
      <c r="F5630" s="8">
        <v>39783</v>
      </c>
      <c r="G5630" s="8">
        <v>39783</v>
      </c>
      <c r="Y5630" s="8"/>
    </row>
    <row r="5631" spans="1:25" x14ac:dyDescent="0.25">
      <c r="A5631" t="str">
        <f>"08-0887B"</f>
        <v>08-0887B</v>
      </c>
      <c r="D5631" s="8">
        <v>39780</v>
      </c>
      <c r="F5631" s="8">
        <v>39800</v>
      </c>
      <c r="G5631" s="8">
        <v>39780</v>
      </c>
      <c r="Y5631" s="8"/>
    </row>
    <row r="5632" spans="1:25" x14ac:dyDescent="0.25">
      <c r="A5632" t="str">
        <f>"08-0895"</f>
        <v>08-0895</v>
      </c>
      <c r="D5632" s="8">
        <v>39780</v>
      </c>
      <c r="F5632" s="8">
        <v>39790</v>
      </c>
      <c r="G5632" s="8">
        <v>39780</v>
      </c>
      <c r="Y5632" s="8"/>
    </row>
    <row r="5633" spans="1:25" x14ac:dyDescent="0.25">
      <c r="A5633" t="str">
        <f>"08-0896"</f>
        <v>08-0896</v>
      </c>
      <c r="D5633" s="8">
        <v>39780</v>
      </c>
      <c r="F5633" s="8">
        <v>39780</v>
      </c>
      <c r="G5633" s="8">
        <v>39780</v>
      </c>
      <c r="Y5633" s="8"/>
    </row>
    <row r="5634" spans="1:25" x14ac:dyDescent="0.25">
      <c r="A5634" t="str">
        <f>"08-0897"</f>
        <v>08-0897</v>
      </c>
      <c r="D5634" s="8">
        <v>39780</v>
      </c>
      <c r="F5634" s="8">
        <v>39780</v>
      </c>
      <c r="G5634" s="8">
        <v>39780</v>
      </c>
      <c r="Y5634" s="8"/>
    </row>
    <row r="5635" spans="1:25" x14ac:dyDescent="0.25">
      <c r="A5635" t="str">
        <f>"08-0898"</f>
        <v>08-0898</v>
      </c>
      <c r="D5635" s="8">
        <v>39780</v>
      </c>
      <c r="F5635" s="8">
        <v>39780</v>
      </c>
      <c r="G5635" s="8">
        <v>39780</v>
      </c>
      <c r="Y5635" s="8"/>
    </row>
    <row r="5636" spans="1:25" x14ac:dyDescent="0.25">
      <c r="A5636" t="str">
        <f>"08-0892"</f>
        <v>08-0892</v>
      </c>
      <c r="D5636" s="8">
        <v>39779</v>
      </c>
      <c r="F5636" s="8">
        <v>39785</v>
      </c>
      <c r="G5636" s="8">
        <v>39800</v>
      </c>
      <c r="Y5636" s="8"/>
    </row>
    <row r="5637" spans="1:25" x14ac:dyDescent="0.25">
      <c r="A5637" t="str">
        <f>"08-0893"</f>
        <v>08-0893</v>
      </c>
      <c r="D5637" s="8">
        <v>39779</v>
      </c>
      <c r="F5637" s="8">
        <v>39790</v>
      </c>
      <c r="G5637" s="8">
        <v>39786</v>
      </c>
      <c r="Y5637" s="8"/>
    </row>
    <row r="5638" spans="1:25" x14ac:dyDescent="0.25">
      <c r="A5638" t="str">
        <f>"08-0894"</f>
        <v>08-0894</v>
      </c>
      <c r="D5638" s="8">
        <v>39779</v>
      </c>
      <c r="F5638" s="8">
        <v>39779</v>
      </c>
      <c r="G5638" s="8">
        <v>39779</v>
      </c>
      <c r="Y5638" s="8"/>
    </row>
    <row r="5639" spans="1:25" x14ac:dyDescent="0.25">
      <c r="A5639" t="str">
        <f>"08-0886"</f>
        <v>08-0886</v>
      </c>
      <c r="D5639" s="8">
        <v>39778</v>
      </c>
      <c r="F5639" s="8">
        <v>39778</v>
      </c>
      <c r="G5639" s="8">
        <v>39778</v>
      </c>
      <c r="Y5639" s="8"/>
    </row>
    <row r="5640" spans="1:25" x14ac:dyDescent="0.25">
      <c r="A5640" t="str">
        <f>"08-0887"</f>
        <v>08-0887</v>
      </c>
      <c r="D5640" s="8">
        <v>39778</v>
      </c>
      <c r="F5640" s="8">
        <v>39800</v>
      </c>
      <c r="G5640" s="8">
        <v>39778</v>
      </c>
      <c r="Y5640" s="8"/>
    </row>
    <row r="5641" spans="1:25" x14ac:dyDescent="0.25">
      <c r="A5641" t="str">
        <f>"08-0888"</f>
        <v>08-0888</v>
      </c>
      <c r="D5641" s="8">
        <v>39778</v>
      </c>
      <c r="F5641" s="8">
        <v>39778</v>
      </c>
      <c r="G5641" s="8">
        <v>39778</v>
      </c>
      <c r="Y5641" s="8"/>
    </row>
    <row r="5642" spans="1:25" x14ac:dyDescent="0.25">
      <c r="A5642" t="str">
        <f>"08-0889"</f>
        <v>08-0889</v>
      </c>
      <c r="D5642" s="8">
        <v>39778</v>
      </c>
      <c r="F5642" s="8">
        <v>39784</v>
      </c>
      <c r="G5642" s="8">
        <v>39787</v>
      </c>
      <c r="Y5642" s="8"/>
    </row>
    <row r="5643" spans="1:25" x14ac:dyDescent="0.25">
      <c r="A5643" t="str">
        <f>"08-0890"</f>
        <v>08-0890</v>
      </c>
      <c r="D5643" s="8">
        <v>39778</v>
      </c>
      <c r="F5643" s="8">
        <v>39778</v>
      </c>
      <c r="G5643" s="8">
        <v>39778</v>
      </c>
      <c r="Y5643" s="8"/>
    </row>
    <row r="5644" spans="1:25" x14ac:dyDescent="0.25">
      <c r="A5644" t="str">
        <f>"08-0891"</f>
        <v>08-0891</v>
      </c>
      <c r="D5644" s="8">
        <v>39778</v>
      </c>
      <c r="F5644" s="8">
        <v>39778</v>
      </c>
      <c r="G5644" s="8">
        <v>39778</v>
      </c>
      <c r="Y5644" s="8"/>
    </row>
    <row r="5645" spans="1:25" x14ac:dyDescent="0.25">
      <c r="A5645" t="str">
        <f>"08-0696C"</f>
        <v>08-0696C</v>
      </c>
      <c r="D5645" s="8">
        <v>39777</v>
      </c>
      <c r="F5645" s="8">
        <v>39787</v>
      </c>
      <c r="G5645" s="8">
        <v>39777</v>
      </c>
      <c r="Y5645" s="8"/>
    </row>
    <row r="5646" spans="1:25" x14ac:dyDescent="0.25">
      <c r="A5646" t="str">
        <f>"08-0882"</f>
        <v>08-0882</v>
      </c>
      <c r="D5646" s="8">
        <v>39777</v>
      </c>
      <c r="F5646" s="8">
        <v>39777</v>
      </c>
      <c r="G5646" s="8">
        <v>39777</v>
      </c>
      <c r="Y5646" s="8"/>
    </row>
    <row r="5647" spans="1:25" x14ac:dyDescent="0.25">
      <c r="A5647" t="str">
        <f>"08-0883"</f>
        <v>08-0883</v>
      </c>
      <c r="D5647" s="8">
        <v>39777</v>
      </c>
      <c r="F5647" s="8">
        <v>39777</v>
      </c>
      <c r="G5647" s="8">
        <v>39777</v>
      </c>
      <c r="Y5647" s="8"/>
    </row>
    <row r="5648" spans="1:25" x14ac:dyDescent="0.25">
      <c r="A5648" t="str">
        <f>"08-0884"</f>
        <v>08-0884</v>
      </c>
      <c r="D5648" s="8">
        <v>39777</v>
      </c>
      <c r="F5648" s="8">
        <v>39777</v>
      </c>
      <c r="G5648" s="8">
        <v>39803</v>
      </c>
      <c r="Y5648" s="8"/>
    </row>
    <row r="5649" spans="1:25" x14ac:dyDescent="0.25">
      <c r="A5649" t="str">
        <f>"08-0885"</f>
        <v>08-0885</v>
      </c>
      <c r="D5649" s="8">
        <v>39777</v>
      </c>
      <c r="F5649" s="8">
        <v>39777</v>
      </c>
      <c r="G5649" s="8">
        <v>39777</v>
      </c>
      <c r="Y5649" s="8"/>
    </row>
    <row r="5650" spans="1:25" x14ac:dyDescent="0.25">
      <c r="A5650" t="str">
        <f>"08-0879"</f>
        <v>08-0879</v>
      </c>
      <c r="D5650" s="8">
        <v>39776</v>
      </c>
      <c r="F5650" s="8">
        <v>39776</v>
      </c>
      <c r="G5650" s="8">
        <v>39776</v>
      </c>
      <c r="Y5650" s="8"/>
    </row>
    <row r="5651" spans="1:25" x14ac:dyDescent="0.25">
      <c r="A5651" t="str">
        <f>"08-0880"</f>
        <v>08-0880</v>
      </c>
      <c r="D5651" s="8">
        <v>39776</v>
      </c>
      <c r="F5651" s="8">
        <v>39783</v>
      </c>
      <c r="G5651" s="8">
        <v>39776</v>
      </c>
      <c r="Y5651" s="8"/>
    </row>
    <row r="5652" spans="1:25" x14ac:dyDescent="0.25">
      <c r="A5652" t="str">
        <f>"08-0881"</f>
        <v>08-0881</v>
      </c>
      <c r="D5652" s="8">
        <v>39776</v>
      </c>
      <c r="F5652" s="8">
        <v>40682</v>
      </c>
      <c r="G5652" s="8">
        <v>39776</v>
      </c>
      <c r="Y5652" s="8"/>
    </row>
    <row r="5653" spans="1:25" x14ac:dyDescent="0.25">
      <c r="A5653" t="str">
        <f>"08-0877"</f>
        <v>08-0877</v>
      </c>
      <c r="D5653" s="8">
        <v>39772</v>
      </c>
      <c r="G5653" s="8">
        <v>39776</v>
      </c>
    </row>
    <row r="5654" spans="1:25" x14ac:dyDescent="0.25">
      <c r="A5654" t="str">
        <f>"08-0878"</f>
        <v>08-0878</v>
      </c>
      <c r="D5654" s="8">
        <v>39772</v>
      </c>
      <c r="F5654" s="8">
        <v>39772</v>
      </c>
      <c r="G5654" s="8">
        <v>39772</v>
      </c>
      <c r="Y5654" s="8"/>
    </row>
    <row r="5655" spans="1:25" x14ac:dyDescent="0.25">
      <c r="A5655" t="str">
        <f>"08-0872"</f>
        <v>08-0872</v>
      </c>
      <c r="D5655" s="8">
        <v>39771</v>
      </c>
      <c r="F5655" s="8">
        <v>39771</v>
      </c>
      <c r="G5655" s="8">
        <v>39771</v>
      </c>
      <c r="Y5655" s="8"/>
    </row>
    <row r="5656" spans="1:25" x14ac:dyDescent="0.25">
      <c r="A5656" t="str">
        <f>"08-0873"</f>
        <v>08-0873</v>
      </c>
      <c r="D5656" s="8">
        <v>39771</v>
      </c>
      <c r="F5656" s="8">
        <v>39771</v>
      </c>
      <c r="G5656" s="8">
        <v>39771</v>
      </c>
      <c r="Y5656" s="8"/>
    </row>
    <row r="5657" spans="1:25" x14ac:dyDescent="0.25">
      <c r="A5657" t="str">
        <f>"08-0874"</f>
        <v>08-0874</v>
      </c>
      <c r="D5657" s="8">
        <v>39771</v>
      </c>
      <c r="F5657" s="8">
        <v>39771</v>
      </c>
      <c r="G5657" s="8">
        <v>39771</v>
      </c>
      <c r="Y5657" s="8"/>
    </row>
    <row r="5658" spans="1:25" x14ac:dyDescent="0.25">
      <c r="A5658" t="str">
        <f>"08-0875"</f>
        <v>08-0875</v>
      </c>
      <c r="D5658" s="8">
        <v>39771</v>
      </c>
      <c r="G5658" s="8">
        <v>39773</v>
      </c>
      <c r="Y5658" s="8"/>
    </row>
    <row r="5659" spans="1:25" x14ac:dyDescent="0.25">
      <c r="A5659" t="str">
        <f>"08-0876"</f>
        <v>08-0876</v>
      </c>
      <c r="D5659" s="8">
        <v>39771</v>
      </c>
      <c r="F5659" s="8">
        <v>39771</v>
      </c>
      <c r="G5659" s="8">
        <v>39771</v>
      </c>
      <c r="Y5659" s="8"/>
    </row>
    <row r="5660" spans="1:25" x14ac:dyDescent="0.25">
      <c r="A5660" t="str">
        <f>"08-0863"</f>
        <v>08-0863</v>
      </c>
      <c r="D5660" s="8">
        <v>39770</v>
      </c>
      <c r="F5660" s="8">
        <v>39770</v>
      </c>
      <c r="G5660" s="8">
        <v>39770</v>
      </c>
      <c r="Y5660" s="8"/>
    </row>
    <row r="5661" spans="1:25" x14ac:dyDescent="0.25">
      <c r="A5661" t="str">
        <f>"08-0864"</f>
        <v>08-0864</v>
      </c>
      <c r="D5661" s="8">
        <v>39770</v>
      </c>
      <c r="F5661" s="8">
        <v>39770</v>
      </c>
      <c r="G5661" s="8">
        <v>39770</v>
      </c>
      <c r="Y5661" s="8"/>
    </row>
    <row r="5662" spans="1:25" x14ac:dyDescent="0.25">
      <c r="A5662" t="str">
        <f>"08-0865"</f>
        <v>08-0865</v>
      </c>
      <c r="D5662" s="8">
        <v>39770</v>
      </c>
      <c r="F5662" s="8">
        <v>39770</v>
      </c>
      <c r="G5662" s="8">
        <v>39770</v>
      </c>
      <c r="Y5662" s="8"/>
    </row>
    <row r="5663" spans="1:25" x14ac:dyDescent="0.25">
      <c r="A5663" t="str">
        <f>"08-0866"</f>
        <v>08-0866</v>
      </c>
      <c r="D5663" s="8">
        <v>39770</v>
      </c>
      <c r="F5663" s="8">
        <v>39770</v>
      </c>
      <c r="G5663" s="8">
        <v>39770</v>
      </c>
      <c r="Y5663" s="8"/>
    </row>
    <row r="5664" spans="1:25" x14ac:dyDescent="0.25">
      <c r="A5664" t="str">
        <f>"08-0867"</f>
        <v>08-0867</v>
      </c>
      <c r="D5664" s="8">
        <v>39770</v>
      </c>
      <c r="F5664" s="8">
        <v>39770</v>
      </c>
      <c r="G5664" s="8">
        <v>39770</v>
      </c>
      <c r="Y5664" s="8"/>
    </row>
    <row r="5665" spans="1:25" x14ac:dyDescent="0.25">
      <c r="A5665" t="str">
        <f>"08-0868"</f>
        <v>08-0868</v>
      </c>
      <c r="D5665" s="8">
        <v>39770</v>
      </c>
      <c r="F5665" s="8">
        <v>39770</v>
      </c>
      <c r="G5665" s="8">
        <v>39770</v>
      </c>
      <c r="Y5665" s="8"/>
    </row>
    <row r="5666" spans="1:25" x14ac:dyDescent="0.25">
      <c r="A5666" t="str">
        <f>"08-0869"</f>
        <v>08-0869</v>
      </c>
      <c r="D5666" s="8">
        <v>39770</v>
      </c>
      <c r="F5666" s="8">
        <v>39771</v>
      </c>
      <c r="G5666" s="8">
        <v>39771</v>
      </c>
      <c r="Y5666" s="8"/>
    </row>
    <row r="5667" spans="1:25" x14ac:dyDescent="0.25">
      <c r="A5667" t="str">
        <f>"08-0870"</f>
        <v>08-0870</v>
      </c>
      <c r="D5667" s="8">
        <v>39770</v>
      </c>
      <c r="G5667" s="8">
        <v>39766</v>
      </c>
    </row>
    <row r="5668" spans="1:25" x14ac:dyDescent="0.25">
      <c r="A5668" t="str">
        <f>"08-0871"</f>
        <v>08-0871</v>
      </c>
      <c r="D5668" s="8">
        <v>39770</v>
      </c>
      <c r="F5668" s="8">
        <v>39772</v>
      </c>
      <c r="G5668" s="8">
        <v>39771</v>
      </c>
      <c r="Y5668" s="8"/>
    </row>
    <row r="5669" spans="1:25" x14ac:dyDescent="0.25">
      <c r="A5669" t="str">
        <f>"08-0858"</f>
        <v>08-0858</v>
      </c>
      <c r="D5669" s="8">
        <v>39769</v>
      </c>
      <c r="F5669" s="8">
        <v>39769</v>
      </c>
      <c r="G5669" s="8">
        <v>39769</v>
      </c>
      <c r="Y5669" s="8"/>
    </row>
    <row r="5670" spans="1:25" x14ac:dyDescent="0.25">
      <c r="A5670" t="str">
        <f>"08-0859"</f>
        <v>08-0859</v>
      </c>
      <c r="D5670" s="8">
        <v>39769</v>
      </c>
      <c r="F5670" s="8">
        <v>39773</v>
      </c>
      <c r="G5670" s="8">
        <v>39773</v>
      </c>
      <c r="Y5670" s="8"/>
    </row>
    <row r="5671" spans="1:25" x14ac:dyDescent="0.25">
      <c r="A5671" t="str">
        <f>"08-0860"</f>
        <v>08-0860</v>
      </c>
      <c r="D5671" s="8">
        <v>39769</v>
      </c>
      <c r="F5671" s="8">
        <v>39769</v>
      </c>
      <c r="G5671" s="8">
        <v>39769</v>
      </c>
      <c r="Y5671" s="8"/>
    </row>
    <row r="5672" spans="1:25" x14ac:dyDescent="0.25">
      <c r="A5672" t="str">
        <f>"08-0861"</f>
        <v>08-0861</v>
      </c>
      <c r="D5672" s="8">
        <v>39769</v>
      </c>
      <c r="F5672" s="8">
        <v>39769</v>
      </c>
      <c r="G5672" s="8">
        <v>39769</v>
      </c>
      <c r="Y5672" s="8"/>
    </row>
    <row r="5673" spans="1:25" x14ac:dyDescent="0.25">
      <c r="A5673" t="str">
        <f>"08-0862"</f>
        <v>08-0862</v>
      </c>
      <c r="D5673" s="8">
        <v>39769</v>
      </c>
      <c r="F5673" s="8">
        <v>39769</v>
      </c>
      <c r="G5673" s="8">
        <v>39769</v>
      </c>
      <c r="Y5673" s="8"/>
    </row>
    <row r="5674" spans="1:25" x14ac:dyDescent="0.25">
      <c r="A5674" t="str">
        <f>"08-0856"</f>
        <v>08-0856</v>
      </c>
      <c r="D5674" s="8">
        <v>39766</v>
      </c>
      <c r="F5674" s="8">
        <v>40088</v>
      </c>
      <c r="G5674" s="8">
        <v>39766</v>
      </c>
      <c r="Y5674" s="8"/>
    </row>
    <row r="5675" spans="1:25" x14ac:dyDescent="0.25">
      <c r="A5675" t="str">
        <f>"08-0857"</f>
        <v>08-0857</v>
      </c>
      <c r="D5675" s="8">
        <v>39766</v>
      </c>
      <c r="F5675" s="8">
        <v>39766</v>
      </c>
      <c r="G5675" s="8">
        <v>39766</v>
      </c>
      <c r="Y5675" s="8"/>
    </row>
    <row r="5676" spans="1:25" x14ac:dyDescent="0.25">
      <c r="A5676" t="str">
        <f>"08-0853"</f>
        <v>08-0853</v>
      </c>
      <c r="D5676" s="8">
        <v>39764</v>
      </c>
      <c r="F5676" s="8">
        <v>39764</v>
      </c>
      <c r="G5676" s="8">
        <v>39764</v>
      </c>
      <c r="Y5676" s="8"/>
    </row>
    <row r="5677" spans="1:25" x14ac:dyDescent="0.25">
      <c r="A5677" t="str">
        <f>"08-0854"</f>
        <v>08-0854</v>
      </c>
      <c r="D5677" s="8">
        <v>39764</v>
      </c>
      <c r="F5677" s="8">
        <v>39764</v>
      </c>
      <c r="G5677" s="8">
        <v>39764</v>
      </c>
      <c r="Y5677" s="8"/>
    </row>
    <row r="5678" spans="1:25" x14ac:dyDescent="0.25">
      <c r="A5678" t="str">
        <f>"08-0855"</f>
        <v>08-0855</v>
      </c>
      <c r="D5678" s="8">
        <v>39764</v>
      </c>
      <c r="F5678" s="8">
        <v>39764</v>
      </c>
      <c r="G5678" s="8">
        <v>39769</v>
      </c>
      <c r="Y5678" s="8"/>
    </row>
    <row r="5679" spans="1:25" x14ac:dyDescent="0.25">
      <c r="A5679" t="str">
        <f>"08-0850"</f>
        <v>08-0850</v>
      </c>
      <c r="D5679" s="8">
        <v>39762</v>
      </c>
      <c r="F5679" s="8">
        <v>39762</v>
      </c>
      <c r="G5679" s="8">
        <v>39765</v>
      </c>
      <c r="Y5679" s="8"/>
    </row>
    <row r="5680" spans="1:25" x14ac:dyDescent="0.25">
      <c r="A5680" t="str">
        <f>"08-0851"</f>
        <v>08-0851</v>
      </c>
      <c r="D5680" s="8">
        <v>39762</v>
      </c>
      <c r="F5680" s="8">
        <v>39762</v>
      </c>
      <c r="G5680" s="8">
        <v>39762</v>
      </c>
      <c r="Y5680" s="8"/>
    </row>
    <row r="5681" spans="1:25" x14ac:dyDescent="0.25">
      <c r="A5681" t="str">
        <f>"08-0852"</f>
        <v>08-0852</v>
      </c>
      <c r="D5681" s="8">
        <v>39762</v>
      </c>
      <c r="F5681" s="8">
        <v>39762</v>
      </c>
      <c r="G5681" s="8">
        <v>39767</v>
      </c>
      <c r="Y5681" s="8"/>
    </row>
    <row r="5682" spans="1:25" x14ac:dyDescent="0.25">
      <c r="A5682" t="str">
        <f>"08-0847"</f>
        <v>08-0847</v>
      </c>
      <c r="D5682" s="8">
        <v>39759</v>
      </c>
      <c r="F5682" s="8">
        <v>39759</v>
      </c>
      <c r="G5682" s="8">
        <v>39759</v>
      </c>
      <c r="Y5682" s="8"/>
    </row>
    <row r="5683" spans="1:25" x14ac:dyDescent="0.25">
      <c r="A5683" t="str">
        <f>"08-0840"</f>
        <v>08-0840</v>
      </c>
      <c r="D5683" s="8">
        <v>39758</v>
      </c>
      <c r="F5683" s="8">
        <v>39759</v>
      </c>
      <c r="G5683" s="8">
        <v>39758</v>
      </c>
      <c r="Y5683" s="8"/>
    </row>
    <row r="5684" spans="1:25" x14ac:dyDescent="0.25">
      <c r="A5684" t="str">
        <f>"08-0841"</f>
        <v>08-0841</v>
      </c>
      <c r="D5684" s="8">
        <v>39758</v>
      </c>
      <c r="F5684" s="8">
        <v>39758</v>
      </c>
      <c r="G5684" s="8">
        <v>39758</v>
      </c>
      <c r="Y5684" s="8"/>
    </row>
    <row r="5685" spans="1:25" x14ac:dyDescent="0.25">
      <c r="A5685" t="str">
        <f>"08-0842"</f>
        <v>08-0842</v>
      </c>
      <c r="D5685" s="8">
        <v>39758</v>
      </c>
      <c r="F5685" s="8">
        <v>39758</v>
      </c>
      <c r="G5685" s="8">
        <v>39758</v>
      </c>
      <c r="Y5685" s="8"/>
    </row>
    <row r="5686" spans="1:25" x14ac:dyDescent="0.25">
      <c r="A5686" t="str">
        <f>"08-0843"</f>
        <v>08-0843</v>
      </c>
      <c r="D5686" s="8">
        <v>39758</v>
      </c>
      <c r="F5686" s="8">
        <v>39758</v>
      </c>
      <c r="G5686" s="8">
        <v>39758</v>
      </c>
      <c r="Y5686" s="8"/>
    </row>
    <row r="5687" spans="1:25" x14ac:dyDescent="0.25">
      <c r="A5687" t="str">
        <f>"08-0844"</f>
        <v>08-0844</v>
      </c>
      <c r="D5687" s="8">
        <v>39758</v>
      </c>
      <c r="F5687" s="8">
        <v>39758</v>
      </c>
      <c r="G5687" s="8">
        <v>39758</v>
      </c>
      <c r="Y5687" s="8"/>
    </row>
    <row r="5688" spans="1:25" x14ac:dyDescent="0.25">
      <c r="A5688" t="str">
        <f>"08-0845"</f>
        <v>08-0845</v>
      </c>
      <c r="D5688" s="8">
        <v>39758</v>
      </c>
      <c r="F5688" s="8">
        <v>39758</v>
      </c>
      <c r="G5688" s="8">
        <v>39764</v>
      </c>
      <c r="Y5688" s="8"/>
    </row>
    <row r="5689" spans="1:25" x14ac:dyDescent="0.25">
      <c r="A5689" t="str">
        <f>"08-0846"</f>
        <v>08-0846</v>
      </c>
      <c r="D5689" s="8">
        <v>39758</v>
      </c>
      <c r="F5689" s="8">
        <v>39758</v>
      </c>
      <c r="G5689" s="8">
        <v>39758</v>
      </c>
      <c r="Y5689" s="8"/>
    </row>
    <row r="5690" spans="1:25" x14ac:dyDescent="0.25">
      <c r="A5690" t="str">
        <f>"08-0722B"</f>
        <v>08-0722B</v>
      </c>
      <c r="D5690" s="8">
        <v>39757</v>
      </c>
      <c r="F5690" s="8">
        <v>39757</v>
      </c>
      <c r="G5690" s="8">
        <v>39757</v>
      </c>
      <c r="Y5690" s="8"/>
    </row>
    <row r="5691" spans="1:25" x14ac:dyDescent="0.25">
      <c r="A5691" t="str">
        <f>"08-0804B"</f>
        <v>08-0804B</v>
      </c>
      <c r="D5691" s="8">
        <v>39757</v>
      </c>
      <c r="F5691" s="8">
        <v>39757</v>
      </c>
      <c r="G5691" s="8">
        <v>39757</v>
      </c>
      <c r="Y5691" s="8"/>
    </row>
    <row r="5692" spans="1:25" x14ac:dyDescent="0.25">
      <c r="A5692" t="str">
        <f>"08-0794B"</f>
        <v>08-0794B</v>
      </c>
      <c r="D5692" s="8">
        <v>39756</v>
      </c>
      <c r="F5692" s="8">
        <v>40281</v>
      </c>
      <c r="G5692" s="8">
        <v>39756</v>
      </c>
      <c r="Y5692" s="8"/>
    </row>
    <row r="5693" spans="1:25" x14ac:dyDescent="0.25">
      <c r="A5693" t="str">
        <f>"08-0834"</f>
        <v>08-0834</v>
      </c>
      <c r="D5693" s="8">
        <v>39756</v>
      </c>
      <c r="F5693" s="8">
        <v>39757</v>
      </c>
      <c r="G5693" s="8">
        <v>39756</v>
      </c>
      <c r="Y5693" s="8"/>
    </row>
    <row r="5694" spans="1:25" x14ac:dyDescent="0.25">
      <c r="A5694" t="str">
        <f>"08-0835"</f>
        <v>08-0835</v>
      </c>
      <c r="D5694" s="8">
        <v>39756</v>
      </c>
      <c r="F5694" s="8">
        <v>39864</v>
      </c>
      <c r="G5694" s="8">
        <v>39756</v>
      </c>
      <c r="Y5694" s="8"/>
    </row>
    <row r="5695" spans="1:25" x14ac:dyDescent="0.25">
      <c r="A5695" t="str">
        <f>"08-0836"</f>
        <v>08-0836</v>
      </c>
      <c r="D5695" s="8">
        <v>39756</v>
      </c>
      <c r="F5695" s="8">
        <v>39756</v>
      </c>
      <c r="G5695" s="8">
        <v>39756</v>
      </c>
      <c r="Y5695" s="8"/>
    </row>
    <row r="5696" spans="1:25" x14ac:dyDescent="0.25">
      <c r="A5696" t="str">
        <f>"08-0837"</f>
        <v>08-0837</v>
      </c>
      <c r="D5696" s="8">
        <v>39756</v>
      </c>
      <c r="F5696" s="8">
        <v>39756</v>
      </c>
      <c r="G5696" s="8">
        <v>39756</v>
      </c>
      <c r="Y5696" s="8"/>
    </row>
    <row r="5697" spans="1:25" x14ac:dyDescent="0.25">
      <c r="A5697" t="str">
        <f>"08-0838"</f>
        <v>08-0838</v>
      </c>
      <c r="D5697" s="8">
        <v>39756</v>
      </c>
      <c r="F5697" s="8">
        <v>39756</v>
      </c>
      <c r="G5697" s="8">
        <v>39756</v>
      </c>
      <c r="Y5697" s="8"/>
    </row>
    <row r="5698" spans="1:25" x14ac:dyDescent="0.25">
      <c r="A5698" t="str">
        <f>"08-0839"</f>
        <v>08-0839</v>
      </c>
      <c r="D5698" s="8">
        <v>39756</v>
      </c>
      <c r="F5698" s="8">
        <v>39756</v>
      </c>
      <c r="G5698" s="8">
        <v>39756</v>
      </c>
      <c r="Y5698" s="8"/>
    </row>
    <row r="5699" spans="1:25" x14ac:dyDescent="0.25">
      <c r="A5699" t="str">
        <f>"08-0832"</f>
        <v>08-0832</v>
      </c>
      <c r="D5699" s="8">
        <v>39755</v>
      </c>
      <c r="F5699" s="8">
        <v>39755</v>
      </c>
      <c r="G5699" s="8">
        <v>39758</v>
      </c>
      <c r="Y5699" s="8"/>
    </row>
    <row r="5700" spans="1:25" x14ac:dyDescent="0.25">
      <c r="A5700" t="str">
        <f>"08-0833"</f>
        <v>08-0833</v>
      </c>
      <c r="D5700" s="8">
        <v>39755</v>
      </c>
      <c r="F5700" s="8">
        <v>39755</v>
      </c>
      <c r="G5700" s="8">
        <v>39756</v>
      </c>
      <c r="Y5700" s="8"/>
    </row>
    <row r="5701" spans="1:25" x14ac:dyDescent="0.25">
      <c r="A5701" t="str">
        <f>"08-0830"</f>
        <v>08-0830</v>
      </c>
      <c r="D5701" s="8">
        <v>39752</v>
      </c>
      <c r="F5701" s="8">
        <v>39752</v>
      </c>
      <c r="G5701" s="8">
        <v>39752</v>
      </c>
      <c r="Y5701" s="8"/>
    </row>
    <row r="5702" spans="1:25" x14ac:dyDescent="0.25">
      <c r="A5702" t="str">
        <f>"08-0831"</f>
        <v>08-0831</v>
      </c>
      <c r="D5702" s="8">
        <v>39752</v>
      </c>
      <c r="F5702" s="8">
        <v>39752</v>
      </c>
      <c r="G5702" s="8">
        <v>39752</v>
      </c>
      <c r="Y5702" s="8"/>
    </row>
    <row r="5703" spans="1:25" x14ac:dyDescent="0.25">
      <c r="A5703" t="str">
        <f>"08-0828"</f>
        <v>08-0828</v>
      </c>
      <c r="D5703" s="8">
        <v>39751</v>
      </c>
      <c r="F5703" s="8">
        <v>39751</v>
      </c>
      <c r="G5703" s="8">
        <v>39751</v>
      </c>
      <c r="Y5703" s="8"/>
    </row>
    <row r="5704" spans="1:25" x14ac:dyDescent="0.25">
      <c r="A5704" t="str">
        <f>"08-0829"</f>
        <v>08-0829</v>
      </c>
      <c r="D5704" s="8">
        <v>39751</v>
      </c>
      <c r="F5704" s="8">
        <v>39751</v>
      </c>
      <c r="G5704" s="8">
        <v>39751</v>
      </c>
      <c r="Y5704" s="8"/>
    </row>
    <row r="5705" spans="1:25" x14ac:dyDescent="0.25">
      <c r="A5705" t="str">
        <f>"08-0826"</f>
        <v>08-0826</v>
      </c>
      <c r="D5705" s="8">
        <v>39750</v>
      </c>
      <c r="F5705" s="8">
        <v>39840</v>
      </c>
      <c r="G5705" s="8">
        <v>39752</v>
      </c>
    </row>
    <row r="5706" spans="1:25" x14ac:dyDescent="0.25">
      <c r="A5706" t="str">
        <f>"08-0827"</f>
        <v>08-0827</v>
      </c>
      <c r="D5706" s="8">
        <v>39750</v>
      </c>
      <c r="F5706" s="8">
        <v>39750</v>
      </c>
      <c r="G5706" s="8">
        <v>39750</v>
      </c>
      <c r="Y5706" s="8"/>
    </row>
    <row r="5707" spans="1:25" x14ac:dyDescent="0.25">
      <c r="A5707" t="str">
        <f>"08-0824"</f>
        <v>08-0824</v>
      </c>
      <c r="D5707" s="8">
        <v>39749</v>
      </c>
      <c r="F5707" s="8">
        <v>39749</v>
      </c>
      <c r="G5707" s="8">
        <v>39749</v>
      </c>
      <c r="Y5707" s="8"/>
    </row>
    <row r="5708" spans="1:25" x14ac:dyDescent="0.25">
      <c r="A5708" t="str">
        <f>"08-0825"</f>
        <v>08-0825</v>
      </c>
      <c r="D5708" s="8">
        <v>39749</v>
      </c>
      <c r="F5708" s="8">
        <v>39749</v>
      </c>
      <c r="G5708" s="8">
        <v>39749</v>
      </c>
      <c r="Y5708" s="8"/>
    </row>
    <row r="5709" spans="1:25" x14ac:dyDescent="0.25">
      <c r="A5709" t="str">
        <f>"08-0584B"</f>
        <v>08-0584B</v>
      </c>
      <c r="D5709" s="8">
        <v>39748</v>
      </c>
      <c r="F5709" s="8">
        <v>39748</v>
      </c>
      <c r="G5709" s="8">
        <v>39748</v>
      </c>
      <c r="Y5709" s="8"/>
    </row>
    <row r="5710" spans="1:25" x14ac:dyDescent="0.25">
      <c r="A5710" t="str">
        <f>"08-0819"</f>
        <v>08-0819</v>
      </c>
      <c r="D5710" s="8">
        <v>39748</v>
      </c>
      <c r="F5710" s="8">
        <v>39750</v>
      </c>
      <c r="G5710" s="8">
        <v>39749</v>
      </c>
      <c r="Y5710" s="8"/>
    </row>
    <row r="5711" spans="1:25" x14ac:dyDescent="0.25">
      <c r="A5711" t="str">
        <f>"08-0820"</f>
        <v>08-0820</v>
      </c>
      <c r="D5711" s="8">
        <v>39748</v>
      </c>
      <c r="F5711" s="8">
        <v>39755</v>
      </c>
      <c r="G5711" s="8">
        <v>39748</v>
      </c>
      <c r="Y5711" s="8"/>
    </row>
    <row r="5712" spans="1:25" x14ac:dyDescent="0.25">
      <c r="A5712" t="str">
        <f>"08-0821"</f>
        <v>08-0821</v>
      </c>
      <c r="D5712" s="8">
        <v>39748</v>
      </c>
      <c r="F5712" s="8">
        <v>39755</v>
      </c>
      <c r="G5712" s="8">
        <v>39764</v>
      </c>
      <c r="Y5712" s="8"/>
    </row>
    <row r="5713" spans="1:25" x14ac:dyDescent="0.25">
      <c r="A5713" t="str">
        <f>"08-0822"</f>
        <v>08-0822</v>
      </c>
      <c r="D5713" s="8">
        <v>39748</v>
      </c>
      <c r="F5713" s="8">
        <v>39748</v>
      </c>
      <c r="G5713" s="8">
        <v>39748</v>
      </c>
      <c r="Y5713" s="8"/>
    </row>
    <row r="5714" spans="1:25" x14ac:dyDescent="0.25">
      <c r="A5714" t="str">
        <f>"08-0823"</f>
        <v>08-0823</v>
      </c>
      <c r="D5714" s="8">
        <v>39748</v>
      </c>
      <c r="F5714" s="8">
        <v>39750</v>
      </c>
      <c r="G5714" s="8">
        <v>39756</v>
      </c>
      <c r="Y5714" s="8"/>
    </row>
    <row r="5715" spans="1:25" x14ac:dyDescent="0.25">
      <c r="A5715" t="str">
        <f>"08-0816"</f>
        <v>08-0816</v>
      </c>
      <c r="D5715" s="8">
        <v>39745</v>
      </c>
      <c r="F5715" s="8">
        <v>39745</v>
      </c>
      <c r="G5715" s="8">
        <v>39745</v>
      </c>
      <c r="Y5715" s="8"/>
    </row>
    <row r="5716" spans="1:25" x14ac:dyDescent="0.25">
      <c r="A5716" t="str">
        <f>"08-0817"</f>
        <v>08-0817</v>
      </c>
      <c r="D5716" s="8">
        <v>39745</v>
      </c>
      <c r="F5716" s="8">
        <v>39783</v>
      </c>
      <c r="G5716" s="8">
        <v>39745</v>
      </c>
      <c r="Y5716" s="8"/>
    </row>
    <row r="5717" spans="1:25" x14ac:dyDescent="0.25">
      <c r="A5717" t="str">
        <f>"08-0818"</f>
        <v>08-0818</v>
      </c>
      <c r="D5717" s="8">
        <v>39745</v>
      </c>
      <c r="F5717" s="8">
        <v>39745</v>
      </c>
      <c r="G5717" s="8">
        <v>39745</v>
      </c>
      <c r="Y5717" s="8"/>
    </row>
    <row r="5718" spans="1:25" x14ac:dyDescent="0.25">
      <c r="A5718" t="str">
        <f>"08-0810"</f>
        <v>08-0810</v>
      </c>
      <c r="D5718" s="8">
        <v>39744</v>
      </c>
      <c r="F5718" s="8">
        <v>39744</v>
      </c>
      <c r="G5718" s="8">
        <v>39744</v>
      </c>
      <c r="Y5718" s="8"/>
    </row>
    <row r="5719" spans="1:25" x14ac:dyDescent="0.25">
      <c r="A5719" t="str">
        <f>"08-0811"</f>
        <v>08-0811</v>
      </c>
      <c r="D5719" s="8">
        <v>39744</v>
      </c>
      <c r="F5719" s="8">
        <v>39744</v>
      </c>
      <c r="G5719" s="8">
        <v>39746</v>
      </c>
      <c r="Y5719" s="8"/>
    </row>
    <row r="5720" spans="1:25" x14ac:dyDescent="0.25">
      <c r="A5720" t="str">
        <f>"08-0812"</f>
        <v>08-0812</v>
      </c>
      <c r="D5720" s="8">
        <v>39744</v>
      </c>
      <c r="F5720" s="8">
        <v>39769</v>
      </c>
      <c r="G5720" s="8">
        <v>39728</v>
      </c>
      <c r="Y5720" s="8"/>
    </row>
    <row r="5721" spans="1:25" x14ac:dyDescent="0.25">
      <c r="A5721" t="str">
        <f>"08-0813"</f>
        <v>08-0813</v>
      </c>
      <c r="D5721" s="8">
        <v>39744</v>
      </c>
      <c r="F5721" s="8">
        <v>39755</v>
      </c>
      <c r="G5721" s="8">
        <v>39750</v>
      </c>
      <c r="Y5721" s="8"/>
    </row>
    <row r="5722" spans="1:25" x14ac:dyDescent="0.25">
      <c r="A5722" t="str">
        <f>"08-0760B"</f>
        <v>08-0760B</v>
      </c>
      <c r="D5722" s="8">
        <v>39743</v>
      </c>
      <c r="F5722" s="8">
        <v>39743</v>
      </c>
      <c r="G5722" s="8">
        <v>39744</v>
      </c>
      <c r="Y5722" s="8"/>
    </row>
    <row r="5723" spans="1:25" x14ac:dyDescent="0.25">
      <c r="A5723" t="str">
        <f>"08-0805"</f>
        <v>08-0805</v>
      </c>
      <c r="D5723" s="8">
        <v>39743</v>
      </c>
      <c r="F5723" s="8">
        <v>39743</v>
      </c>
      <c r="G5723" s="8">
        <v>39743</v>
      </c>
      <c r="Y5723" s="8"/>
    </row>
    <row r="5724" spans="1:25" x14ac:dyDescent="0.25">
      <c r="A5724" t="str">
        <f>"08-0806"</f>
        <v>08-0806</v>
      </c>
      <c r="D5724" s="8">
        <v>39743</v>
      </c>
      <c r="F5724" s="8">
        <v>39748</v>
      </c>
      <c r="G5724" s="8">
        <v>39744</v>
      </c>
      <c r="Y5724" s="8"/>
    </row>
    <row r="5725" spans="1:25" x14ac:dyDescent="0.25">
      <c r="A5725" t="str">
        <f>"08-0807"</f>
        <v>08-0807</v>
      </c>
      <c r="D5725" s="8">
        <v>39743</v>
      </c>
      <c r="F5725" s="8">
        <v>39744</v>
      </c>
      <c r="G5725" s="8">
        <v>39745</v>
      </c>
      <c r="Y5725" s="8"/>
    </row>
    <row r="5726" spans="1:25" x14ac:dyDescent="0.25">
      <c r="A5726" t="str">
        <f>"08-0808"</f>
        <v>08-0808</v>
      </c>
      <c r="D5726" s="8">
        <v>39743</v>
      </c>
      <c r="F5726" s="8">
        <v>39743</v>
      </c>
      <c r="G5726" s="8">
        <v>39743</v>
      </c>
      <c r="Y5726" s="8"/>
    </row>
    <row r="5727" spans="1:25" x14ac:dyDescent="0.25">
      <c r="A5727" t="str">
        <f>"08-0809"</f>
        <v>08-0809</v>
      </c>
      <c r="D5727" s="8">
        <v>39743</v>
      </c>
      <c r="F5727" s="8">
        <v>39743</v>
      </c>
      <c r="G5727" s="8">
        <v>39743</v>
      </c>
      <c r="Y5727" s="8"/>
    </row>
    <row r="5728" spans="1:25" x14ac:dyDescent="0.25">
      <c r="A5728" t="str">
        <f>"08-0801"</f>
        <v>08-0801</v>
      </c>
      <c r="D5728" s="8">
        <v>39742</v>
      </c>
      <c r="F5728" s="8">
        <v>39742</v>
      </c>
      <c r="G5728" s="8">
        <v>39738</v>
      </c>
      <c r="Y5728" s="8"/>
    </row>
    <row r="5729" spans="1:25" x14ac:dyDescent="0.25">
      <c r="A5729" t="str">
        <f>"08-0802"</f>
        <v>08-0802</v>
      </c>
      <c r="D5729" s="8">
        <v>39742</v>
      </c>
      <c r="F5729" s="8">
        <v>39790</v>
      </c>
      <c r="G5729" s="8">
        <v>39742</v>
      </c>
      <c r="Y5729" s="8"/>
    </row>
    <row r="5730" spans="1:25" x14ac:dyDescent="0.25">
      <c r="A5730" t="str">
        <f>"08-0803"</f>
        <v>08-0803</v>
      </c>
      <c r="D5730" s="8">
        <v>39742</v>
      </c>
      <c r="F5730" s="8">
        <v>39742</v>
      </c>
      <c r="G5730" s="8">
        <v>39742</v>
      </c>
      <c r="Y5730" s="8"/>
    </row>
    <row r="5731" spans="1:25" x14ac:dyDescent="0.25">
      <c r="A5731" t="str">
        <f>"08-0804"</f>
        <v>08-0804</v>
      </c>
      <c r="D5731" s="8">
        <v>39742</v>
      </c>
      <c r="F5731" s="8">
        <v>39757</v>
      </c>
      <c r="G5731" s="8">
        <v>39742</v>
      </c>
      <c r="Y5731" s="8"/>
    </row>
    <row r="5732" spans="1:25" x14ac:dyDescent="0.25">
      <c r="A5732" t="str">
        <f>"08-0794"</f>
        <v>08-0794</v>
      </c>
      <c r="D5732" s="8">
        <v>39741</v>
      </c>
      <c r="F5732" s="8">
        <v>40281</v>
      </c>
      <c r="G5732" s="8">
        <v>39756</v>
      </c>
      <c r="Y5732" s="8"/>
    </row>
    <row r="5733" spans="1:25" x14ac:dyDescent="0.25">
      <c r="A5733" t="str">
        <f>"08-0795"</f>
        <v>08-0795</v>
      </c>
      <c r="D5733" s="8">
        <v>39741</v>
      </c>
      <c r="F5733" s="8">
        <v>39741</v>
      </c>
      <c r="G5733" s="8">
        <v>39741</v>
      </c>
      <c r="Y5733" s="8"/>
    </row>
    <row r="5734" spans="1:25" x14ac:dyDescent="0.25">
      <c r="A5734" t="str">
        <f>"08-0796"</f>
        <v>08-0796</v>
      </c>
      <c r="D5734" s="8">
        <v>39741</v>
      </c>
      <c r="F5734" s="8">
        <v>39741</v>
      </c>
      <c r="G5734" s="8">
        <v>39738</v>
      </c>
      <c r="Y5734" s="8"/>
    </row>
    <row r="5735" spans="1:25" x14ac:dyDescent="0.25">
      <c r="A5735" t="str">
        <f>"08-0797"</f>
        <v>08-0797</v>
      </c>
      <c r="D5735" s="8">
        <v>39741</v>
      </c>
      <c r="F5735" s="8">
        <v>39741</v>
      </c>
      <c r="G5735" s="8">
        <v>39741</v>
      </c>
      <c r="Y5735" s="8"/>
    </row>
    <row r="5736" spans="1:25" x14ac:dyDescent="0.25">
      <c r="A5736" t="str">
        <f>"08-0798"</f>
        <v>08-0798</v>
      </c>
      <c r="D5736" s="8">
        <v>39741</v>
      </c>
      <c r="F5736" s="8">
        <v>39741</v>
      </c>
      <c r="G5736" s="8">
        <v>39738</v>
      </c>
      <c r="Y5736" s="8"/>
    </row>
    <row r="5737" spans="1:25" x14ac:dyDescent="0.25">
      <c r="A5737" t="str">
        <f>"08-0799"</f>
        <v>08-0799</v>
      </c>
      <c r="D5737" s="8">
        <v>39741</v>
      </c>
      <c r="F5737" s="8">
        <v>39741</v>
      </c>
      <c r="G5737" s="8">
        <v>39741</v>
      </c>
      <c r="Y5737" s="8"/>
    </row>
    <row r="5738" spans="1:25" x14ac:dyDescent="0.25">
      <c r="A5738" t="str">
        <f>"08-0789"</f>
        <v>08-0789</v>
      </c>
      <c r="D5738" s="8">
        <v>39738</v>
      </c>
      <c r="F5738" s="8">
        <v>40500</v>
      </c>
      <c r="G5738" s="8">
        <v>39738</v>
      </c>
      <c r="Y5738" s="8"/>
    </row>
    <row r="5739" spans="1:25" x14ac:dyDescent="0.25">
      <c r="A5739" t="str">
        <f>"08-0790"</f>
        <v>08-0790</v>
      </c>
      <c r="D5739" s="8">
        <v>39738</v>
      </c>
      <c r="F5739" s="8">
        <v>39738</v>
      </c>
      <c r="G5739" s="8">
        <v>39738</v>
      </c>
      <c r="Y5739" s="8"/>
    </row>
    <row r="5740" spans="1:25" x14ac:dyDescent="0.25">
      <c r="A5740" t="str">
        <f>"08-0791"</f>
        <v>08-0791</v>
      </c>
      <c r="D5740" s="8">
        <v>39738</v>
      </c>
      <c r="F5740" s="8">
        <v>39738</v>
      </c>
      <c r="G5740" s="8">
        <v>39741</v>
      </c>
      <c r="Y5740" s="8"/>
    </row>
    <row r="5741" spans="1:25" x14ac:dyDescent="0.25">
      <c r="A5741" t="str">
        <f>"08-0792"</f>
        <v>08-0792</v>
      </c>
      <c r="D5741" s="8">
        <v>39738</v>
      </c>
      <c r="F5741" s="8">
        <v>39738</v>
      </c>
      <c r="G5741" s="8">
        <v>39741</v>
      </c>
      <c r="Y5741" s="8"/>
    </row>
    <row r="5742" spans="1:25" x14ac:dyDescent="0.25">
      <c r="A5742" t="str">
        <f>"08-0793"</f>
        <v>08-0793</v>
      </c>
      <c r="D5742" s="8">
        <v>39738</v>
      </c>
      <c r="F5742" s="8">
        <v>39738</v>
      </c>
      <c r="G5742" s="8">
        <v>39741</v>
      </c>
      <c r="Y5742" s="8"/>
    </row>
    <row r="5743" spans="1:25" x14ac:dyDescent="0.25">
      <c r="A5743" t="str">
        <f>"08-0430B"</f>
        <v>08-0430B</v>
      </c>
      <c r="D5743" s="8">
        <v>39737</v>
      </c>
      <c r="F5743" s="8">
        <v>39737</v>
      </c>
      <c r="G5743" s="8">
        <v>39737</v>
      </c>
      <c r="Y5743" s="8"/>
    </row>
    <row r="5744" spans="1:25" x14ac:dyDescent="0.25">
      <c r="A5744" t="str">
        <f>"08-0787"</f>
        <v>08-0787</v>
      </c>
      <c r="D5744" s="8">
        <v>39737</v>
      </c>
      <c r="F5744" s="8">
        <v>39737</v>
      </c>
      <c r="G5744" s="8">
        <v>39737</v>
      </c>
      <c r="Y5744" s="8"/>
    </row>
    <row r="5745" spans="1:25" x14ac:dyDescent="0.25">
      <c r="A5745" t="str">
        <f>"08-0788"</f>
        <v>08-0788</v>
      </c>
      <c r="D5745" s="8">
        <v>39737</v>
      </c>
      <c r="F5745" s="8">
        <v>39737</v>
      </c>
      <c r="G5745" s="8">
        <v>39737</v>
      </c>
      <c r="Y5745" s="8"/>
    </row>
    <row r="5746" spans="1:25" x14ac:dyDescent="0.25">
      <c r="A5746" t="str">
        <f>"08-0782"</f>
        <v>08-0782</v>
      </c>
      <c r="D5746" s="8">
        <v>39736</v>
      </c>
      <c r="F5746" s="8">
        <v>39741</v>
      </c>
      <c r="G5746" s="8">
        <v>39738</v>
      </c>
      <c r="Y5746" s="8"/>
    </row>
    <row r="5747" spans="1:25" x14ac:dyDescent="0.25">
      <c r="A5747" t="str">
        <f>"08-0783"</f>
        <v>08-0783</v>
      </c>
      <c r="D5747" s="8">
        <v>39736</v>
      </c>
      <c r="F5747" s="8">
        <v>39736</v>
      </c>
      <c r="G5747" s="8">
        <v>39736</v>
      </c>
      <c r="Y5747" s="8"/>
    </row>
    <row r="5748" spans="1:25" x14ac:dyDescent="0.25">
      <c r="A5748" t="str">
        <f>"08-0784"</f>
        <v>08-0784</v>
      </c>
      <c r="D5748" s="8">
        <v>39736</v>
      </c>
      <c r="F5748" s="8">
        <v>39736</v>
      </c>
      <c r="G5748" s="8">
        <v>39736</v>
      </c>
      <c r="Y5748" s="8"/>
    </row>
    <row r="5749" spans="1:25" x14ac:dyDescent="0.25">
      <c r="A5749" t="str">
        <f>"08-0785"</f>
        <v>08-0785</v>
      </c>
      <c r="D5749" s="8">
        <v>39736</v>
      </c>
      <c r="F5749" s="8">
        <v>39736</v>
      </c>
      <c r="G5749" s="8">
        <v>39736</v>
      </c>
      <c r="Y5749" s="8"/>
    </row>
    <row r="5750" spans="1:25" x14ac:dyDescent="0.25">
      <c r="A5750" t="str">
        <f>"08-0786"</f>
        <v>08-0786</v>
      </c>
      <c r="D5750" s="8">
        <v>39736</v>
      </c>
      <c r="F5750" s="8">
        <v>39770</v>
      </c>
      <c r="G5750" s="8">
        <v>39736</v>
      </c>
      <c r="Y5750" s="8"/>
    </row>
    <row r="5751" spans="1:25" x14ac:dyDescent="0.25">
      <c r="A5751" t="str">
        <f>"08-0777"</f>
        <v>08-0777</v>
      </c>
      <c r="D5751" s="8">
        <v>39735</v>
      </c>
      <c r="F5751" s="8">
        <v>39735</v>
      </c>
      <c r="G5751" s="8">
        <v>39736</v>
      </c>
      <c r="Y5751" s="8"/>
    </row>
    <row r="5752" spans="1:25" x14ac:dyDescent="0.25">
      <c r="A5752" t="str">
        <f>"08-0778"</f>
        <v>08-0778</v>
      </c>
      <c r="D5752" s="8">
        <v>39735</v>
      </c>
      <c r="F5752" s="8">
        <v>39735</v>
      </c>
      <c r="G5752" s="8">
        <v>39735</v>
      </c>
      <c r="Y5752" s="8"/>
    </row>
    <row r="5753" spans="1:25" x14ac:dyDescent="0.25">
      <c r="A5753" t="str">
        <f>"08-0779"</f>
        <v>08-0779</v>
      </c>
      <c r="D5753" s="8">
        <v>39735</v>
      </c>
      <c r="F5753" s="8">
        <v>39735</v>
      </c>
      <c r="G5753" s="8">
        <v>39735</v>
      </c>
      <c r="Y5753" s="8"/>
    </row>
    <row r="5754" spans="1:25" x14ac:dyDescent="0.25">
      <c r="A5754" t="str">
        <f>"08-0780"</f>
        <v>08-0780</v>
      </c>
      <c r="D5754" s="8">
        <v>39735</v>
      </c>
      <c r="F5754" s="8">
        <v>39735</v>
      </c>
      <c r="G5754" s="8">
        <v>39735</v>
      </c>
      <c r="Y5754" s="8"/>
    </row>
    <row r="5755" spans="1:25" x14ac:dyDescent="0.25">
      <c r="A5755" t="str">
        <f>"08-0781"</f>
        <v>08-0781</v>
      </c>
      <c r="D5755" s="8">
        <v>39735</v>
      </c>
      <c r="F5755" s="8">
        <v>39735</v>
      </c>
      <c r="G5755" s="8">
        <v>39737</v>
      </c>
      <c r="Y5755" s="8"/>
    </row>
    <row r="5756" spans="1:25" x14ac:dyDescent="0.25">
      <c r="A5756" t="str">
        <f>"08-0775"</f>
        <v>08-0775</v>
      </c>
      <c r="D5756" s="8">
        <v>39734</v>
      </c>
      <c r="F5756" s="8">
        <v>39734</v>
      </c>
      <c r="G5756" s="8">
        <v>39736</v>
      </c>
      <c r="Y5756" s="8"/>
    </row>
    <row r="5757" spans="1:25" x14ac:dyDescent="0.25">
      <c r="A5757" t="str">
        <f>"08-0776"</f>
        <v>08-0776</v>
      </c>
      <c r="D5757" s="8">
        <v>39734</v>
      </c>
      <c r="F5757" s="8">
        <v>39734</v>
      </c>
      <c r="G5757" s="8">
        <v>39738</v>
      </c>
      <c r="Y5757" s="8"/>
    </row>
    <row r="5758" spans="1:25" x14ac:dyDescent="0.25">
      <c r="A5758" t="str">
        <f>"08-0721B"</f>
        <v>08-0721B</v>
      </c>
      <c r="D5758" s="8">
        <v>39731</v>
      </c>
      <c r="F5758" s="8">
        <v>39750</v>
      </c>
      <c r="G5758" s="8">
        <v>39731</v>
      </c>
      <c r="Y5758" s="8"/>
    </row>
    <row r="5759" spans="1:25" x14ac:dyDescent="0.25">
      <c r="A5759" t="str">
        <f>"08-0763B"</f>
        <v>08-0763B</v>
      </c>
      <c r="D5759" s="8">
        <v>39731</v>
      </c>
      <c r="F5759" s="8">
        <v>39731</v>
      </c>
      <c r="G5759" s="8">
        <v>39731</v>
      </c>
      <c r="Y5759" s="8"/>
    </row>
    <row r="5760" spans="1:25" x14ac:dyDescent="0.25">
      <c r="A5760" t="str">
        <f>"08-0773"</f>
        <v>08-0773</v>
      </c>
      <c r="D5760" s="8">
        <v>39731</v>
      </c>
      <c r="F5760" s="8">
        <v>39731</v>
      </c>
      <c r="G5760" s="8">
        <v>39731</v>
      </c>
      <c r="Y5760" s="8"/>
    </row>
    <row r="5761" spans="1:25" x14ac:dyDescent="0.25">
      <c r="A5761" t="str">
        <f>"08-0774"</f>
        <v>08-0774</v>
      </c>
      <c r="D5761" s="8">
        <v>39731</v>
      </c>
      <c r="F5761" s="8">
        <v>39731</v>
      </c>
      <c r="G5761" s="8">
        <v>39727</v>
      </c>
      <c r="Y5761" s="8"/>
    </row>
    <row r="5762" spans="1:25" x14ac:dyDescent="0.25">
      <c r="A5762" t="str">
        <f>"08-0763"</f>
        <v>08-0763</v>
      </c>
      <c r="D5762" s="8">
        <v>39730</v>
      </c>
      <c r="F5762" s="8">
        <v>39730</v>
      </c>
      <c r="G5762" s="8">
        <v>39730</v>
      </c>
      <c r="Y5762" s="8"/>
    </row>
    <row r="5763" spans="1:25" x14ac:dyDescent="0.25">
      <c r="A5763" t="str">
        <f>"08-0764"</f>
        <v>08-0764</v>
      </c>
      <c r="D5763" s="8">
        <v>39730</v>
      </c>
      <c r="F5763" s="8">
        <v>39730</v>
      </c>
      <c r="G5763" s="8">
        <v>39731</v>
      </c>
      <c r="Y5763" s="8"/>
    </row>
    <row r="5764" spans="1:25" x14ac:dyDescent="0.25">
      <c r="A5764" t="str">
        <f>"08-0765"</f>
        <v>08-0765</v>
      </c>
      <c r="D5764" s="8">
        <v>39730</v>
      </c>
      <c r="F5764" s="8">
        <v>39735</v>
      </c>
      <c r="G5764" s="8">
        <v>39731</v>
      </c>
      <c r="Y5764" s="8"/>
    </row>
    <row r="5765" spans="1:25" x14ac:dyDescent="0.25">
      <c r="A5765" t="str">
        <f>"08-0766"</f>
        <v>08-0766</v>
      </c>
      <c r="D5765" s="8">
        <v>39730</v>
      </c>
      <c r="F5765" s="8">
        <v>39730</v>
      </c>
      <c r="G5765" s="8">
        <v>39731</v>
      </c>
      <c r="Y5765" s="8"/>
    </row>
    <row r="5766" spans="1:25" x14ac:dyDescent="0.25">
      <c r="A5766" t="str">
        <f>"08-0767"</f>
        <v>08-0767</v>
      </c>
      <c r="D5766" s="8">
        <v>39730</v>
      </c>
      <c r="F5766" s="8">
        <v>39730</v>
      </c>
      <c r="G5766" s="8">
        <v>39730</v>
      </c>
      <c r="Y5766" s="8"/>
    </row>
    <row r="5767" spans="1:25" x14ac:dyDescent="0.25">
      <c r="A5767" t="str">
        <f>"08-0768"</f>
        <v>08-0768</v>
      </c>
      <c r="D5767" s="8">
        <v>39730</v>
      </c>
      <c r="F5767" s="8">
        <v>39730</v>
      </c>
      <c r="G5767" s="8">
        <v>39730</v>
      </c>
      <c r="Y5767" s="8"/>
    </row>
    <row r="5768" spans="1:25" x14ac:dyDescent="0.25">
      <c r="A5768" t="str">
        <f>"08-0769"</f>
        <v>08-0769</v>
      </c>
      <c r="D5768" s="8">
        <v>39730</v>
      </c>
      <c r="F5768" s="8">
        <v>39730</v>
      </c>
      <c r="G5768" s="8">
        <v>39730</v>
      </c>
      <c r="Y5768" s="8"/>
    </row>
    <row r="5769" spans="1:25" x14ac:dyDescent="0.25">
      <c r="A5769" t="str">
        <f>"08-0770"</f>
        <v>08-0770</v>
      </c>
      <c r="D5769" s="8">
        <v>39730</v>
      </c>
      <c r="F5769" s="8">
        <v>39735</v>
      </c>
      <c r="G5769" s="8">
        <v>39731</v>
      </c>
      <c r="Y5769" s="8"/>
    </row>
    <row r="5770" spans="1:25" x14ac:dyDescent="0.25">
      <c r="A5770" t="str">
        <f>"08-0771"</f>
        <v>08-0771</v>
      </c>
      <c r="D5770" s="8">
        <v>39730</v>
      </c>
      <c r="F5770" s="8">
        <v>39731</v>
      </c>
      <c r="G5770" s="8">
        <v>39727</v>
      </c>
      <c r="Y5770" s="8"/>
    </row>
    <row r="5771" spans="1:25" x14ac:dyDescent="0.25">
      <c r="A5771" t="str">
        <f>"08-0772"</f>
        <v>08-0772</v>
      </c>
      <c r="D5771" s="8">
        <v>39730</v>
      </c>
      <c r="F5771" s="8">
        <v>39730</v>
      </c>
      <c r="G5771" s="8">
        <v>39730</v>
      </c>
      <c r="Y5771" s="8"/>
    </row>
    <row r="5772" spans="1:25" x14ac:dyDescent="0.25">
      <c r="A5772" t="str">
        <f>"08-0762"</f>
        <v>08-0762</v>
      </c>
      <c r="D5772" s="8">
        <v>39729</v>
      </c>
      <c r="F5772" s="8">
        <v>39729</v>
      </c>
      <c r="G5772" s="8">
        <v>39729</v>
      </c>
      <c r="Y5772" s="8"/>
    </row>
    <row r="5773" spans="1:25" x14ac:dyDescent="0.25">
      <c r="A5773" t="str">
        <f>"08-0756"</f>
        <v>08-0756</v>
      </c>
      <c r="D5773" s="8">
        <v>39728</v>
      </c>
      <c r="F5773" s="8">
        <v>39728</v>
      </c>
      <c r="G5773" s="8">
        <v>39728</v>
      </c>
      <c r="Y5773" s="8"/>
    </row>
    <row r="5774" spans="1:25" x14ac:dyDescent="0.25">
      <c r="A5774" t="str">
        <f>"08-0757"</f>
        <v>08-0757</v>
      </c>
      <c r="D5774" s="8">
        <v>39728</v>
      </c>
      <c r="F5774" s="8">
        <v>39728</v>
      </c>
      <c r="G5774" s="8">
        <v>39728</v>
      </c>
      <c r="Y5774" s="8"/>
    </row>
    <row r="5775" spans="1:25" x14ac:dyDescent="0.25">
      <c r="A5775" t="str">
        <f>"08-0758"</f>
        <v>08-0758</v>
      </c>
      <c r="D5775" s="8">
        <v>39728</v>
      </c>
      <c r="F5775" s="8">
        <v>39728</v>
      </c>
      <c r="G5775" s="8">
        <v>39728</v>
      </c>
      <c r="Y5775" s="8"/>
    </row>
    <row r="5776" spans="1:25" x14ac:dyDescent="0.25">
      <c r="A5776" t="str">
        <f>"08-0759"</f>
        <v>08-0759</v>
      </c>
      <c r="D5776" s="8">
        <v>39728</v>
      </c>
      <c r="F5776" s="8">
        <v>39728</v>
      </c>
      <c r="G5776" s="8">
        <v>39728</v>
      </c>
      <c r="Y5776" s="8"/>
    </row>
    <row r="5777" spans="1:25" x14ac:dyDescent="0.25">
      <c r="A5777" t="str">
        <f>"08-0760"</f>
        <v>08-0760</v>
      </c>
      <c r="D5777" s="8">
        <v>39728</v>
      </c>
      <c r="F5777" s="8">
        <v>39737</v>
      </c>
      <c r="G5777" s="8">
        <v>39737</v>
      </c>
      <c r="Y5777" s="8"/>
    </row>
    <row r="5778" spans="1:25" x14ac:dyDescent="0.25">
      <c r="A5778" t="str">
        <f>"08-0761"</f>
        <v>08-0761</v>
      </c>
      <c r="D5778" s="8">
        <v>39728</v>
      </c>
      <c r="F5778" s="8">
        <v>39728</v>
      </c>
      <c r="G5778" s="8">
        <v>39728</v>
      </c>
      <c r="Y5778" s="8"/>
    </row>
    <row r="5779" spans="1:25" x14ac:dyDescent="0.25">
      <c r="A5779" t="str">
        <f>"08-0653 D"</f>
        <v>08-0653 D</v>
      </c>
      <c r="D5779" s="8">
        <v>39727</v>
      </c>
      <c r="F5779" s="8">
        <v>39727</v>
      </c>
      <c r="G5779" s="8">
        <v>39727</v>
      </c>
      <c r="Y5779" s="8"/>
    </row>
    <row r="5780" spans="1:25" x14ac:dyDescent="0.25">
      <c r="A5780" t="str">
        <f>"08-0749"</f>
        <v>08-0749</v>
      </c>
      <c r="D5780" s="8">
        <v>39727</v>
      </c>
      <c r="F5780" s="8">
        <v>39730</v>
      </c>
      <c r="G5780" s="8">
        <v>39727</v>
      </c>
      <c r="Y5780" s="8"/>
    </row>
    <row r="5781" spans="1:25" x14ac:dyDescent="0.25">
      <c r="A5781" t="str">
        <f>"08-0750"</f>
        <v>08-0750</v>
      </c>
      <c r="D5781" s="8">
        <v>39727</v>
      </c>
      <c r="F5781" s="8">
        <v>39727</v>
      </c>
      <c r="G5781" s="8">
        <v>39727</v>
      </c>
      <c r="Y5781" s="8"/>
    </row>
    <row r="5782" spans="1:25" x14ac:dyDescent="0.25">
      <c r="A5782" t="str">
        <f>"08-0751"</f>
        <v>08-0751</v>
      </c>
      <c r="D5782" s="8">
        <v>39727</v>
      </c>
      <c r="F5782" s="8">
        <v>39728</v>
      </c>
      <c r="G5782" s="8">
        <v>39727</v>
      </c>
      <c r="Y5782" s="8"/>
    </row>
    <row r="5783" spans="1:25" x14ac:dyDescent="0.25">
      <c r="A5783" t="str">
        <f>"08-0752"</f>
        <v>08-0752</v>
      </c>
      <c r="D5783" s="8">
        <v>39727</v>
      </c>
      <c r="F5783" s="8">
        <v>39727</v>
      </c>
      <c r="G5783" s="8">
        <v>39727</v>
      </c>
      <c r="Y5783" s="8"/>
    </row>
    <row r="5784" spans="1:25" x14ac:dyDescent="0.25">
      <c r="A5784" t="str">
        <f>"08-0753"</f>
        <v>08-0753</v>
      </c>
      <c r="D5784" s="8">
        <v>39727</v>
      </c>
      <c r="F5784" s="8">
        <v>39727</v>
      </c>
      <c r="G5784" s="8">
        <v>39727</v>
      </c>
      <c r="Y5784" s="8"/>
    </row>
    <row r="5785" spans="1:25" x14ac:dyDescent="0.25">
      <c r="A5785" t="str">
        <f>"08-0754"</f>
        <v>08-0754</v>
      </c>
      <c r="D5785" s="8">
        <v>39727</v>
      </c>
      <c r="F5785" s="8">
        <v>39727</v>
      </c>
      <c r="G5785" s="8">
        <v>39727</v>
      </c>
      <c r="Y5785" s="8"/>
    </row>
    <row r="5786" spans="1:25" x14ac:dyDescent="0.25">
      <c r="A5786" t="str">
        <f>"08-0755"</f>
        <v>08-0755</v>
      </c>
      <c r="D5786" s="8">
        <v>39727</v>
      </c>
      <c r="F5786" s="8">
        <v>39727</v>
      </c>
      <c r="G5786" s="8">
        <v>39727</v>
      </c>
      <c r="Y5786" s="8"/>
    </row>
    <row r="5787" spans="1:25" x14ac:dyDescent="0.25">
      <c r="A5787" t="str">
        <f>"08-0742"</f>
        <v>08-0742</v>
      </c>
      <c r="D5787" s="8">
        <v>39724</v>
      </c>
      <c r="F5787" s="8">
        <v>39724</v>
      </c>
      <c r="G5787" s="8">
        <v>39724</v>
      </c>
      <c r="Y5787" s="8"/>
    </row>
    <row r="5788" spans="1:25" x14ac:dyDescent="0.25">
      <c r="A5788" t="str">
        <f>"08-0743"</f>
        <v>08-0743</v>
      </c>
      <c r="D5788" s="8">
        <v>39724</v>
      </c>
      <c r="F5788" s="8">
        <v>39724</v>
      </c>
      <c r="G5788" s="8">
        <v>39724</v>
      </c>
      <c r="Y5788" s="8"/>
    </row>
    <row r="5789" spans="1:25" x14ac:dyDescent="0.25">
      <c r="A5789" t="str">
        <f>"08-0744"</f>
        <v>08-0744</v>
      </c>
      <c r="D5789" s="8">
        <v>39724</v>
      </c>
      <c r="F5789" s="8">
        <v>39727</v>
      </c>
      <c r="G5789" s="8">
        <v>39724</v>
      </c>
      <c r="Y5789" s="8"/>
    </row>
    <row r="5790" spans="1:25" x14ac:dyDescent="0.25">
      <c r="A5790" t="str">
        <f>"08-0745"</f>
        <v>08-0745</v>
      </c>
      <c r="D5790" s="8">
        <v>39724</v>
      </c>
      <c r="F5790" s="8">
        <v>39724</v>
      </c>
      <c r="G5790" s="8">
        <v>39724</v>
      </c>
      <c r="Y5790" s="8"/>
    </row>
    <row r="5791" spans="1:25" x14ac:dyDescent="0.25">
      <c r="A5791" t="str">
        <f>"08-0746"</f>
        <v>08-0746</v>
      </c>
      <c r="D5791" s="8">
        <v>39724</v>
      </c>
      <c r="F5791" s="8">
        <v>39730</v>
      </c>
      <c r="G5791" s="8">
        <v>39724</v>
      </c>
      <c r="Y5791" s="8"/>
    </row>
    <row r="5792" spans="1:25" x14ac:dyDescent="0.25">
      <c r="A5792" t="str">
        <f>"08-0747"</f>
        <v>08-0747</v>
      </c>
      <c r="D5792" s="8">
        <v>39724</v>
      </c>
      <c r="F5792" s="8">
        <v>39727</v>
      </c>
      <c r="G5792" s="8">
        <v>39727</v>
      </c>
      <c r="Y5792" s="8"/>
    </row>
    <row r="5793" spans="1:25" x14ac:dyDescent="0.25">
      <c r="A5793" t="str">
        <f>"08-0748"</f>
        <v>08-0748</v>
      </c>
      <c r="D5793" s="8">
        <v>39724</v>
      </c>
      <c r="G5793" s="8">
        <v>39724</v>
      </c>
    </row>
    <row r="5794" spans="1:25" x14ac:dyDescent="0.25">
      <c r="A5794" t="str">
        <f>"08-0738"</f>
        <v>08-0738</v>
      </c>
      <c r="D5794" s="8">
        <v>39723</v>
      </c>
      <c r="F5794" s="8">
        <v>39723</v>
      </c>
      <c r="G5794" s="8">
        <v>39724</v>
      </c>
      <c r="Y5794" s="8"/>
    </row>
    <row r="5795" spans="1:25" x14ac:dyDescent="0.25">
      <c r="A5795" t="str">
        <f>"08-0739"</f>
        <v>08-0739</v>
      </c>
      <c r="D5795" s="8">
        <v>39723</v>
      </c>
      <c r="F5795" s="8">
        <v>39723</v>
      </c>
      <c r="G5795" s="8">
        <v>39723</v>
      </c>
      <c r="Y5795" s="8"/>
    </row>
    <row r="5796" spans="1:25" x14ac:dyDescent="0.25">
      <c r="A5796" t="str">
        <f>"08-0740"</f>
        <v>08-0740</v>
      </c>
      <c r="D5796" s="8">
        <v>39723</v>
      </c>
      <c r="F5796" s="8">
        <v>39724</v>
      </c>
      <c r="G5796" s="8">
        <v>39723</v>
      </c>
      <c r="Y5796" s="8"/>
    </row>
    <row r="5797" spans="1:25" x14ac:dyDescent="0.25">
      <c r="A5797" t="str">
        <f>"08-0741"</f>
        <v>08-0741</v>
      </c>
      <c r="D5797" s="8">
        <v>39723</v>
      </c>
      <c r="F5797" s="8">
        <v>39723</v>
      </c>
      <c r="G5797" s="8">
        <v>39724</v>
      </c>
      <c r="Y5797" s="8"/>
    </row>
    <row r="5798" spans="1:25" x14ac:dyDescent="0.25">
      <c r="A5798" t="str">
        <f>"08-0696B"</f>
        <v>08-0696B</v>
      </c>
      <c r="D5798" s="8">
        <v>39722</v>
      </c>
      <c r="F5798" s="8">
        <v>39722</v>
      </c>
      <c r="G5798" s="8">
        <v>39722</v>
      </c>
      <c r="Y5798" s="8"/>
    </row>
    <row r="5799" spans="1:25" x14ac:dyDescent="0.25">
      <c r="A5799" t="str">
        <f>"08-0736"</f>
        <v>08-0736</v>
      </c>
      <c r="D5799" s="8">
        <v>39722</v>
      </c>
      <c r="F5799" s="8">
        <v>39722</v>
      </c>
      <c r="G5799" s="8">
        <v>39724</v>
      </c>
      <c r="Y5799" s="8"/>
    </row>
    <row r="5800" spans="1:25" x14ac:dyDescent="0.25">
      <c r="A5800" t="str">
        <f>"08-0737"</f>
        <v>08-0737</v>
      </c>
      <c r="D5800" s="8">
        <v>39722</v>
      </c>
      <c r="F5800" s="8">
        <v>39722</v>
      </c>
      <c r="G5800" s="8">
        <v>39724</v>
      </c>
      <c r="Y5800" s="8"/>
    </row>
    <row r="5801" spans="1:25" x14ac:dyDescent="0.25">
      <c r="A5801" t="str">
        <f>"08-0653 C"</f>
        <v>08-0653 C</v>
      </c>
      <c r="D5801" s="8">
        <v>39721</v>
      </c>
      <c r="F5801" s="8">
        <v>39721</v>
      </c>
      <c r="G5801" s="8">
        <v>39721</v>
      </c>
      <c r="Y5801" s="8"/>
    </row>
    <row r="5802" spans="1:25" x14ac:dyDescent="0.25">
      <c r="A5802" t="str">
        <f>"08-0653B"</f>
        <v>08-0653B</v>
      </c>
      <c r="D5802" s="8">
        <v>39721</v>
      </c>
      <c r="F5802" s="8">
        <v>39721</v>
      </c>
      <c r="G5802" s="8">
        <v>39721</v>
      </c>
      <c r="Y5802" s="8"/>
    </row>
    <row r="5803" spans="1:25" x14ac:dyDescent="0.25">
      <c r="A5803" t="str">
        <f>"08-0728"</f>
        <v>08-0728</v>
      </c>
      <c r="D5803" s="8">
        <v>39721</v>
      </c>
      <c r="F5803" s="8">
        <v>39723</v>
      </c>
      <c r="G5803" s="8">
        <v>39724</v>
      </c>
      <c r="Y5803" s="8"/>
    </row>
    <row r="5804" spans="1:25" x14ac:dyDescent="0.25">
      <c r="A5804" t="str">
        <f>"08-0729"</f>
        <v>08-0729</v>
      </c>
      <c r="D5804" s="8">
        <v>39721</v>
      </c>
      <c r="F5804" s="8">
        <v>39721</v>
      </c>
      <c r="G5804" s="8">
        <v>39721</v>
      </c>
      <c r="Y5804" s="8"/>
    </row>
    <row r="5805" spans="1:25" x14ac:dyDescent="0.25">
      <c r="A5805" t="str">
        <f>"08-0730"</f>
        <v>08-0730</v>
      </c>
      <c r="D5805" s="8">
        <v>39721</v>
      </c>
      <c r="F5805" s="8">
        <v>39724</v>
      </c>
      <c r="G5805" s="8">
        <v>39722</v>
      </c>
      <c r="Y5805" s="8"/>
    </row>
    <row r="5806" spans="1:25" x14ac:dyDescent="0.25">
      <c r="A5806" t="str">
        <f>"08-0731"</f>
        <v>08-0731</v>
      </c>
      <c r="D5806" s="8">
        <v>39721</v>
      </c>
      <c r="F5806" s="8">
        <v>39721</v>
      </c>
      <c r="G5806" s="8">
        <v>39721</v>
      </c>
      <c r="Y5806" s="8"/>
    </row>
    <row r="5807" spans="1:25" x14ac:dyDescent="0.25">
      <c r="A5807" t="str">
        <f>"08-0732"</f>
        <v>08-0732</v>
      </c>
      <c r="D5807" s="8">
        <v>39721</v>
      </c>
      <c r="F5807" s="8">
        <v>39721</v>
      </c>
      <c r="G5807" s="8">
        <v>39721</v>
      </c>
    </row>
    <row r="5808" spans="1:25" x14ac:dyDescent="0.25">
      <c r="A5808" t="str">
        <f>"08-0733"</f>
        <v>08-0733</v>
      </c>
      <c r="D5808" s="8">
        <v>39721</v>
      </c>
      <c r="F5808" s="8">
        <v>39721</v>
      </c>
      <c r="G5808" s="8">
        <v>39727</v>
      </c>
      <c r="Y5808" s="8"/>
    </row>
    <row r="5809" spans="1:25" x14ac:dyDescent="0.25">
      <c r="A5809" t="str">
        <f>"08-0734"</f>
        <v>08-0734</v>
      </c>
      <c r="D5809" s="8">
        <v>39721</v>
      </c>
      <c r="F5809" s="8">
        <v>39721</v>
      </c>
      <c r="G5809" s="8">
        <v>39722</v>
      </c>
      <c r="Y5809" s="8"/>
    </row>
    <row r="5810" spans="1:25" x14ac:dyDescent="0.25">
      <c r="A5810" t="str">
        <f>"08-0735"</f>
        <v>08-0735</v>
      </c>
      <c r="D5810" s="8">
        <v>39721</v>
      </c>
      <c r="F5810" s="8">
        <v>39721</v>
      </c>
      <c r="G5810" s="8">
        <v>39727</v>
      </c>
      <c r="Y5810" s="8"/>
    </row>
    <row r="5811" spans="1:25" x14ac:dyDescent="0.25">
      <c r="A5811" t="str">
        <f>"08-0722"</f>
        <v>08-0722</v>
      </c>
      <c r="D5811" s="8">
        <v>39720</v>
      </c>
      <c r="F5811" s="8">
        <v>39720</v>
      </c>
      <c r="G5811" s="8">
        <v>39720</v>
      </c>
      <c r="Y5811" s="8"/>
    </row>
    <row r="5812" spans="1:25" x14ac:dyDescent="0.25">
      <c r="A5812" t="str">
        <f>"08-0723"</f>
        <v>08-0723</v>
      </c>
      <c r="D5812" s="8">
        <v>39720</v>
      </c>
      <c r="F5812" s="8">
        <v>40044</v>
      </c>
      <c r="G5812" s="8">
        <v>39720</v>
      </c>
      <c r="Y5812" s="8"/>
    </row>
    <row r="5813" spans="1:25" x14ac:dyDescent="0.25">
      <c r="A5813" t="str">
        <f>"08-0724"</f>
        <v>08-0724</v>
      </c>
      <c r="D5813" s="8">
        <v>39720</v>
      </c>
      <c r="F5813" s="8">
        <v>39720</v>
      </c>
      <c r="G5813" s="8">
        <v>39720</v>
      </c>
      <c r="Y5813" s="8"/>
    </row>
    <row r="5814" spans="1:25" x14ac:dyDescent="0.25">
      <c r="A5814" t="str">
        <f>"08-0725"</f>
        <v>08-0725</v>
      </c>
      <c r="D5814" s="8">
        <v>39720</v>
      </c>
      <c r="G5814" s="8">
        <v>39724</v>
      </c>
    </row>
    <row r="5815" spans="1:25" x14ac:dyDescent="0.25">
      <c r="A5815" t="str">
        <f>"08-0726"</f>
        <v>08-0726</v>
      </c>
      <c r="D5815" s="8">
        <v>39720</v>
      </c>
      <c r="F5815" s="8">
        <v>39720</v>
      </c>
      <c r="G5815" s="8">
        <v>39721</v>
      </c>
      <c r="Y5815" s="8"/>
    </row>
    <row r="5816" spans="1:25" x14ac:dyDescent="0.25">
      <c r="A5816" t="str">
        <f>"08-0727"</f>
        <v>08-0727</v>
      </c>
      <c r="D5816" s="8">
        <v>39720</v>
      </c>
      <c r="F5816" s="8">
        <v>40044</v>
      </c>
      <c r="G5816" s="8">
        <v>39720</v>
      </c>
      <c r="Y5816" s="8"/>
    </row>
    <row r="5817" spans="1:25" x14ac:dyDescent="0.25">
      <c r="A5817" t="str">
        <f>"08-0717"</f>
        <v>08-0717</v>
      </c>
      <c r="D5817" s="8">
        <v>39717</v>
      </c>
      <c r="F5817" s="8">
        <v>39717</v>
      </c>
      <c r="G5817" s="8">
        <v>39717</v>
      </c>
      <c r="Y5817" s="8"/>
    </row>
    <row r="5818" spans="1:25" x14ac:dyDescent="0.25">
      <c r="A5818" t="str">
        <f>"08-0718"</f>
        <v>08-0718</v>
      </c>
      <c r="D5818" s="8">
        <v>39717</v>
      </c>
      <c r="F5818" s="8">
        <v>39717</v>
      </c>
      <c r="G5818" s="8">
        <v>39717</v>
      </c>
      <c r="Y5818" s="8"/>
    </row>
    <row r="5819" spans="1:25" x14ac:dyDescent="0.25">
      <c r="A5819" t="str">
        <f>"08-0719"</f>
        <v>08-0719</v>
      </c>
      <c r="D5819" s="8">
        <v>39717</v>
      </c>
      <c r="F5819" s="8">
        <v>40044</v>
      </c>
      <c r="G5819" s="8">
        <v>39717</v>
      </c>
      <c r="Y5819" s="8"/>
    </row>
    <row r="5820" spans="1:25" x14ac:dyDescent="0.25">
      <c r="A5820" t="str">
        <f>"08-0720"</f>
        <v>08-0720</v>
      </c>
      <c r="D5820" s="8">
        <v>39717</v>
      </c>
      <c r="F5820" s="8">
        <v>40044</v>
      </c>
      <c r="G5820" s="8">
        <v>39717</v>
      </c>
      <c r="Y5820" s="8"/>
    </row>
    <row r="5821" spans="1:25" x14ac:dyDescent="0.25">
      <c r="A5821" t="str">
        <f>"08-0721"</f>
        <v>08-0721</v>
      </c>
      <c r="D5821" s="8">
        <v>39717</v>
      </c>
      <c r="F5821" s="8">
        <v>39750</v>
      </c>
      <c r="G5821" s="8">
        <v>39717</v>
      </c>
      <c r="Y5821" s="8"/>
    </row>
    <row r="5822" spans="1:25" x14ac:dyDescent="0.25">
      <c r="A5822" t="str">
        <f>"08-0715"</f>
        <v>08-0715</v>
      </c>
      <c r="D5822" s="8">
        <v>39716</v>
      </c>
      <c r="F5822" s="8">
        <v>39716</v>
      </c>
      <c r="G5822" s="8">
        <v>39716</v>
      </c>
      <c r="Y5822" s="8"/>
    </row>
    <row r="5823" spans="1:25" x14ac:dyDescent="0.25">
      <c r="A5823" t="str">
        <f>"08-0716"</f>
        <v>08-0716</v>
      </c>
      <c r="D5823" s="8">
        <v>39716</v>
      </c>
      <c r="F5823" s="8">
        <v>39717</v>
      </c>
      <c r="G5823" s="8">
        <v>39716</v>
      </c>
      <c r="Y5823" s="8"/>
    </row>
    <row r="5824" spans="1:25" x14ac:dyDescent="0.25">
      <c r="A5824" t="str">
        <f>"08-0707"</f>
        <v>08-0707</v>
      </c>
      <c r="D5824" s="8">
        <v>39715</v>
      </c>
      <c r="F5824" s="8">
        <v>39741</v>
      </c>
      <c r="G5824" s="8">
        <v>39715</v>
      </c>
      <c r="Y5824" s="8"/>
    </row>
    <row r="5825" spans="1:25" x14ac:dyDescent="0.25">
      <c r="A5825" t="str">
        <f>"08-0708"</f>
        <v>08-0708</v>
      </c>
      <c r="D5825" s="8">
        <v>39715</v>
      </c>
      <c r="F5825" s="8">
        <v>39715</v>
      </c>
      <c r="G5825" s="8">
        <v>39717</v>
      </c>
      <c r="Y5825" s="8"/>
    </row>
    <row r="5826" spans="1:25" x14ac:dyDescent="0.25">
      <c r="A5826" t="str">
        <f>"08-0709"</f>
        <v>08-0709</v>
      </c>
      <c r="D5826" s="8">
        <v>39715</v>
      </c>
      <c r="F5826" s="8">
        <v>39723</v>
      </c>
      <c r="G5826" s="8">
        <v>39720</v>
      </c>
      <c r="Y5826" s="8"/>
    </row>
    <row r="5827" spans="1:25" x14ac:dyDescent="0.25">
      <c r="A5827" t="str">
        <f>"08-0710"</f>
        <v>08-0710</v>
      </c>
      <c r="D5827" s="8">
        <v>39715</v>
      </c>
      <c r="F5827" s="8">
        <v>39720</v>
      </c>
      <c r="G5827" s="8">
        <v>39717</v>
      </c>
      <c r="Y5827" s="8"/>
    </row>
    <row r="5828" spans="1:25" x14ac:dyDescent="0.25">
      <c r="A5828" t="str">
        <f>"08-0712"</f>
        <v>08-0712</v>
      </c>
      <c r="D5828" s="8">
        <v>39715</v>
      </c>
      <c r="F5828" s="8">
        <v>39715</v>
      </c>
      <c r="G5828" s="8">
        <v>39715</v>
      </c>
      <c r="Y5828" s="8"/>
    </row>
    <row r="5829" spans="1:25" x14ac:dyDescent="0.25">
      <c r="A5829" t="str">
        <f>"08-0713"</f>
        <v>08-0713</v>
      </c>
      <c r="D5829" s="8">
        <v>39715</v>
      </c>
      <c r="G5829" s="8">
        <v>39719</v>
      </c>
    </row>
    <row r="5830" spans="1:25" x14ac:dyDescent="0.25">
      <c r="A5830" t="str">
        <f>"08-0714"</f>
        <v>08-0714</v>
      </c>
      <c r="D5830" s="8">
        <v>39715</v>
      </c>
      <c r="F5830" s="8">
        <v>39715</v>
      </c>
      <c r="G5830" s="8">
        <v>39715</v>
      </c>
      <c r="Y5830" s="8"/>
    </row>
    <row r="5831" spans="1:25" x14ac:dyDescent="0.25">
      <c r="A5831" t="str">
        <f>"08-0626B"</f>
        <v>08-0626B</v>
      </c>
      <c r="D5831" s="8">
        <v>39714</v>
      </c>
      <c r="F5831" s="8">
        <v>39714</v>
      </c>
      <c r="G5831" s="8">
        <v>39714</v>
      </c>
      <c r="Y5831" s="8"/>
    </row>
    <row r="5832" spans="1:25" x14ac:dyDescent="0.25">
      <c r="A5832" t="str">
        <f>"08-0626C"</f>
        <v>08-0626C</v>
      </c>
      <c r="D5832" s="8">
        <v>39714</v>
      </c>
      <c r="F5832" s="8">
        <v>39714</v>
      </c>
      <c r="G5832" s="8">
        <v>39714</v>
      </c>
      <c r="Y5832" s="8"/>
    </row>
    <row r="5833" spans="1:25" x14ac:dyDescent="0.25">
      <c r="A5833" t="str">
        <f>"08-0700"</f>
        <v>08-0700</v>
      </c>
      <c r="D5833" s="8">
        <v>39714</v>
      </c>
      <c r="F5833" s="8">
        <v>39714</v>
      </c>
      <c r="G5833" s="8">
        <v>39714</v>
      </c>
      <c r="Y5833" s="8"/>
    </row>
    <row r="5834" spans="1:25" x14ac:dyDescent="0.25">
      <c r="A5834" t="str">
        <f>"08-0701"</f>
        <v>08-0701</v>
      </c>
      <c r="D5834" s="8">
        <v>39714</v>
      </c>
      <c r="F5834" s="8">
        <v>39714</v>
      </c>
      <c r="G5834" s="8">
        <v>39714</v>
      </c>
      <c r="Y5834" s="8"/>
    </row>
    <row r="5835" spans="1:25" x14ac:dyDescent="0.25">
      <c r="A5835" t="str">
        <f>"08-0702"</f>
        <v>08-0702</v>
      </c>
      <c r="D5835" s="8">
        <v>39714</v>
      </c>
      <c r="F5835" s="8">
        <v>39714</v>
      </c>
      <c r="G5835" s="8">
        <v>39714</v>
      </c>
      <c r="Y5835" s="8"/>
    </row>
    <row r="5836" spans="1:25" x14ac:dyDescent="0.25">
      <c r="A5836" t="str">
        <f>"08-0703"</f>
        <v>08-0703</v>
      </c>
      <c r="D5836" s="8">
        <v>39714</v>
      </c>
      <c r="F5836" s="8">
        <v>39714</v>
      </c>
      <c r="G5836" s="8">
        <v>39714</v>
      </c>
      <c r="Y5836" s="8"/>
    </row>
    <row r="5837" spans="1:25" x14ac:dyDescent="0.25">
      <c r="A5837" t="str">
        <f>"08-0704"</f>
        <v>08-0704</v>
      </c>
      <c r="D5837" s="8">
        <v>39714</v>
      </c>
      <c r="F5837" s="8">
        <v>39714</v>
      </c>
      <c r="G5837" s="8">
        <v>39710</v>
      </c>
      <c r="Y5837" s="8"/>
    </row>
    <row r="5838" spans="1:25" x14ac:dyDescent="0.25">
      <c r="A5838" t="str">
        <f>"08-0705"</f>
        <v>08-0705</v>
      </c>
      <c r="D5838" s="8">
        <v>39714</v>
      </c>
      <c r="F5838" s="8">
        <v>39714</v>
      </c>
      <c r="G5838" s="8">
        <v>39713</v>
      </c>
      <c r="Y5838" s="8"/>
    </row>
    <row r="5839" spans="1:25" x14ac:dyDescent="0.25">
      <c r="A5839" t="str">
        <f>"08-0706"</f>
        <v>08-0706</v>
      </c>
      <c r="D5839" s="8">
        <v>39714</v>
      </c>
      <c r="F5839" s="8">
        <v>39714</v>
      </c>
      <c r="G5839" s="8">
        <v>39716</v>
      </c>
      <c r="Y5839" s="8"/>
    </row>
    <row r="5840" spans="1:25" x14ac:dyDescent="0.25">
      <c r="A5840" t="str">
        <f>"08-0695"</f>
        <v>08-0695</v>
      </c>
      <c r="D5840" s="8">
        <v>39713</v>
      </c>
      <c r="F5840" s="8">
        <v>39722</v>
      </c>
      <c r="G5840" s="8">
        <v>39715</v>
      </c>
      <c r="Y5840" s="8"/>
    </row>
    <row r="5841" spans="1:25" x14ac:dyDescent="0.25">
      <c r="A5841" t="str">
        <f>"08-0696"</f>
        <v>08-0696</v>
      </c>
      <c r="D5841" s="8">
        <v>39713</v>
      </c>
      <c r="F5841" s="8">
        <v>39717</v>
      </c>
      <c r="G5841" s="8">
        <v>39716</v>
      </c>
      <c r="Y5841" s="8"/>
    </row>
    <row r="5842" spans="1:25" x14ac:dyDescent="0.25">
      <c r="A5842" t="str">
        <f>"08-0697"</f>
        <v>08-0697</v>
      </c>
      <c r="D5842" s="8">
        <v>39713</v>
      </c>
      <c r="F5842" s="8">
        <v>39714</v>
      </c>
      <c r="G5842" s="8">
        <v>39713</v>
      </c>
      <c r="Y5842" s="8"/>
    </row>
    <row r="5843" spans="1:25" x14ac:dyDescent="0.25">
      <c r="A5843" t="str">
        <f>"08-0698"</f>
        <v>08-0698</v>
      </c>
      <c r="D5843" s="8">
        <v>39713</v>
      </c>
      <c r="F5843" s="8">
        <v>39713</v>
      </c>
      <c r="G5843" s="8">
        <v>39713</v>
      </c>
      <c r="Y5843" s="8"/>
    </row>
    <row r="5844" spans="1:25" x14ac:dyDescent="0.25">
      <c r="A5844" t="str">
        <f>"08-0699"</f>
        <v>08-0699</v>
      </c>
      <c r="D5844" s="8">
        <v>39713</v>
      </c>
      <c r="F5844" s="8">
        <v>39713</v>
      </c>
      <c r="G5844" s="8">
        <v>39713</v>
      </c>
      <c r="Y5844" s="8"/>
    </row>
    <row r="5845" spans="1:25" x14ac:dyDescent="0.25">
      <c r="A5845" t="str">
        <f>"08-0686"</f>
        <v>08-0686</v>
      </c>
      <c r="D5845" s="8">
        <v>39710</v>
      </c>
      <c r="F5845" s="8">
        <v>39713</v>
      </c>
      <c r="G5845" s="8">
        <v>39710</v>
      </c>
      <c r="Y5845" s="8"/>
    </row>
    <row r="5846" spans="1:25" x14ac:dyDescent="0.25">
      <c r="A5846" t="str">
        <f>"08-0687"</f>
        <v>08-0687</v>
      </c>
      <c r="D5846" s="8">
        <v>39710</v>
      </c>
      <c r="F5846" s="8">
        <v>39710</v>
      </c>
      <c r="G5846" s="8">
        <v>39710</v>
      </c>
      <c r="Y5846" s="8"/>
    </row>
    <row r="5847" spans="1:25" x14ac:dyDescent="0.25">
      <c r="A5847" t="str">
        <f>"08-0688"</f>
        <v>08-0688</v>
      </c>
      <c r="D5847" s="8">
        <v>39710</v>
      </c>
      <c r="F5847" s="8">
        <v>39710</v>
      </c>
      <c r="G5847" s="8">
        <v>39710</v>
      </c>
      <c r="Y5847" s="8"/>
    </row>
    <row r="5848" spans="1:25" x14ac:dyDescent="0.25">
      <c r="A5848" t="str">
        <f>"08-0689"</f>
        <v>08-0689</v>
      </c>
      <c r="D5848" s="8">
        <v>39710</v>
      </c>
      <c r="F5848" s="8">
        <v>39710</v>
      </c>
      <c r="G5848" s="8">
        <v>39710</v>
      </c>
      <c r="Y5848" s="8"/>
    </row>
    <row r="5849" spans="1:25" x14ac:dyDescent="0.25">
      <c r="A5849" t="str">
        <f>"08-0690"</f>
        <v>08-0690</v>
      </c>
      <c r="D5849" s="8">
        <v>39710</v>
      </c>
      <c r="F5849" s="8">
        <v>39710</v>
      </c>
      <c r="G5849" s="8">
        <v>39710</v>
      </c>
      <c r="Y5849" s="8"/>
    </row>
    <row r="5850" spans="1:25" x14ac:dyDescent="0.25">
      <c r="A5850" t="str">
        <f>"08-0691"</f>
        <v>08-0691</v>
      </c>
      <c r="D5850" s="8">
        <v>39710</v>
      </c>
      <c r="F5850" s="8">
        <v>39710</v>
      </c>
      <c r="G5850" s="8">
        <v>39710</v>
      </c>
      <c r="Y5850" s="8"/>
    </row>
    <row r="5851" spans="1:25" x14ac:dyDescent="0.25">
      <c r="A5851" t="str">
        <f>"08-0692"</f>
        <v>08-0692</v>
      </c>
      <c r="D5851" s="8">
        <v>39710</v>
      </c>
      <c r="F5851" s="8">
        <v>40283</v>
      </c>
      <c r="G5851" s="8">
        <v>39710</v>
      </c>
      <c r="Y5851" s="8"/>
    </row>
    <row r="5852" spans="1:25" x14ac:dyDescent="0.25">
      <c r="A5852" t="str">
        <f>"08-0693"</f>
        <v>08-0693</v>
      </c>
      <c r="D5852" s="8">
        <v>39710</v>
      </c>
      <c r="F5852" s="8">
        <v>39710</v>
      </c>
      <c r="G5852" s="8">
        <v>39710</v>
      </c>
      <c r="Y5852" s="8"/>
    </row>
    <row r="5853" spans="1:25" x14ac:dyDescent="0.25">
      <c r="A5853" t="str">
        <f>"08-0694"</f>
        <v>08-0694</v>
      </c>
      <c r="D5853" s="8">
        <v>39710</v>
      </c>
      <c r="F5853" s="8">
        <v>39710</v>
      </c>
      <c r="G5853" s="8">
        <v>39710</v>
      </c>
      <c r="Y5853" s="8"/>
    </row>
    <row r="5854" spans="1:25" x14ac:dyDescent="0.25">
      <c r="A5854" t="str">
        <f>"08-0633B"</f>
        <v>08-0633B</v>
      </c>
      <c r="D5854" s="8">
        <v>39709</v>
      </c>
      <c r="F5854" s="8">
        <v>39709</v>
      </c>
      <c r="G5854" s="8">
        <v>39709</v>
      </c>
      <c r="Y5854" s="8"/>
    </row>
    <row r="5855" spans="1:25" x14ac:dyDescent="0.25">
      <c r="A5855" t="str">
        <f>"08-0674B"</f>
        <v>08-0674B</v>
      </c>
      <c r="D5855" s="8">
        <v>39709</v>
      </c>
      <c r="F5855" s="8">
        <v>39709</v>
      </c>
      <c r="G5855" s="8">
        <v>39709</v>
      </c>
      <c r="Y5855" s="8"/>
    </row>
    <row r="5856" spans="1:25" x14ac:dyDescent="0.25">
      <c r="A5856" t="str">
        <f>"08-0682"</f>
        <v>08-0682</v>
      </c>
      <c r="D5856" s="8">
        <v>39709</v>
      </c>
      <c r="F5856" s="8">
        <v>39709</v>
      </c>
      <c r="G5856" s="8">
        <v>39709</v>
      </c>
      <c r="Y5856" s="8"/>
    </row>
    <row r="5857" spans="1:25" x14ac:dyDescent="0.25">
      <c r="A5857" t="str">
        <f>"08-0685"</f>
        <v>08-0685</v>
      </c>
      <c r="D5857" s="8">
        <v>39709</v>
      </c>
      <c r="F5857" s="8">
        <v>39709</v>
      </c>
      <c r="G5857" s="8">
        <v>39709</v>
      </c>
      <c r="Y5857" s="8"/>
    </row>
    <row r="5858" spans="1:25" x14ac:dyDescent="0.25">
      <c r="A5858" t="str">
        <f>"08-0369C"</f>
        <v>08-0369C</v>
      </c>
      <c r="D5858" s="8">
        <v>39708</v>
      </c>
      <c r="F5858" s="8">
        <v>39708</v>
      </c>
      <c r="G5858" s="8">
        <v>39708</v>
      </c>
      <c r="Y5858" s="8"/>
    </row>
    <row r="5859" spans="1:25" x14ac:dyDescent="0.25">
      <c r="A5859" t="str">
        <f>"08-0649-1"</f>
        <v>08-0649-1</v>
      </c>
      <c r="D5859" s="8">
        <v>39708</v>
      </c>
      <c r="F5859" s="8">
        <v>39708</v>
      </c>
      <c r="G5859" s="8">
        <v>39708</v>
      </c>
      <c r="Y5859" s="8"/>
    </row>
    <row r="5860" spans="1:25" x14ac:dyDescent="0.25">
      <c r="A5860" t="str">
        <f>"08-0677B"</f>
        <v>08-0677B</v>
      </c>
      <c r="D5860" s="8">
        <v>39707</v>
      </c>
      <c r="F5860" s="8">
        <v>39707</v>
      </c>
      <c r="G5860" s="8">
        <v>39707</v>
      </c>
      <c r="Y5860" s="8"/>
    </row>
    <row r="5861" spans="1:25" x14ac:dyDescent="0.25">
      <c r="A5861" t="str">
        <f>"08-0679"</f>
        <v>08-0679</v>
      </c>
      <c r="D5861" s="8">
        <v>39707</v>
      </c>
      <c r="F5861" s="8">
        <v>39707</v>
      </c>
      <c r="G5861" s="8">
        <v>39707</v>
      </c>
      <c r="Y5861" s="8"/>
    </row>
    <row r="5862" spans="1:25" x14ac:dyDescent="0.25">
      <c r="A5862" t="str">
        <f>"08-0680"</f>
        <v>08-0680</v>
      </c>
      <c r="D5862" s="8">
        <v>39707</v>
      </c>
      <c r="F5862" s="8">
        <v>39708</v>
      </c>
      <c r="G5862" s="8">
        <v>39707</v>
      </c>
      <c r="Y5862" s="8"/>
    </row>
    <row r="5863" spans="1:25" x14ac:dyDescent="0.25">
      <c r="A5863" t="str">
        <f>"08-0681"</f>
        <v>08-0681</v>
      </c>
      <c r="D5863" s="8">
        <v>39707</v>
      </c>
      <c r="F5863" s="8">
        <v>39708</v>
      </c>
      <c r="G5863" s="8">
        <v>39711</v>
      </c>
      <c r="Y5863" s="8"/>
    </row>
    <row r="5864" spans="1:25" x14ac:dyDescent="0.25">
      <c r="A5864" t="str">
        <f>"08-0671"</f>
        <v>08-0671</v>
      </c>
      <c r="D5864" s="8">
        <v>39706</v>
      </c>
      <c r="F5864" s="8">
        <v>39707</v>
      </c>
      <c r="G5864" s="8">
        <v>39706</v>
      </c>
      <c r="Y5864" s="8"/>
    </row>
    <row r="5865" spans="1:25" x14ac:dyDescent="0.25">
      <c r="A5865" t="str">
        <f>"08-0672"</f>
        <v>08-0672</v>
      </c>
      <c r="D5865" s="8">
        <v>39706</v>
      </c>
      <c r="F5865" s="8">
        <v>39706</v>
      </c>
      <c r="G5865" s="8">
        <v>39706</v>
      </c>
      <c r="Y5865" s="8"/>
    </row>
    <row r="5866" spans="1:25" x14ac:dyDescent="0.25">
      <c r="A5866" t="str">
        <f>"08-0673"</f>
        <v>08-0673</v>
      </c>
      <c r="D5866" s="8">
        <v>39706</v>
      </c>
      <c r="F5866" s="8">
        <v>39706</v>
      </c>
      <c r="G5866" s="8">
        <v>39706</v>
      </c>
      <c r="Y5866" s="8"/>
    </row>
    <row r="5867" spans="1:25" x14ac:dyDescent="0.25">
      <c r="A5867" t="str">
        <f>"08-0674"</f>
        <v>08-0674</v>
      </c>
      <c r="D5867" s="8">
        <v>39706</v>
      </c>
      <c r="F5867" s="8">
        <v>39709</v>
      </c>
      <c r="G5867" s="8">
        <v>39711</v>
      </c>
      <c r="Y5867" s="8"/>
    </row>
    <row r="5868" spans="1:25" x14ac:dyDescent="0.25">
      <c r="A5868" t="str">
        <f>"08-0675"</f>
        <v>08-0675</v>
      </c>
      <c r="D5868" s="8">
        <v>39706</v>
      </c>
      <c r="F5868" s="8">
        <v>39706</v>
      </c>
      <c r="G5868" s="8">
        <v>39707</v>
      </c>
      <c r="Y5868" s="8"/>
    </row>
    <row r="5869" spans="1:25" x14ac:dyDescent="0.25">
      <c r="A5869" t="str">
        <f>"08-0676"</f>
        <v>08-0676</v>
      </c>
      <c r="D5869" s="8">
        <v>39706</v>
      </c>
      <c r="F5869" s="8">
        <v>39709</v>
      </c>
      <c r="G5869" s="8">
        <v>39708</v>
      </c>
      <c r="Y5869" s="8"/>
    </row>
    <row r="5870" spans="1:25" x14ac:dyDescent="0.25">
      <c r="A5870" t="str">
        <f>"08-0677"</f>
        <v>08-0677</v>
      </c>
      <c r="D5870" s="8">
        <v>39706</v>
      </c>
      <c r="F5870" s="8">
        <v>39707</v>
      </c>
      <c r="G5870" s="8">
        <v>39706</v>
      </c>
      <c r="Y5870" s="8"/>
    </row>
    <row r="5871" spans="1:25" x14ac:dyDescent="0.25">
      <c r="A5871" t="str">
        <f>"08-0678"</f>
        <v>08-0678</v>
      </c>
      <c r="D5871" s="8">
        <v>39706</v>
      </c>
      <c r="F5871" s="8">
        <v>39706</v>
      </c>
      <c r="G5871" s="8">
        <v>39703</v>
      </c>
      <c r="Y5871" s="8"/>
    </row>
    <row r="5872" spans="1:25" x14ac:dyDescent="0.25">
      <c r="A5872" t="str">
        <f>"08-0669"</f>
        <v>08-0669</v>
      </c>
      <c r="D5872" s="8">
        <v>39703</v>
      </c>
      <c r="F5872" s="8">
        <v>39703</v>
      </c>
      <c r="G5872" s="8">
        <v>39703</v>
      </c>
      <c r="Y5872" s="8"/>
    </row>
    <row r="5873" spans="1:25" x14ac:dyDescent="0.25">
      <c r="A5873" t="str">
        <f>"08-0670"</f>
        <v>08-0670</v>
      </c>
      <c r="D5873" s="8">
        <v>39703</v>
      </c>
      <c r="F5873" s="8">
        <v>39703</v>
      </c>
      <c r="G5873" s="8">
        <v>39703</v>
      </c>
      <c r="Y5873" s="8"/>
    </row>
    <row r="5874" spans="1:25" x14ac:dyDescent="0.25">
      <c r="A5874" t="str">
        <f>"08-0666"</f>
        <v>08-0666</v>
      </c>
      <c r="D5874" s="8">
        <v>39702</v>
      </c>
      <c r="F5874" s="8">
        <v>39702</v>
      </c>
      <c r="G5874" s="8">
        <v>39702</v>
      </c>
      <c r="Y5874" s="8"/>
    </row>
    <row r="5875" spans="1:25" x14ac:dyDescent="0.25">
      <c r="A5875" t="str">
        <f>"08-0667"</f>
        <v>08-0667</v>
      </c>
      <c r="D5875" s="8">
        <v>39702</v>
      </c>
      <c r="F5875" s="8">
        <v>39708</v>
      </c>
      <c r="G5875" s="8">
        <v>39710</v>
      </c>
      <c r="Y5875" s="8"/>
    </row>
    <row r="5876" spans="1:25" x14ac:dyDescent="0.25">
      <c r="A5876" t="str">
        <f>"08-0668"</f>
        <v>08-0668</v>
      </c>
      <c r="D5876" s="8">
        <v>39702</v>
      </c>
      <c r="F5876" s="8">
        <v>39702</v>
      </c>
      <c r="G5876" s="8">
        <v>39702</v>
      </c>
      <c r="Y5876" s="8"/>
    </row>
    <row r="5877" spans="1:25" x14ac:dyDescent="0.25">
      <c r="A5877" t="str">
        <f>"08-0658B"</f>
        <v>08-0658B</v>
      </c>
      <c r="D5877" s="8">
        <v>39701</v>
      </c>
      <c r="F5877" s="8">
        <v>39701</v>
      </c>
      <c r="G5877" s="8">
        <v>39701</v>
      </c>
      <c r="Y5877" s="8"/>
    </row>
    <row r="5878" spans="1:25" x14ac:dyDescent="0.25">
      <c r="A5878" t="str">
        <f>"08-0660"</f>
        <v>08-0660</v>
      </c>
      <c r="D5878" s="8">
        <v>39701</v>
      </c>
      <c r="F5878" s="8">
        <v>39701</v>
      </c>
      <c r="G5878" s="8">
        <v>39706</v>
      </c>
      <c r="Y5878" s="8"/>
    </row>
    <row r="5879" spans="1:25" x14ac:dyDescent="0.25">
      <c r="A5879" t="str">
        <f>"08-0661"</f>
        <v>08-0661</v>
      </c>
      <c r="D5879" s="8">
        <v>39701</v>
      </c>
      <c r="F5879" s="8">
        <v>39701</v>
      </c>
      <c r="G5879" s="8">
        <v>39706</v>
      </c>
      <c r="Y5879" s="8"/>
    </row>
    <row r="5880" spans="1:25" x14ac:dyDescent="0.25">
      <c r="A5880" t="str">
        <f>"08-0662"</f>
        <v>08-0662</v>
      </c>
      <c r="D5880" s="8">
        <v>39701</v>
      </c>
      <c r="F5880" s="8">
        <v>39701</v>
      </c>
      <c r="G5880" s="8">
        <v>39702</v>
      </c>
      <c r="Y5880" s="8"/>
    </row>
    <row r="5881" spans="1:25" x14ac:dyDescent="0.25">
      <c r="A5881" t="str">
        <f>"08-0663"</f>
        <v>08-0663</v>
      </c>
      <c r="D5881" s="8">
        <v>39701</v>
      </c>
      <c r="F5881" s="8">
        <v>39701</v>
      </c>
      <c r="G5881" s="8">
        <v>39707</v>
      </c>
      <c r="Y5881" s="8"/>
    </row>
    <row r="5882" spans="1:25" x14ac:dyDescent="0.25">
      <c r="A5882" t="str">
        <f>"08-0664"</f>
        <v>08-0664</v>
      </c>
      <c r="D5882" s="8">
        <v>39701</v>
      </c>
      <c r="F5882" s="8">
        <v>39701</v>
      </c>
      <c r="G5882" s="8">
        <v>39706</v>
      </c>
      <c r="Y5882" s="8"/>
    </row>
    <row r="5883" spans="1:25" x14ac:dyDescent="0.25">
      <c r="A5883" t="str">
        <f>"08-0665"</f>
        <v>08-0665</v>
      </c>
      <c r="D5883" s="8">
        <v>39701</v>
      </c>
      <c r="F5883" s="8">
        <v>39701</v>
      </c>
      <c r="G5883" s="8">
        <v>39706</v>
      </c>
      <c r="Y5883" s="8"/>
    </row>
    <row r="5884" spans="1:25" x14ac:dyDescent="0.25">
      <c r="A5884" t="str">
        <f>"08-0530B"</f>
        <v>08-0530B</v>
      </c>
      <c r="D5884" s="8">
        <v>39700</v>
      </c>
      <c r="F5884" s="8">
        <v>39700</v>
      </c>
      <c r="G5884" s="8">
        <v>39700</v>
      </c>
      <c r="Y5884" s="8"/>
    </row>
    <row r="5885" spans="1:25" x14ac:dyDescent="0.25">
      <c r="A5885" t="str">
        <f>"08-0624B"</f>
        <v>08-0624B</v>
      </c>
      <c r="D5885" s="8">
        <v>39700</v>
      </c>
      <c r="F5885" s="8">
        <v>39708</v>
      </c>
      <c r="G5885" s="8">
        <v>39700</v>
      </c>
      <c r="Y5885" s="8"/>
    </row>
    <row r="5886" spans="1:25" x14ac:dyDescent="0.25">
      <c r="A5886" t="str">
        <f>"08-0658"</f>
        <v>08-0658</v>
      </c>
      <c r="D5886" s="8">
        <v>39700</v>
      </c>
      <c r="F5886" s="8">
        <v>39700</v>
      </c>
      <c r="G5886" s="8">
        <v>39700</v>
      </c>
      <c r="Y5886" s="8"/>
    </row>
    <row r="5887" spans="1:25" x14ac:dyDescent="0.25">
      <c r="A5887" t="str">
        <f>"08-0659"</f>
        <v>08-0659</v>
      </c>
      <c r="D5887" s="8">
        <v>39700</v>
      </c>
      <c r="F5887" s="8">
        <v>39700</v>
      </c>
      <c r="G5887" s="8">
        <v>39700</v>
      </c>
      <c r="Y5887" s="8"/>
    </row>
    <row r="5888" spans="1:25" x14ac:dyDescent="0.25">
      <c r="A5888" t="str">
        <f>"08-0654"</f>
        <v>08-0654</v>
      </c>
      <c r="D5888" s="8">
        <v>39699</v>
      </c>
      <c r="F5888" s="8">
        <v>39773</v>
      </c>
      <c r="G5888" s="8">
        <v>39706</v>
      </c>
      <c r="Y5888" s="8"/>
    </row>
    <row r="5889" spans="1:25" x14ac:dyDescent="0.25">
      <c r="A5889" t="str">
        <f>"08-0655"</f>
        <v>08-0655</v>
      </c>
      <c r="D5889" s="8">
        <v>39699</v>
      </c>
      <c r="F5889" s="8">
        <v>39699</v>
      </c>
      <c r="G5889" s="8">
        <v>39699</v>
      </c>
      <c r="Y5889" s="8"/>
    </row>
    <row r="5890" spans="1:25" x14ac:dyDescent="0.25">
      <c r="A5890" t="str">
        <f>"08-0656"</f>
        <v>08-0656</v>
      </c>
      <c r="D5890" s="8">
        <v>39699</v>
      </c>
      <c r="F5890" s="8">
        <v>39723</v>
      </c>
      <c r="G5890" s="8">
        <v>39699</v>
      </c>
      <c r="Y5890" s="8"/>
    </row>
    <row r="5891" spans="1:25" x14ac:dyDescent="0.25">
      <c r="A5891" t="str">
        <f>"08-0657"</f>
        <v>08-0657</v>
      </c>
      <c r="D5891" s="8">
        <v>39699</v>
      </c>
      <c r="F5891" s="8">
        <v>39699</v>
      </c>
      <c r="G5891" s="8">
        <v>39699</v>
      </c>
      <c r="Y5891" s="8"/>
    </row>
    <row r="5892" spans="1:25" x14ac:dyDescent="0.25">
      <c r="A5892" t="str">
        <f>"08-0648"</f>
        <v>08-0648</v>
      </c>
      <c r="D5892" s="8">
        <v>39696</v>
      </c>
      <c r="F5892" s="8">
        <v>39696</v>
      </c>
      <c r="G5892" s="8">
        <v>39696</v>
      </c>
      <c r="Y5892" s="8"/>
    </row>
    <row r="5893" spans="1:25" x14ac:dyDescent="0.25">
      <c r="A5893" t="str">
        <f>"08-0649"</f>
        <v>08-0649</v>
      </c>
      <c r="D5893" s="8">
        <v>39696</v>
      </c>
      <c r="F5893" s="8">
        <v>39731</v>
      </c>
      <c r="G5893" s="8">
        <v>39696</v>
      </c>
      <c r="Y5893" s="8"/>
    </row>
    <row r="5894" spans="1:25" x14ac:dyDescent="0.25">
      <c r="A5894" t="str">
        <f>"08-0650"</f>
        <v>08-0650</v>
      </c>
      <c r="D5894" s="8">
        <v>39696</v>
      </c>
      <c r="F5894" s="8">
        <v>39699</v>
      </c>
      <c r="G5894" s="8">
        <v>39696</v>
      </c>
      <c r="Y5894" s="8"/>
    </row>
    <row r="5895" spans="1:25" x14ac:dyDescent="0.25">
      <c r="A5895" t="str">
        <f>"08-0651"</f>
        <v>08-0651</v>
      </c>
      <c r="D5895" s="8">
        <v>39696</v>
      </c>
      <c r="F5895" s="8">
        <v>39696</v>
      </c>
      <c r="G5895" s="8">
        <v>39696</v>
      </c>
      <c r="Y5895" s="8"/>
    </row>
    <row r="5896" spans="1:25" x14ac:dyDescent="0.25">
      <c r="A5896" t="str">
        <f>"08-0652"</f>
        <v>08-0652</v>
      </c>
      <c r="D5896" s="8">
        <v>39696</v>
      </c>
      <c r="F5896" s="8">
        <v>39696</v>
      </c>
      <c r="G5896" s="8">
        <v>39696</v>
      </c>
      <c r="Y5896" s="8"/>
    </row>
    <row r="5897" spans="1:25" x14ac:dyDescent="0.25">
      <c r="A5897" t="str">
        <f>"08-0653"</f>
        <v>08-0653</v>
      </c>
      <c r="D5897" s="8">
        <v>39696</v>
      </c>
      <c r="F5897" s="8">
        <v>39696</v>
      </c>
      <c r="G5897" s="8">
        <v>39696</v>
      </c>
      <c r="Y5897" s="8"/>
    </row>
    <row r="5898" spans="1:25" x14ac:dyDescent="0.25">
      <c r="A5898" t="str">
        <f>"08-0642"</f>
        <v>08-0642</v>
      </c>
      <c r="D5898" s="8">
        <v>39695</v>
      </c>
      <c r="F5898" s="8">
        <v>39695</v>
      </c>
      <c r="G5898" s="8">
        <v>39695</v>
      </c>
      <c r="Y5898" s="8"/>
    </row>
    <row r="5899" spans="1:25" x14ac:dyDescent="0.25">
      <c r="A5899" t="str">
        <f>"08-0643"</f>
        <v>08-0643</v>
      </c>
      <c r="D5899" s="8">
        <v>39695</v>
      </c>
      <c r="F5899" s="8">
        <v>39696</v>
      </c>
      <c r="G5899" s="8">
        <v>39700</v>
      </c>
      <c r="Y5899" s="8"/>
    </row>
    <row r="5900" spans="1:25" x14ac:dyDescent="0.25">
      <c r="A5900" t="str">
        <f>"08-0644"</f>
        <v>08-0644</v>
      </c>
      <c r="D5900" s="8">
        <v>39695</v>
      </c>
      <c r="F5900" s="8">
        <v>39695</v>
      </c>
      <c r="G5900" s="8">
        <v>39695</v>
      </c>
      <c r="Y5900" s="8"/>
    </row>
    <row r="5901" spans="1:25" x14ac:dyDescent="0.25">
      <c r="A5901" t="str">
        <f>"08-0645"</f>
        <v>08-0645</v>
      </c>
      <c r="D5901" s="8">
        <v>39695</v>
      </c>
      <c r="F5901" s="8">
        <v>39695</v>
      </c>
      <c r="G5901" s="8">
        <v>39696</v>
      </c>
      <c r="Y5901" s="8"/>
    </row>
    <row r="5902" spans="1:25" x14ac:dyDescent="0.25">
      <c r="A5902" t="str">
        <f>"08-0646"</f>
        <v>08-0646</v>
      </c>
      <c r="D5902" s="8">
        <v>39695</v>
      </c>
      <c r="F5902" s="8">
        <v>39695</v>
      </c>
      <c r="G5902" s="8">
        <v>39696</v>
      </c>
      <c r="Y5902" s="8"/>
    </row>
    <row r="5903" spans="1:25" x14ac:dyDescent="0.25">
      <c r="A5903" t="str">
        <f>"08-0647"</f>
        <v>08-0647</v>
      </c>
      <c r="D5903" s="8">
        <v>39695</v>
      </c>
      <c r="F5903" s="8">
        <v>39695</v>
      </c>
      <c r="G5903" s="8">
        <v>39671</v>
      </c>
      <c r="Y5903" s="8"/>
    </row>
    <row r="5904" spans="1:25" x14ac:dyDescent="0.25">
      <c r="A5904" t="str">
        <f>"08-0637"</f>
        <v>08-0637</v>
      </c>
      <c r="D5904" s="8">
        <v>39694</v>
      </c>
      <c r="F5904" s="8">
        <v>39694</v>
      </c>
      <c r="G5904" s="8">
        <v>39695</v>
      </c>
      <c r="Y5904" s="8"/>
    </row>
    <row r="5905" spans="1:25" x14ac:dyDescent="0.25">
      <c r="A5905" t="str">
        <f>"08-0638"</f>
        <v>08-0638</v>
      </c>
      <c r="D5905" s="8">
        <v>39694</v>
      </c>
      <c r="F5905" s="8">
        <v>39694</v>
      </c>
      <c r="G5905" s="8">
        <v>39696</v>
      </c>
      <c r="Y5905" s="8"/>
    </row>
    <row r="5906" spans="1:25" x14ac:dyDescent="0.25">
      <c r="A5906" t="str">
        <f>"08-0639"</f>
        <v>08-0639</v>
      </c>
      <c r="D5906" s="8">
        <v>39694</v>
      </c>
      <c r="F5906" s="8">
        <v>39694</v>
      </c>
      <c r="G5906" s="8">
        <v>39696</v>
      </c>
      <c r="Y5906" s="8"/>
    </row>
    <row r="5907" spans="1:25" x14ac:dyDescent="0.25">
      <c r="A5907" t="str">
        <f>"08-0640"</f>
        <v>08-0640</v>
      </c>
      <c r="D5907" s="8">
        <v>39694</v>
      </c>
      <c r="F5907" s="8">
        <v>39694</v>
      </c>
      <c r="G5907" s="8">
        <v>39696</v>
      </c>
      <c r="Y5907" s="8"/>
    </row>
    <row r="5908" spans="1:25" x14ac:dyDescent="0.25">
      <c r="A5908" t="str">
        <f>"08-0641"</f>
        <v>08-0641</v>
      </c>
      <c r="D5908" s="8">
        <v>39694</v>
      </c>
      <c r="F5908" s="8">
        <v>39694</v>
      </c>
      <c r="G5908" s="8">
        <v>39694</v>
      </c>
      <c r="Y5908" s="8"/>
    </row>
    <row r="5909" spans="1:25" x14ac:dyDescent="0.25">
      <c r="A5909" t="str">
        <f>"08-0634"</f>
        <v>08-0634</v>
      </c>
      <c r="D5909" s="8">
        <v>39693</v>
      </c>
      <c r="F5909" s="8">
        <v>39693</v>
      </c>
      <c r="G5909" s="8">
        <v>39693</v>
      </c>
      <c r="Y5909" s="8"/>
    </row>
    <row r="5910" spans="1:25" x14ac:dyDescent="0.25">
      <c r="A5910" t="str">
        <f>"08-0635"</f>
        <v>08-0635</v>
      </c>
      <c r="D5910" s="8">
        <v>39693</v>
      </c>
      <c r="F5910" s="8">
        <v>39693</v>
      </c>
      <c r="G5910" s="8">
        <v>39693</v>
      </c>
      <c r="Y5910" s="8"/>
    </row>
    <row r="5911" spans="1:25" x14ac:dyDescent="0.25">
      <c r="A5911" t="str">
        <f>"08-0636"</f>
        <v>08-0636</v>
      </c>
      <c r="D5911" s="8">
        <v>39693</v>
      </c>
      <c r="F5911" s="8">
        <v>39696</v>
      </c>
      <c r="G5911" s="8">
        <v>39695</v>
      </c>
      <c r="Y5911" s="8"/>
    </row>
    <row r="5912" spans="1:25" x14ac:dyDescent="0.25">
      <c r="A5912" t="str">
        <f>"08-0632"</f>
        <v>08-0632</v>
      </c>
      <c r="D5912" s="8">
        <v>39692</v>
      </c>
      <c r="F5912" s="8">
        <v>39735</v>
      </c>
      <c r="G5912" s="8">
        <v>39696</v>
      </c>
      <c r="Y5912" s="8"/>
    </row>
    <row r="5913" spans="1:25" x14ac:dyDescent="0.25">
      <c r="A5913" t="str">
        <f>"08-0633"</f>
        <v>08-0633</v>
      </c>
      <c r="D5913" s="8">
        <v>39692</v>
      </c>
      <c r="F5913" s="8">
        <v>39692</v>
      </c>
      <c r="G5913" s="8">
        <v>39692</v>
      </c>
      <c r="Y5913" s="8"/>
    </row>
    <row r="5914" spans="1:25" x14ac:dyDescent="0.25">
      <c r="A5914" t="str">
        <f>"08-0630"</f>
        <v>08-0630</v>
      </c>
      <c r="D5914" s="8">
        <v>39689</v>
      </c>
      <c r="F5914" s="8">
        <v>39689</v>
      </c>
      <c r="G5914" s="8">
        <v>39689</v>
      </c>
      <c r="Y5914" s="8"/>
    </row>
    <row r="5915" spans="1:25" x14ac:dyDescent="0.25">
      <c r="A5915" t="str">
        <f>"08-0631"</f>
        <v>08-0631</v>
      </c>
      <c r="D5915" s="8">
        <v>39689</v>
      </c>
      <c r="F5915" s="8">
        <v>39689</v>
      </c>
      <c r="G5915" s="8">
        <v>39689</v>
      </c>
      <c r="Y5915" s="8"/>
    </row>
    <row r="5916" spans="1:25" x14ac:dyDescent="0.25">
      <c r="A5916" t="str">
        <f>"08-0627"</f>
        <v>08-0627</v>
      </c>
      <c r="D5916" s="8">
        <v>39688</v>
      </c>
      <c r="F5916" s="8">
        <v>39688</v>
      </c>
      <c r="G5916" s="8">
        <v>39688</v>
      </c>
      <c r="Y5916" s="8"/>
    </row>
    <row r="5917" spans="1:25" x14ac:dyDescent="0.25">
      <c r="A5917" t="str">
        <f>"08-0628"</f>
        <v>08-0628</v>
      </c>
      <c r="D5917" s="8">
        <v>39688</v>
      </c>
      <c r="F5917" s="8">
        <v>39688</v>
      </c>
      <c r="G5917" s="8">
        <v>39688</v>
      </c>
      <c r="Y5917" s="8"/>
    </row>
    <row r="5918" spans="1:25" x14ac:dyDescent="0.25">
      <c r="A5918" t="str">
        <f>"08-0629"</f>
        <v>08-0629</v>
      </c>
      <c r="D5918" s="8">
        <v>39688</v>
      </c>
      <c r="F5918" s="8">
        <v>39688</v>
      </c>
      <c r="G5918" s="8">
        <v>39688</v>
      </c>
      <c r="Y5918" s="8"/>
    </row>
    <row r="5919" spans="1:25" x14ac:dyDescent="0.25">
      <c r="A5919" t="str">
        <f>"08-0622"</f>
        <v>08-0622</v>
      </c>
      <c r="D5919" s="8">
        <v>39687</v>
      </c>
      <c r="F5919" s="8">
        <v>39687</v>
      </c>
      <c r="G5919" s="8">
        <v>39687</v>
      </c>
      <c r="Y5919" s="8"/>
    </row>
    <row r="5920" spans="1:25" x14ac:dyDescent="0.25">
      <c r="A5920" t="str">
        <f>"08-0623"</f>
        <v>08-0623</v>
      </c>
      <c r="D5920" s="8">
        <v>39687</v>
      </c>
      <c r="F5920" s="8">
        <v>39687</v>
      </c>
      <c r="G5920" s="8">
        <v>39687</v>
      </c>
      <c r="Y5920" s="8"/>
    </row>
    <row r="5921" spans="1:25" x14ac:dyDescent="0.25">
      <c r="A5921" t="str">
        <f>"08-0624"</f>
        <v>08-0624</v>
      </c>
      <c r="D5921" s="8">
        <v>39687</v>
      </c>
      <c r="F5921" s="8">
        <v>39687</v>
      </c>
      <c r="G5921" s="8">
        <v>39687</v>
      </c>
      <c r="Y5921" s="8"/>
    </row>
    <row r="5922" spans="1:25" x14ac:dyDescent="0.25">
      <c r="A5922" t="str">
        <f>"08-0625"</f>
        <v>08-0625</v>
      </c>
      <c r="D5922" s="8">
        <v>39687</v>
      </c>
      <c r="F5922" s="8">
        <v>39709</v>
      </c>
      <c r="G5922" s="8">
        <v>39687</v>
      </c>
      <c r="Y5922" s="8"/>
    </row>
    <row r="5923" spans="1:25" x14ac:dyDescent="0.25">
      <c r="A5923" t="str">
        <f>"08-0626"</f>
        <v>08-0626</v>
      </c>
      <c r="D5923" s="8">
        <v>39687</v>
      </c>
      <c r="F5923" s="8">
        <v>39687</v>
      </c>
      <c r="G5923" s="8">
        <v>39687</v>
      </c>
      <c r="Y5923" s="8"/>
    </row>
    <row r="5924" spans="1:25" x14ac:dyDescent="0.25">
      <c r="A5924" t="str">
        <f>"08-0428B"</f>
        <v>08-0428B</v>
      </c>
      <c r="D5924" s="8">
        <v>39686</v>
      </c>
      <c r="F5924" s="8">
        <v>39990</v>
      </c>
      <c r="G5924" s="8">
        <v>39686</v>
      </c>
      <c r="Y5924" s="8"/>
    </row>
    <row r="5925" spans="1:25" x14ac:dyDescent="0.25">
      <c r="A5925" t="str">
        <f>"08-0616B"</f>
        <v>08-0616B</v>
      </c>
      <c r="D5925" s="8">
        <v>39686</v>
      </c>
      <c r="F5925" s="8">
        <v>39686</v>
      </c>
      <c r="G5925" s="8">
        <v>39686</v>
      </c>
      <c r="Y5925" s="8"/>
    </row>
    <row r="5926" spans="1:25" x14ac:dyDescent="0.25">
      <c r="A5926" t="str">
        <f>"08-0619"</f>
        <v>08-0619</v>
      </c>
      <c r="D5926" s="8">
        <v>39686</v>
      </c>
      <c r="F5926" s="8">
        <v>39687</v>
      </c>
      <c r="G5926" s="8">
        <v>39689</v>
      </c>
      <c r="Y5926" s="8"/>
    </row>
    <row r="5927" spans="1:25" x14ac:dyDescent="0.25">
      <c r="A5927" t="str">
        <f>"08-0620"</f>
        <v>08-0620</v>
      </c>
      <c r="D5927" s="8">
        <v>39686</v>
      </c>
      <c r="F5927" s="8">
        <v>39686</v>
      </c>
      <c r="G5927" s="8">
        <v>39686</v>
      </c>
      <c r="Y5927" s="8"/>
    </row>
    <row r="5928" spans="1:25" x14ac:dyDescent="0.25">
      <c r="A5928" t="str">
        <f>"08-0621"</f>
        <v>08-0621</v>
      </c>
      <c r="D5928" s="8">
        <v>39686</v>
      </c>
      <c r="F5928" s="8">
        <v>39686</v>
      </c>
      <c r="G5928" s="8">
        <v>39688</v>
      </c>
      <c r="Y5928" s="8"/>
    </row>
    <row r="5929" spans="1:25" x14ac:dyDescent="0.25">
      <c r="A5929" t="str">
        <f>"08-0615"</f>
        <v>08-0615</v>
      </c>
      <c r="D5929" s="8">
        <v>39685</v>
      </c>
      <c r="F5929" s="8">
        <v>39685</v>
      </c>
      <c r="G5929" s="8">
        <v>39685</v>
      </c>
      <c r="Y5929" s="8"/>
    </row>
    <row r="5930" spans="1:25" x14ac:dyDescent="0.25">
      <c r="A5930" t="str">
        <f>"08-0616"</f>
        <v>08-0616</v>
      </c>
      <c r="D5930" s="8">
        <v>39685</v>
      </c>
      <c r="F5930" s="8">
        <v>39685</v>
      </c>
      <c r="G5930" s="8">
        <v>39685</v>
      </c>
      <c r="Y5930" s="8"/>
    </row>
    <row r="5931" spans="1:25" x14ac:dyDescent="0.25">
      <c r="A5931" t="str">
        <f>"08-0617"</f>
        <v>08-0617</v>
      </c>
      <c r="D5931" s="8">
        <v>39685</v>
      </c>
      <c r="F5931" s="8">
        <v>39685</v>
      </c>
      <c r="G5931" s="8">
        <v>39685</v>
      </c>
      <c r="Y5931" s="8"/>
    </row>
    <row r="5932" spans="1:25" x14ac:dyDescent="0.25">
      <c r="A5932" t="str">
        <f>"08-0618"</f>
        <v>08-0618</v>
      </c>
      <c r="D5932" s="8">
        <v>39685</v>
      </c>
      <c r="F5932" s="8">
        <v>39685</v>
      </c>
      <c r="G5932" s="8">
        <v>39686</v>
      </c>
      <c r="Y5932" s="8"/>
    </row>
    <row r="5933" spans="1:25" x14ac:dyDescent="0.25">
      <c r="A5933" t="str">
        <f>"08-0613"</f>
        <v>08-0613</v>
      </c>
      <c r="D5933" s="8">
        <v>39682</v>
      </c>
      <c r="F5933" s="8">
        <v>39682</v>
      </c>
      <c r="G5933" s="8">
        <v>39682</v>
      </c>
      <c r="Y5933" s="8"/>
    </row>
    <row r="5934" spans="1:25" x14ac:dyDescent="0.25">
      <c r="A5934" t="str">
        <f>"08-0614"</f>
        <v>08-0614</v>
      </c>
      <c r="D5934" s="8">
        <v>39682</v>
      </c>
      <c r="F5934" s="8">
        <v>39682</v>
      </c>
      <c r="G5934" s="8">
        <v>39682</v>
      </c>
      <c r="Y5934" s="8"/>
    </row>
    <row r="5935" spans="1:25" x14ac:dyDescent="0.25">
      <c r="A5935" t="str">
        <f>"08-0611"</f>
        <v>08-0611</v>
      </c>
      <c r="D5935" s="8">
        <v>39681</v>
      </c>
      <c r="F5935" s="8">
        <v>39681</v>
      </c>
      <c r="G5935" s="8">
        <v>39681</v>
      </c>
      <c r="Y5935" s="8"/>
    </row>
    <row r="5936" spans="1:25" x14ac:dyDescent="0.25">
      <c r="A5936" t="str">
        <f>"08-0612"</f>
        <v>08-0612</v>
      </c>
      <c r="D5936" s="8">
        <v>39681</v>
      </c>
      <c r="F5936" s="8">
        <v>39682</v>
      </c>
      <c r="G5936" s="8">
        <v>39681</v>
      </c>
      <c r="Y5936" s="8"/>
    </row>
    <row r="5937" spans="1:25" x14ac:dyDescent="0.25">
      <c r="A5937" t="str">
        <f>"08-0595B"</f>
        <v>08-0595B</v>
      </c>
      <c r="D5937" s="8">
        <v>39680</v>
      </c>
      <c r="F5937" s="8">
        <v>39680</v>
      </c>
      <c r="G5937" s="8">
        <v>39684</v>
      </c>
      <c r="Y5937" s="8"/>
    </row>
    <row r="5938" spans="1:25" x14ac:dyDescent="0.25">
      <c r="A5938" t="str">
        <f>"08-0606"</f>
        <v>08-0606</v>
      </c>
      <c r="D5938" s="8">
        <v>39680</v>
      </c>
      <c r="F5938" s="8">
        <v>39687</v>
      </c>
      <c r="G5938" s="8">
        <v>39684</v>
      </c>
      <c r="Y5938" s="8"/>
    </row>
    <row r="5939" spans="1:25" x14ac:dyDescent="0.25">
      <c r="A5939" t="str">
        <f>"08-0607"</f>
        <v>08-0607</v>
      </c>
      <c r="D5939" s="8">
        <v>39680</v>
      </c>
      <c r="F5939" s="8">
        <v>39681</v>
      </c>
      <c r="G5939" s="8">
        <v>39680</v>
      </c>
      <c r="Y5939" s="8"/>
    </row>
    <row r="5940" spans="1:25" x14ac:dyDescent="0.25">
      <c r="A5940" t="str">
        <f>"08-0608"</f>
        <v>08-0608</v>
      </c>
      <c r="D5940" s="8">
        <v>39680</v>
      </c>
      <c r="F5940" s="8">
        <v>39680</v>
      </c>
      <c r="G5940" s="8">
        <v>39686</v>
      </c>
      <c r="Y5940" s="8"/>
    </row>
    <row r="5941" spans="1:25" x14ac:dyDescent="0.25">
      <c r="A5941" t="str">
        <f>"08-0609"</f>
        <v>08-0609</v>
      </c>
      <c r="D5941" s="8">
        <v>39680</v>
      </c>
      <c r="F5941" s="8">
        <v>39680</v>
      </c>
      <c r="G5941" s="8">
        <v>39680</v>
      </c>
      <c r="Y5941" s="8"/>
    </row>
    <row r="5942" spans="1:25" x14ac:dyDescent="0.25">
      <c r="A5942" t="str">
        <f>"08-0610"</f>
        <v>08-0610</v>
      </c>
      <c r="D5942" s="8">
        <v>39680</v>
      </c>
      <c r="F5942" s="8">
        <v>39682</v>
      </c>
      <c r="G5942" s="8">
        <v>39680</v>
      </c>
      <c r="Y5942" s="8"/>
    </row>
    <row r="5943" spans="1:25" x14ac:dyDescent="0.25">
      <c r="A5943" t="str">
        <f>"08-0605"</f>
        <v>08-0605</v>
      </c>
      <c r="D5943" s="8">
        <v>39679</v>
      </c>
      <c r="F5943" s="8">
        <v>39679</v>
      </c>
      <c r="G5943" s="8">
        <v>39679</v>
      </c>
      <c r="Y5943" s="8"/>
    </row>
    <row r="5944" spans="1:25" x14ac:dyDescent="0.25">
      <c r="A5944" t="str">
        <f>"08-0600"</f>
        <v>08-0600</v>
      </c>
      <c r="D5944" s="8">
        <v>39678</v>
      </c>
      <c r="F5944" s="8">
        <v>39678</v>
      </c>
      <c r="G5944" s="8">
        <v>39678</v>
      </c>
      <c r="Y5944" s="8"/>
    </row>
    <row r="5945" spans="1:25" x14ac:dyDescent="0.25">
      <c r="A5945" t="str">
        <f>"08-0601"</f>
        <v>08-0601</v>
      </c>
      <c r="D5945" s="8">
        <v>39678</v>
      </c>
      <c r="F5945" s="8">
        <v>39678</v>
      </c>
      <c r="G5945" s="8">
        <v>39685</v>
      </c>
      <c r="Y5945" s="8"/>
    </row>
    <row r="5946" spans="1:25" x14ac:dyDescent="0.25">
      <c r="A5946" t="str">
        <f>"08-0602"</f>
        <v>08-0602</v>
      </c>
      <c r="D5946" s="8">
        <v>39678</v>
      </c>
      <c r="F5946" s="8">
        <v>39689</v>
      </c>
      <c r="G5946" s="8">
        <v>39684</v>
      </c>
      <c r="Y5946" s="8"/>
    </row>
    <row r="5947" spans="1:25" x14ac:dyDescent="0.25">
      <c r="A5947" t="str">
        <f>"08-0603"</f>
        <v>08-0603</v>
      </c>
      <c r="D5947" s="8">
        <v>39678</v>
      </c>
      <c r="F5947" s="8">
        <v>39678</v>
      </c>
      <c r="G5947" s="8">
        <v>39678</v>
      </c>
      <c r="Y5947" s="8"/>
    </row>
    <row r="5948" spans="1:25" x14ac:dyDescent="0.25">
      <c r="A5948" t="str">
        <f>"08-0604"</f>
        <v>08-0604</v>
      </c>
      <c r="D5948" s="8">
        <v>39678</v>
      </c>
      <c r="F5948" s="8">
        <v>39678</v>
      </c>
      <c r="G5948" s="8">
        <v>39678</v>
      </c>
      <c r="Y5948" s="8"/>
    </row>
    <row r="5949" spans="1:25" x14ac:dyDescent="0.25">
      <c r="A5949" t="str">
        <f>"08-0597"</f>
        <v>08-0597</v>
      </c>
      <c r="D5949" s="8">
        <v>39673</v>
      </c>
      <c r="F5949" s="8">
        <v>41187</v>
      </c>
      <c r="G5949" s="8">
        <v>39673</v>
      </c>
      <c r="Y5949" s="8"/>
    </row>
    <row r="5950" spans="1:25" x14ac:dyDescent="0.25">
      <c r="A5950" t="str">
        <f>"08-0598"</f>
        <v>08-0598</v>
      </c>
      <c r="D5950" s="8">
        <v>39673</v>
      </c>
      <c r="F5950" s="8">
        <v>39674</v>
      </c>
      <c r="G5950" s="8">
        <v>39673</v>
      </c>
      <c r="Y5950" s="8"/>
    </row>
    <row r="5951" spans="1:25" x14ac:dyDescent="0.25">
      <c r="A5951" t="str">
        <f>"08-0599"</f>
        <v>08-0599</v>
      </c>
      <c r="D5951" s="8">
        <v>39673</v>
      </c>
      <c r="F5951" s="8">
        <v>39673</v>
      </c>
      <c r="G5951" s="8">
        <v>39673</v>
      </c>
      <c r="Y5951" s="8"/>
    </row>
    <row r="5952" spans="1:25" x14ac:dyDescent="0.25">
      <c r="A5952" t="str">
        <f>"08-0595"</f>
        <v>08-0595</v>
      </c>
      <c r="D5952" s="8">
        <v>39672</v>
      </c>
      <c r="F5952" s="8">
        <v>39672</v>
      </c>
      <c r="G5952" s="8">
        <v>39674</v>
      </c>
      <c r="Y5952" s="8"/>
    </row>
    <row r="5953" spans="1:25" x14ac:dyDescent="0.25">
      <c r="A5953" t="str">
        <f>"08-0596"</f>
        <v>08-0596</v>
      </c>
      <c r="D5953" s="8">
        <v>39672</v>
      </c>
      <c r="F5953" s="8">
        <v>39672</v>
      </c>
      <c r="G5953" s="8">
        <v>39675</v>
      </c>
      <c r="Y5953" s="8"/>
    </row>
    <row r="5954" spans="1:25" x14ac:dyDescent="0.25">
      <c r="A5954" t="str">
        <f>"08-0594"</f>
        <v>08-0594</v>
      </c>
      <c r="D5954" s="8">
        <v>39671</v>
      </c>
      <c r="F5954" s="8">
        <v>39671</v>
      </c>
      <c r="G5954" s="8">
        <v>39671</v>
      </c>
      <c r="Y5954" s="8"/>
    </row>
    <row r="5955" spans="1:25" x14ac:dyDescent="0.25">
      <c r="A5955" t="str">
        <f>"08-0593"</f>
        <v>08-0593</v>
      </c>
      <c r="D5955" s="8">
        <v>39668</v>
      </c>
      <c r="F5955" s="8">
        <v>39668</v>
      </c>
      <c r="G5955" s="8">
        <v>39668</v>
      </c>
      <c r="Y5955" s="8"/>
    </row>
    <row r="5956" spans="1:25" x14ac:dyDescent="0.25">
      <c r="A5956" t="str">
        <f>"08-0527B"</f>
        <v>08-0527B</v>
      </c>
      <c r="D5956" s="8">
        <v>39667</v>
      </c>
      <c r="F5956" s="8">
        <v>39667</v>
      </c>
      <c r="G5956" s="8">
        <v>39667</v>
      </c>
      <c r="Y5956" s="8"/>
    </row>
    <row r="5957" spans="1:25" x14ac:dyDescent="0.25">
      <c r="A5957" t="str">
        <f>"08-0589"</f>
        <v>08-0589</v>
      </c>
      <c r="D5957" s="8">
        <v>39667</v>
      </c>
      <c r="F5957" s="8">
        <v>39667</v>
      </c>
      <c r="G5957" s="8">
        <v>39667</v>
      </c>
      <c r="Y5957" s="8"/>
    </row>
    <row r="5958" spans="1:25" x14ac:dyDescent="0.25">
      <c r="A5958" t="str">
        <f>"08-0590"</f>
        <v>08-0590</v>
      </c>
      <c r="D5958" s="8">
        <v>39667</v>
      </c>
      <c r="F5958" s="8">
        <v>39667</v>
      </c>
      <c r="G5958" s="8">
        <v>39667</v>
      </c>
      <c r="Y5958" s="8"/>
    </row>
    <row r="5959" spans="1:25" x14ac:dyDescent="0.25">
      <c r="A5959" t="str">
        <f>"08-0591"</f>
        <v>08-0591</v>
      </c>
      <c r="D5959" s="8">
        <v>39667</v>
      </c>
      <c r="F5959" s="8">
        <v>39667</v>
      </c>
      <c r="G5959" s="8">
        <v>39669</v>
      </c>
      <c r="Y5959" s="8"/>
    </row>
    <row r="5960" spans="1:25" x14ac:dyDescent="0.25">
      <c r="A5960" t="str">
        <f>"08-0592"</f>
        <v>08-0592</v>
      </c>
      <c r="D5960" s="8">
        <v>39667</v>
      </c>
      <c r="F5960" s="8">
        <v>39671</v>
      </c>
      <c r="G5960" s="8">
        <v>39669</v>
      </c>
      <c r="Y5960" s="8"/>
    </row>
    <row r="5961" spans="1:25" x14ac:dyDescent="0.25">
      <c r="A5961" t="str">
        <f>"08-0584"</f>
        <v>08-0584</v>
      </c>
      <c r="D5961" s="8">
        <v>39665</v>
      </c>
      <c r="F5961" s="8">
        <v>39687</v>
      </c>
      <c r="G5961" s="8">
        <v>39668</v>
      </c>
      <c r="Y5961" s="8"/>
    </row>
    <row r="5962" spans="1:25" x14ac:dyDescent="0.25">
      <c r="A5962" t="str">
        <f>"08-0585"</f>
        <v>08-0585</v>
      </c>
      <c r="D5962" s="8">
        <v>39665</v>
      </c>
      <c r="F5962" s="8">
        <v>39665</v>
      </c>
      <c r="G5962" s="8">
        <v>39667</v>
      </c>
      <c r="Y5962" s="8"/>
    </row>
    <row r="5963" spans="1:25" x14ac:dyDescent="0.25">
      <c r="A5963" t="str">
        <f>"08-0586"</f>
        <v>08-0586</v>
      </c>
      <c r="D5963" s="8">
        <v>39665</v>
      </c>
      <c r="F5963" s="8">
        <v>39665</v>
      </c>
      <c r="G5963" s="8">
        <v>39664</v>
      </c>
      <c r="Y5963" s="8"/>
    </row>
    <row r="5964" spans="1:25" x14ac:dyDescent="0.25">
      <c r="A5964" t="str">
        <f>"08-0587"</f>
        <v>08-0587</v>
      </c>
      <c r="D5964" s="8">
        <v>39665</v>
      </c>
      <c r="F5964" s="8">
        <v>39665</v>
      </c>
      <c r="G5964" s="8">
        <v>39667</v>
      </c>
      <c r="Y5964" s="8"/>
    </row>
    <row r="5965" spans="1:25" x14ac:dyDescent="0.25">
      <c r="A5965" t="str">
        <f>"08-0588"</f>
        <v>08-0588</v>
      </c>
      <c r="D5965" s="8">
        <v>39665</v>
      </c>
      <c r="F5965" s="8">
        <v>39668</v>
      </c>
      <c r="G5965" s="8">
        <v>39668</v>
      </c>
      <c r="Y5965" s="8"/>
    </row>
    <row r="5966" spans="1:25" x14ac:dyDescent="0.25">
      <c r="A5966" t="str">
        <f>"08-0575"</f>
        <v>08-0575</v>
      </c>
      <c r="D5966" s="8">
        <v>39664</v>
      </c>
      <c r="F5966" s="8">
        <v>39664</v>
      </c>
      <c r="G5966" s="8">
        <v>39664</v>
      </c>
      <c r="Y5966" s="8"/>
    </row>
    <row r="5967" spans="1:25" x14ac:dyDescent="0.25">
      <c r="A5967" t="str">
        <f>"08-0576"</f>
        <v>08-0576</v>
      </c>
      <c r="D5967" s="8">
        <v>39664</v>
      </c>
      <c r="F5967" s="8">
        <v>39666</v>
      </c>
      <c r="G5967" s="8">
        <v>39667</v>
      </c>
      <c r="Y5967" s="8"/>
    </row>
    <row r="5968" spans="1:25" x14ac:dyDescent="0.25">
      <c r="A5968" t="str">
        <f>"08-0577"</f>
        <v>08-0577</v>
      </c>
      <c r="D5968" s="8">
        <v>39664</v>
      </c>
      <c r="F5968" s="8">
        <v>39715</v>
      </c>
      <c r="G5968" s="8">
        <v>39667</v>
      </c>
      <c r="Y5968" s="8"/>
    </row>
    <row r="5969" spans="1:25" x14ac:dyDescent="0.25">
      <c r="A5969" t="str">
        <f>"08-0579"</f>
        <v>08-0579</v>
      </c>
      <c r="D5969" s="8">
        <v>39664</v>
      </c>
      <c r="F5969" s="8">
        <v>39664</v>
      </c>
      <c r="G5969" s="8">
        <v>39668</v>
      </c>
      <c r="Y5969" s="8"/>
    </row>
    <row r="5970" spans="1:25" x14ac:dyDescent="0.25">
      <c r="A5970" t="str">
        <f>"08-0580"</f>
        <v>08-0580</v>
      </c>
      <c r="D5970" s="8">
        <v>39664</v>
      </c>
      <c r="F5970" s="8">
        <v>39664</v>
      </c>
      <c r="G5970" s="8">
        <v>39671</v>
      </c>
      <c r="Y5970" s="8"/>
    </row>
    <row r="5971" spans="1:25" x14ac:dyDescent="0.25">
      <c r="A5971" t="str">
        <f>"08-0581"</f>
        <v>08-0581</v>
      </c>
      <c r="D5971" s="8">
        <v>39664</v>
      </c>
      <c r="F5971" s="8">
        <v>39665</v>
      </c>
      <c r="G5971" s="8">
        <v>39668</v>
      </c>
      <c r="Y5971" s="8"/>
    </row>
    <row r="5972" spans="1:25" x14ac:dyDescent="0.25">
      <c r="A5972" t="str">
        <f>"08-0582"</f>
        <v>08-0582</v>
      </c>
      <c r="D5972" s="8">
        <v>39664</v>
      </c>
      <c r="F5972" s="8">
        <v>40050</v>
      </c>
      <c r="G5972" s="8">
        <v>39660</v>
      </c>
      <c r="Y5972" s="8"/>
    </row>
    <row r="5973" spans="1:25" x14ac:dyDescent="0.25">
      <c r="A5973" t="str">
        <f>"08-0583"</f>
        <v>08-0583</v>
      </c>
      <c r="D5973" s="8">
        <v>39664</v>
      </c>
      <c r="F5973" s="8">
        <v>39664</v>
      </c>
      <c r="G5973" s="8">
        <v>39664</v>
      </c>
      <c r="Y5973" s="8"/>
    </row>
    <row r="5974" spans="1:25" x14ac:dyDescent="0.25">
      <c r="A5974" t="str">
        <f>"08-0574"</f>
        <v>08-0574</v>
      </c>
      <c r="D5974" s="8">
        <v>39661</v>
      </c>
      <c r="F5974" s="8">
        <v>39661</v>
      </c>
      <c r="G5974" s="8">
        <v>39661</v>
      </c>
      <c r="Y5974" s="8"/>
    </row>
    <row r="5975" spans="1:25" x14ac:dyDescent="0.25">
      <c r="A5975" t="str">
        <f>"08-0569"</f>
        <v>08-0569</v>
      </c>
      <c r="D5975" s="8">
        <v>39660</v>
      </c>
      <c r="F5975" s="8">
        <v>39660</v>
      </c>
      <c r="G5975" s="8">
        <v>39660</v>
      </c>
      <c r="Y5975" s="8"/>
    </row>
    <row r="5976" spans="1:25" x14ac:dyDescent="0.25">
      <c r="A5976" t="str">
        <f>"08-0570"</f>
        <v>08-0570</v>
      </c>
      <c r="D5976" s="8">
        <v>39660</v>
      </c>
      <c r="F5976" s="8">
        <v>39660</v>
      </c>
      <c r="G5976" s="8">
        <v>39660</v>
      </c>
      <c r="Y5976" s="8"/>
    </row>
    <row r="5977" spans="1:25" x14ac:dyDescent="0.25">
      <c r="A5977" t="str">
        <f>"08-0571"</f>
        <v>08-0571</v>
      </c>
      <c r="D5977" s="8">
        <v>39660</v>
      </c>
      <c r="F5977" s="8">
        <v>39660</v>
      </c>
      <c r="G5977" s="8">
        <v>39660</v>
      </c>
      <c r="Y5977" s="8"/>
    </row>
    <row r="5978" spans="1:25" x14ac:dyDescent="0.25">
      <c r="A5978" t="str">
        <f>"08-0572"</f>
        <v>08-0572</v>
      </c>
      <c r="D5978" s="8">
        <v>39660</v>
      </c>
      <c r="F5978" s="8">
        <v>39660</v>
      </c>
      <c r="G5978" s="8">
        <v>39660</v>
      </c>
      <c r="Y5978" s="8"/>
    </row>
    <row r="5979" spans="1:25" x14ac:dyDescent="0.25">
      <c r="A5979" t="str">
        <f>"08-0573"</f>
        <v>08-0573</v>
      </c>
      <c r="D5979" s="8">
        <v>39660</v>
      </c>
      <c r="F5979" s="8">
        <v>39660</v>
      </c>
      <c r="G5979" s="8">
        <v>39660</v>
      </c>
      <c r="Y5979" s="8"/>
    </row>
    <row r="5980" spans="1:25" x14ac:dyDescent="0.25">
      <c r="A5980" t="str">
        <f>"08-0568"</f>
        <v>08-0568</v>
      </c>
      <c r="D5980" s="8">
        <v>39659</v>
      </c>
      <c r="F5980" s="8">
        <v>39660</v>
      </c>
      <c r="G5980" s="8">
        <v>39660</v>
      </c>
      <c r="Y5980" s="8"/>
    </row>
    <row r="5981" spans="1:25" x14ac:dyDescent="0.25">
      <c r="A5981" t="str">
        <f>"08-0566"</f>
        <v>08-0566</v>
      </c>
      <c r="D5981" s="8">
        <v>39658</v>
      </c>
      <c r="F5981" s="8">
        <v>39658</v>
      </c>
      <c r="G5981" s="8">
        <v>39658</v>
      </c>
      <c r="Y5981" s="8"/>
    </row>
    <row r="5982" spans="1:25" x14ac:dyDescent="0.25">
      <c r="A5982" t="str">
        <f>"08-0567"</f>
        <v>08-0567</v>
      </c>
      <c r="D5982" s="8">
        <v>39658</v>
      </c>
      <c r="F5982" s="8">
        <v>39658</v>
      </c>
      <c r="G5982" s="8">
        <v>39658</v>
      </c>
      <c r="Y5982" s="8"/>
    </row>
    <row r="5983" spans="1:25" x14ac:dyDescent="0.25">
      <c r="A5983" t="str">
        <f>"08-0555"</f>
        <v>08-0555</v>
      </c>
      <c r="D5983" s="8">
        <v>39657</v>
      </c>
      <c r="F5983" s="8">
        <v>39657</v>
      </c>
      <c r="G5983" s="8">
        <v>39657</v>
      </c>
      <c r="Y5983" s="8"/>
    </row>
    <row r="5984" spans="1:25" x14ac:dyDescent="0.25">
      <c r="A5984" t="str">
        <f>"08-0556"</f>
        <v>08-0556</v>
      </c>
      <c r="D5984" s="8">
        <v>39657</v>
      </c>
      <c r="F5984" s="8">
        <v>39657</v>
      </c>
      <c r="G5984" s="8">
        <v>39657</v>
      </c>
      <c r="Y5984" s="8"/>
    </row>
    <row r="5985" spans="1:25" x14ac:dyDescent="0.25">
      <c r="A5985" t="str">
        <f>"08-0557"</f>
        <v>08-0557</v>
      </c>
      <c r="D5985" s="8">
        <v>39657</v>
      </c>
      <c r="F5985" s="8">
        <v>39692</v>
      </c>
      <c r="G5985" s="8">
        <v>39688</v>
      </c>
      <c r="Y5985" s="8"/>
    </row>
    <row r="5986" spans="1:25" x14ac:dyDescent="0.25">
      <c r="A5986" t="str">
        <f>"08-0558"</f>
        <v>08-0558</v>
      </c>
      <c r="D5986" s="8">
        <v>39657</v>
      </c>
      <c r="F5986" s="8">
        <v>39668</v>
      </c>
      <c r="G5986" s="8">
        <v>39679</v>
      </c>
      <c r="Y5986" s="8"/>
    </row>
    <row r="5987" spans="1:25" x14ac:dyDescent="0.25">
      <c r="A5987" t="str">
        <f>"08-0559"</f>
        <v>08-0559</v>
      </c>
      <c r="D5987" s="8">
        <v>39657</v>
      </c>
      <c r="F5987" s="8">
        <v>39657</v>
      </c>
      <c r="G5987" s="8">
        <v>39657</v>
      </c>
      <c r="Y5987" s="8"/>
    </row>
    <row r="5988" spans="1:25" x14ac:dyDescent="0.25">
      <c r="A5988" t="str">
        <f>"08-0561"</f>
        <v>08-0561</v>
      </c>
      <c r="D5988" s="8">
        <v>39657</v>
      </c>
      <c r="F5988" s="8">
        <v>39657</v>
      </c>
      <c r="G5988" s="8">
        <v>39657</v>
      </c>
      <c r="Y5988" s="8"/>
    </row>
    <row r="5989" spans="1:25" x14ac:dyDescent="0.25">
      <c r="A5989" t="str">
        <f>"08-0562"</f>
        <v>08-0562</v>
      </c>
      <c r="D5989" s="8">
        <v>39657</v>
      </c>
      <c r="F5989" s="8">
        <v>39657</v>
      </c>
      <c r="G5989" s="8">
        <v>39657</v>
      </c>
      <c r="Y5989" s="8"/>
    </row>
    <row r="5990" spans="1:25" x14ac:dyDescent="0.25">
      <c r="A5990" t="str">
        <f>"08-0564"</f>
        <v>08-0564</v>
      </c>
      <c r="D5990" s="8">
        <v>39657</v>
      </c>
      <c r="F5990" s="8">
        <v>39657</v>
      </c>
      <c r="G5990" s="8">
        <v>39657</v>
      </c>
      <c r="Y5990" s="8"/>
    </row>
    <row r="5991" spans="1:25" x14ac:dyDescent="0.25">
      <c r="A5991" t="str">
        <f>"08-0565"</f>
        <v>08-0565</v>
      </c>
      <c r="D5991" s="8">
        <v>39657</v>
      </c>
      <c r="F5991" s="8">
        <v>39657</v>
      </c>
      <c r="G5991" s="8">
        <v>39657</v>
      </c>
      <c r="Y5991" s="8"/>
    </row>
    <row r="5992" spans="1:25" x14ac:dyDescent="0.25">
      <c r="A5992" t="str">
        <f>"08-0554"</f>
        <v>08-0554</v>
      </c>
      <c r="D5992" s="8">
        <v>39654</v>
      </c>
      <c r="F5992" s="8">
        <v>39654</v>
      </c>
      <c r="G5992" s="8">
        <v>39654</v>
      </c>
      <c r="Y5992" s="8"/>
    </row>
    <row r="5993" spans="1:25" x14ac:dyDescent="0.25">
      <c r="A5993" t="str">
        <f>"08-0551"</f>
        <v>08-0551</v>
      </c>
      <c r="D5993" s="8">
        <v>39653</v>
      </c>
      <c r="F5993" s="8">
        <v>39653</v>
      </c>
      <c r="G5993" s="8">
        <v>39653</v>
      </c>
      <c r="Y5993" s="8"/>
    </row>
    <row r="5994" spans="1:25" x14ac:dyDescent="0.25">
      <c r="A5994" t="str">
        <f>"08-0552"</f>
        <v>08-0552</v>
      </c>
      <c r="D5994" s="8">
        <v>39653</v>
      </c>
      <c r="F5994" s="8">
        <v>39653</v>
      </c>
      <c r="G5994" s="8">
        <v>39653</v>
      </c>
      <c r="Y5994" s="8"/>
    </row>
    <row r="5995" spans="1:25" x14ac:dyDescent="0.25">
      <c r="A5995" t="str">
        <f>"08-0553"</f>
        <v>08-0553</v>
      </c>
      <c r="D5995" s="8">
        <v>39653</v>
      </c>
      <c r="F5995" s="8">
        <v>39653</v>
      </c>
      <c r="G5995" s="8">
        <v>39653</v>
      </c>
      <c r="Y5995" s="8"/>
    </row>
    <row r="5996" spans="1:25" x14ac:dyDescent="0.25">
      <c r="A5996" t="str">
        <f>"08-0547"</f>
        <v>08-0547</v>
      </c>
      <c r="D5996" s="8">
        <v>39652</v>
      </c>
      <c r="F5996" s="8">
        <v>39652</v>
      </c>
      <c r="G5996" s="8">
        <v>39652</v>
      </c>
      <c r="Y5996" s="8"/>
    </row>
    <row r="5997" spans="1:25" x14ac:dyDescent="0.25">
      <c r="A5997" t="str">
        <f>"08-0548"</f>
        <v>08-0548</v>
      </c>
      <c r="D5997" s="8">
        <v>39652</v>
      </c>
      <c r="F5997" s="8">
        <v>39653</v>
      </c>
      <c r="G5997" s="8">
        <v>39652</v>
      </c>
      <c r="Y5997" s="8"/>
    </row>
    <row r="5998" spans="1:25" x14ac:dyDescent="0.25">
      <c r="A5998" t="str">
        <f>"08-0549"</f>
        <v>08-0549</v>
      </c>
      <c r="D5998" s="8">
        <v>39652</v>
      </c>
      <c r="F5998" s="8">
        <v>39652</v>
      </c>
      <c r="G5998" s="8">
        <v>39652</v>
      </c>
      <c r="Y5998" s="8"/>
    </row>
    <row r="5999" spans="1:25" x14ac:dyDescent="0.25">
      <c r="A5999" t="str">
        <f>"08-0550"</f>
        <v>08-0550</v>
      </c>
      <c r="D5999" s="8">
        <v>39652</v>
      </c>
      <c r="F5999" s="8">
        <v>39657</v>
      </c>
      <c r="G5999" s="8">
        <v>39657</v>
      </c>
      <c r="Y5999" s="8"/>
    </row>
    <row r="6000" spans="1:25" x14ac:dyDescent="0.25">
      <c r="A6000" t="str">
        <f>"08-0546"</f>
        <v>08-0546</v>
      </c>
      <c r="D6000" s="8">
        <v>39651</v>
      </c>
      <c r="F6000" s="8">
        <v>39651</v>
      </c>
      <c r="G6000" s="8">
        <v>39651</v>
      </c>
      <c r="Y6000" s="8"/>
    </row>
    <row r="6001" spans="1:25" x14ac:dyDescent="0.25">
      <c r="A6001" t="str">
        <f>"08-0541"</f>
        <v>08-0541</v>
      </c>
      <c r="D6001" s="8">
        <v>39650</v>
      </c>
      <c r="F6001" s="8">
        <v>39650</v>
      </c>
      <c r="G6001" s="8">
        <v>39650</v>
      </c>
      <c r="Y6001" s="8"/>
    </row>
    <row r="6002" spans="1:25" x14ac:dyDescent="0.25">
      <c r="A6002" t="str">
        <f>"08-0542"</f>
        <v>08-0542</v>
      </c>
      <c r="D6002" s="8">
        <v>39650</v>
      </c>
      <c r="F6002" s="8">
        <v>39653</v>
      </c>
      <c r="G6002" s="8">
        <v>39650</v>
      </c>
      <c r="Y6002" s="8"/>
    </row>
    <row r="6003" spans="1:25" x14ac:dyDescent="0.25">
      <c r="A6003" t="str">
        <f>"08-0543"</f>
        <v>08-0543</v>
      </c>
      <c r="D6003" s="8">
        <v>39650</v>
      </c>
      <c r="F6003" s="8">
        <v>39650</v>
      </c>
      <c r="G6003" s="8">
        <v>39650</v>
      </c>
      <c r="Y6003" s="8"/>
    </row>
    <row r="6004" spans="1:25" x14ac:dyDescent="0.25">
      <c r="A6004" t="str">
        <f>"08-0544"</f>
        <v>08-0544</v>
      </c>
      <c r="D6004" s="8">
        <v>39650</v>
      </c>
      <c r="F6004" s="8">
        <v>39651</v>
      </c>
      <c r="G6004" s="8">
        <v>39650</v>
      </c>
      <c r="Y6004" s="8"/>
    </row>
    <row r="6005" spans="1:25" x14ac:dyDescent="0.25">
      <c r="A6005" t="str">
        <f>"08-0545"</f>
        <v>08-0545</v>
      </c>
      <c r="D6005" s="8">
        <v>39650</v>
      </c>
      <c r="F6005" s="8">
        <v>39650</v>
      </c>
      <c r="G6005" s="8">
        <v>39650</v>
      </c>
      <c r="Y6005" s="8"/>
    </row>
    <row r="6006" spans="1:25" x14ac:dyDescent="0.25">
      <c r="A6006" t="str">
        <f>"08-0537"</f>
        <v>08-0537</v>
      </c>
      <c r="D6006" s="8">
        <v>39647</v>
      </c>
      <c r="G6006" s="8">
        <v>39654</v>
      </c>
    </row>
    <row r="6007" spans="1:25" x14ac:dyDescent="0.25">
      <c r="A6007" t="str">
        <f>"08-0538"</f>
        <v>08-0538</v>
      </c>
      <c r="D6007" s="8">
        <v>39647</v>
      </c>
      <c r="F6007" s="8">
        <v>39658</v>
      </c>
      <c r="G6007" s="8">
        <v>39658</v>
      </c>
      <c r="Y6007" s="8"/>
    </row>
    <row r="6008" spans="1:25" x14ac:dyDescent="0.25">
      <c r="A6008" t="str">
        <f>"08-0539"</f>
        <v>08-0539</v>
      </c>
      <c r="D6008" s="8">
        <v>39647</v>
      </c>
      <c r="F6008" s="8">
        <v>39647</v>
      </c>
      <c r="G6008" s="8">
        <v>39647</v>
      </c>
      <c r="Y6008" s="8"/>
    </row>
    <row r="6009" spans="1:25" x14ac:dyDescent="0.25">
      <c r="A6009" t="str">
        <f>"08-0540"</f>
        <v>08-0540</v>
      </c>
      <c r="D6009" s="8">
        <v>39647</v>
      </c>
      <c r="G6009" s="8">
        <v>39647</v>
      </c>
    </row>
    <row r="6010" spans="1:25" x14ac:dyDescent="0.25">
      <c r="A6010" t="str">
        <f>"08-0533"</f>
        <v>08-0533</v>
      </c>
      <c r="D6010" s="8">
        <v>39646</v>
      </c>
      <c r="F6010" s="8">
        <v>39651</v>
      </c>
      <c r="G6010" s="8">
        <v>39646</v>
      </c>
      <c r="Y6010" s="8"/>
    </row>
    <row r="6011" spans="1:25" x14ac:dyDescent="0.25">
      <c r="A6011" t="str">
        <f>"08-0534"</f>
        <v>08-0534</v>
      </c>
      <c r="D6011" s="8">
        <v>39646</v>
      </c>
      <c r="F6011" s="8">
        <v>39646</v>
      </c>
      <c r="G6011" s="8">
        <v>39646</v>
      </c>
      <c r="Y6011" s="8"/>
    </row>
    <row r="6012" spans="1:25" x14ac:dyDescent="0.25">
      <c r="A6012" t="str">
        <f>"08-0535"</f>
        <v>08-0535</v>
      </c>
      <c r="D6012" s="8">
        <v>39646</v>
      </c>
      <c r="F6012" s="8">
        <v>39646</v>
      </c>
      <c r="G6012" s="8">
        <v>39646</v>
      </c>
      <c r="Y6012" s="8"/>
    </row>
    <row r="6013" spans="1:25" x14ac:dyDescent="0.25">
      <c r="A6013" t="str">
        <f>"08-0536"</f>
        <v>08-0536</v>
      </c>
      <c r="D6013" s="8">
        <v>39646</v>
      </c>
      <c r="F6013" s="8">
        <v>39646</v>
      </c>
      <c r="G6013" s="8">
        <v>39646</v>
      </c>
      <c r="Y6013" s="8"/>
    </row>
    <row r="6014" spans="1:25" x14ac:dyDescent="0.25">
      <c r="A6014" t="str">
        <f>"08-0530"</f>
        <v>08-0530</v>
      </c>
      <c r="D6014" s="8">
        <v>39645</v>
      </c>
      <c r="F6014" s="8">
        <v>39646</v>
      </c>
      <c r="G6014" s="8">
        <v>39644</v>
      </c>
      <c r="Y6014" s="8"/>
    </row>
    <row r="6015" spans="1:25" x14ac:dyDescent="0.25">
      <c r="A6015" t="str">
        <f>"08-0531"</f>
        <v>08-0531</v>
      </c>
      <c r="D6015" s="8">
        <v>39645</v>
      </c>
      <c r="F6015" s="8">
        <v>39657</v>
      </c>
      <c r="G6015" s="8">
        <v>39645</v>
      </c>
      <c r="Y6015" s="8"/>
    </row>
    <row r="6016" spans="1:25" x14ac:dyDescent="0.25">
      <c r="A6016" t="str">
        <f>"08-0532"</f>
        <v>08-0532</v>
      </c>
      <c r="D6016" s="8">
        <v>39645</v>
      </c>
      <c r="F6016" s="8">
        <v>39645</v>
      </c>
      <c r="G6016" s="8">
        <v>39645</v>
      </c>
      <c r="Y6016" s="8"/>
    </row>
    <row r="6017" spans="1:25" x14ac:dyDescent="0.25">
      <c r="A6017" t="str">
        <f>"08-0522B"</f>
        <v>08-0522B</v>
      </c>
      <c r="D6017" s="8">
        <v>39644</v>
      </c>
      <c r="F6017" s="8">
        <v>39644</v>
      </c>
      <c r="G6017" s="8">
        <v>39644</v>
      </c>
      <c r="Y6017" s="8"/>
    </row>
    <row r="6018" spans="1:25" x14ac:dyDescent="0.25">
      <c r="A6018" t="str">
        <f>"08-0529"</f>
        <v>08-0529</v>
      </c>
      <c r="D6018" s="8">
        <v>39644</v>
      </c>
      <c r="F6018" s="8">
        <v>39693</v>
      </c>
      <c r="G6018" s="8">
        <v>39667</v>
      </c>
      <c r="Y6018" s="8"/>
    </row>
    <row r="6019" spans="1:25" x14ac:dyDescent="0.25">
      <c r="A6019" t="str">
        <f>"08-0523"</f>
        <v>08-0523</v>
      </c>
      <c r="D6019" s="8">
        <v>39640</v>
      </c>
      <c r="F6019" s="8">
        <v>39640</v>
      </c>
      <c r="G6019" s="8">
        <v>39640</v>
      </c>
      <c r="Y6019" s="8"/>
    </row>
    <row r="6020" spans="1:25" x14ac:dyDescent="0.25">
      <c r="A6020" t="str">
        <f>"08-0524"</f>
        <v>08-0524</v>
      </c>
      <c r="D6020" s="8">
        <v>39640</v>
      </c>
      <c r="F6020" s="8">
        <v>39640</v>
      </c>
      <c r="G6020" s="8">
        <v>39640</v>
      </c>
      <c r="Y6020" s="8"/>
    </row>
    <row r="6021" spans="1:25" x14ac:dyDescent="0.25">
      <c r="A6021" t="str">
        <f>"08-0525"</f>
        <v>08-0525</v>
      </c>
      <c r="D6021" s="8">
        <v>39640</v>
      </c>
      <c r="F6021" s="8">
        <v>39640</v>
      </c>
      <c r="G6021" s="8">
        <v>39640</v>
      </c>
      <c r="Y6021" s="8"/>
    </row>
    <row r="6022" spans="1:25" x14ac:dyDescent="0.25">
      <c r="A6022" t="str">
        <f>"08-0526"</f>
        <v>08-0526</v>
      </c>
      <c r="D6022" s="8">
        <v>39640</v>
      </c>
      <c r="F6022" s="8">
        <v>39640</v>
      </c>
      <c r="G6022" s="8">
        <v>39640</v>
      </c>
      <c r="Y6022" s="8"/>
    </row>
    <row r="6023" spans="1:25" x14ac:dyDescent="0.25">
      <c r="A6023" t="str">
        <f>"08-0527"</f>
        <v>08-0527</v>
      </c>
      <c r="D6023" s="8">
        <v>39640</v>
      </c>
      <c r="F6023" s="8">
        <v>39640</v>
      </c>
      <c r="G6023" s="8">
        <v>39640</v>
      </c>
      <c r="Y6023" s="8"/>
    </row>
    <row r="6024" spans="1:25" x14ac:dyDescent="0.25">
      <c r="A6024" t="str">
        <f>"08-0498B"</f>
        <v>08-0498B</v>
      </c>
      <c r="D6024" s="8">
        <v>39639</v>
      </c>
      <c r="F6024" s="8">
        <v>39639</v>
      </c>
      <c r="G6024" s="8">
        <v>39639</v>
      </c>
      <c r="Y6024" s="8"/>
    </row>
    <row r="6025" spans="1:25" x14ac:dyDescent="0.25">
      <c r="A6025" t="str">
        <f>"08-0511B"</f>
        <v>08-0511B</v>
      </c>
      <c r="D6025" s="8">
        <v>39639</v>
      </c>
      <c r="F6025" s="8">
        <v>39639</v>
      </c>
      <c r="G6025" s="8">
        <v>39639</v>
      </c>
      <c r="Y6025" s="8"/>
    </row>
    <row r="6026" spans="1:25" x14ac:dyDescent="0.25">
      <c r="A6026" t="str">
        <f>"08-0517B"</f>
        <v>08-0517B</v>
      </c>
      <c r="D6026" s="8">
        <v>39639</v>
      </c>
      <c r="F6026" s="8">
        <v>39639</v>
      </c>
      <c r="G6026" s="8">
        <v>39639</v>
      </c>
      <c r="Y6026" s="8"/>
    </row>
    <row r="6027" spans="1:25" x14ac:dyDescent="0.25">
      <c r="A6027" t="str">
        <f>"08-0518"</f>
        <v>08-0518</v>
      </c>
      <c r="D6027" s="8">
        <v>39639</v>
      </c>
      <c r="F6027" s="8">
        <v>39639</v>
      </c>
      <c r="G6027" s="8">
        <v>39639</v>
      </c>
      <c r="Y6027" s="8"/>
    </row>
    <row r="6028" spans="1:25" x14ac:dyDescent="0.25">
      <c r="A6028" t="str">
        <f>"08-0519"</f>
        <v>08-0519</v>
      </c>
      <c r="D6028" s="8">
        <v>39639</v>
      </c>
      <c r="F6028" s="8">
        <v>39639</v>
      </c>
      <c r="G6028" s="8">
        <v>39639</v>
      </c>
      <c r="Y6028" s="8"/>
    </row>
    <row r="6029" spans="1:25" x14ac:dyDescent="0.25">
      <c r="A6029" t="str">
        <f>"08-0520"</f>
        <v>08-0520</v>
      </c>
      <c r="D6029" s="8">
        <v>39639</v>
      </c>
      <c r="F6029" s="8">
        <v>39639</v>
      </c>
      <c r="G6029" s="8">
        <v>39639</v>
      </c>
      <c r="Y6029" s="8"/>
    </row>
    <row r="6030" spans="1:25" x14ac:dyDescent="0.25">
      <c r="A6030" t="str">
        <f>"08-0521"</f>
        <v>08-0521</v>
      </c>
      <c r="D6030" s="8">
        <v>39639</v>
      </c>
      <c r="F6030" s="8">
        <v>39639</v>
      </c>
      <c r="G6030" s="8">
        <v>39640</v>
      </c>
      <c r="Y6030" s="8"/>
    </row>
    <row r="6031" spans="1:25" x14ac:dyDescent="0.25">
      <c r="A6031" t="str">
        <f>"08-0522"</f>
        <v>08-0522</v>
      </c>
      <c r="D6031" s="8">
        <v>39639</v>
      </c>
      <c r="F6031" s="8">
        <v>39639</v>
      </c>
      <c r="G6031" s="8">
        <v>39639</v>
      </c>
      <c r="Y6031" s="8"/>
    </row>
    <row r="6032" spans="1:25" x14ac:dyDescent="0.25">
      <c r="A6032" t="str">
        <f>"08-0514"</f>
        <v>08-0514</v>
      </c>
      <c r="D6032" s="8">
        <v>39638</v>
      </c>
      <c r="F6032" s="8">
        <v>39638</v>
      </c>
      <c r="G6032" s="8">
        <v>39638</v>
      </c>
      <c r="Y6032" s="8"/>
    </row>
    <row r="6033" spans="1:25" x14ac:dyDescent="0.25">
      <c r="A6033" t="str">
        <f>"08-0515"</f>
        <v>08-0515</v>
      </c>
      <c r="D6033" s="8">
        <v>39638</v>
      </c>
      <c r="F6033" s="8">
        <v>39638</v>
      </c>
      <c r="G6033" s="8">
        <v>39638</v>
      </c>
      <c r="Y6033" s="8"/>
    </row>
    <row r="6034" spans="1:25" x14ac:dyDescent="0.25">
      <c r="A6034" t="str">
        <f>"08-0516"</f>
        <v>08-0516</v>
      </c>
      <c r="D6034" s="8">
        <v>39638</v>
      </c>
      <c r="F6034" s="8">
        <v>39638</v>
      </c>
      <c r="G6034" s="8">
        <v>39638</v>
      </c>
      <c r="Y6034" s="8"/>
    </row>
    <row r="6035" spans="1:25" x14ac:dyDescent="0.25">
      <c r="A6035" t="str">
        <f>"08-0517"</f>
        <v>08-0517</v>
      </c>
      <c r="D6035" s="8">
        <v>39638</v>
      </c>
      <c r="F6035" s="8">
        <v>39638</v>
      </c>
      <c r="G6035" s="8">
        <v>39639</v>
      </c>
      <c r="Y6035" s="8"/>
    </row>
    <row r="6036" spans="1:25" x14ac:dyDescent="0.25">
      <c r="A6036" t="str">
        <f>"08-0508B"</f>
        <v>08-0508B</v>
      </c>
      <c r="D6036" s="8">
        <v>39637</v>
      </c>
      <c r="F6036" s="8">
        <v>39750</v>
      </c>
      <c r="G6036" s="8">
        <v>39637</v>
      </c>
      <c r="Y6036" s="8"/>
    </row>
    <row r="6037" spans="1:25" x14ac:dyDescent="0.25">
      <c r="A6037" t="str">
        <f>"08-0510"</f>
        <v>08-0510</v>
      </c>
      <c r="D6037" s="8">
        <v>39637</v>
      </c>
      <c r="F6037" s="8">
        <v>39637</v>
      </c>
      <c r="G6037" s="8">
        <v>39639</v>
      </c>
      <c r="Y6037" s="8"/>
    </row>
    <row r="6038" spans="1:25" x14ac:dyDescent="0.25">
      <c r="A6038" t="str">
        <f>"08-0511"</f>
        <v>08-0511</v>
      </c>
      <c r="D6038" s="8">
        <v>39637</v>
      </c>
      <c r="F6038" s="8">
        <v>39637</v>
      </c>
      <c r="G6038" s="8">
        <v>39637</v>
      </c>
      <c r="Y6038" s="8"/>
    </row>
    <row r="6039" spans="1:25" x14ac:dyDescent="0.25">
      <c r="A6039" t="str">
        <f>"08-0512"</f>
        <v>08-0512</v>
      </c>
      <c r="D6039" s="8">
        <v>39637</v>
      </c>
      <c r="F6039" s="8">
        <v>39637</v>
      </c>
      <c r="G6039" s="8">
        <v>39637</v>
      </c>
      <c r="Y6039" s="8"/>
    </row>
    <row r="6040" spans="1:25" x14ac:dyDescent="0.25">
      <c r="A6040" t="str">
        <f>"08-0513"</f>
        <v>08-0513</v>
      </c>
      <c r="D6040" s="8">
        <v>39637</v>
      </c>
      <c r="F6040" s="8">
        <v>39637</v>
      </c>
      <c r="G6040" s="8">
        <v>39639</v>
      </c>
      <c r="Y6040" s="8"/>
    </row>
    <row r="6041" spans="1:25" x14ac:dyDescent="0.25">
      <c r="A6041" t="str">
        <f>"08-0496B"</f>
        <v>08-0496B</v>
      </c>
      <c r="D6041" s="8">
        <v>39636</v>
      </c>
      <c r="F6041" s="8">
        <v>39636</v>
      </c>
      <c r="G6041" s="8">
        <v>39636</v>
      </c>
      <c r="Y6041" s="8"/>
    </row>
    <row r="6042" spans="1:25" x14ac:dyDescent="0.25">
      <c r="A6042" t="str">
        <f>"08-0503"</f>
        <v>08-0503</v>
      </c>
      <c r="D6042" s="8">
        <v>39636</v>
      </c>
      <c r="F6042" s="8">
        <v>39636</v>
      </c>
      <c r="G6042" s="8">
        <v>39636</v>
      </c>
      <c r="Y6042" s="8"/>
    </row>
    <row r="6043" spans="1:25" x14ac:dyDescent="0.25">
      <c r="A6043" t="str">
        <f>"08-0504"</f>
        <v>08-0504</v>
      </c>
      <c r="D6043" s="8">
        <v>39636</v>
      </c>
      <c r="F6043" s="8">
        <v>39636</v>
      </c>
      <c r="G6043" s="8">
        <v>39636</v>
      </c>
      <c r="Y6043" s="8"/>
    </row>
    <row r="6044" spans="1:25" x14ac:dyDescent="0.25">
      <c r="A6044" t="str">
        <f>"08-0505"</f>
        <v>08-0505</v>
      </c>
      <c r="D6044" s="8">
        <v>39636</v>
      </c>
      <c r="F6044" s="8">
        <v>39636</v>
      </c>
      <c r="G6044" s="8">
        <v>39639</v>
      </c>
      <c r="Y6044" s="8"/>
    </row>
    <row r="6045" spans="1:25" x14ac:dyDescent="0.25">
      <c r="A6045" t="str">
        <f>"08-0506"</f>
        <v>08-0506</v>
      </c>
      <c r="D6045" s="8">
        <v>39636</v>
      </c>
      <c r="F6045" s="8">
        <v>39636</v>
      </c>
      <c r="G6045" s="8">
        <v>39636</v>
      </c>
      <c r="Y6045" s="8"/>
    </row>
    <row r="6046" spans="1:25" x14ac:dyDescent="0.25">
      <c r="A6046" t="str">
        <f>"08-0507"</f>
        <v>08-0507</v>
      </c>
      <c r="D6046" s="8">
        <v>39636</v>
      </c>
      <c r="F6046" s="8">
        <v>39636</v>
      </c>
      <c r="G6046" s="8">
        <v>39636</v>
      </c>
      <c r="Y6046" s="8"/>
    </row>
    <row r="6047" spans="1:25" x14ac:dyDescent="0.25">
      <c r="A6047" t="str">
        <f>"08-0508"</f>
        <v>08-0508</v>
      </c>
      <c r="D6047" s="8">
        <v>39636</v>
      </c>
      <c r="F6047" s="8">
        <v>39636</v>
      </c>
      <c r="G6047" s="8">
        <v>39636</v>
      </c>
      <c r="Y6047" s="8"/>
    </row>
    <row r="6048" spans="1:25" x14ac:dyDescent="0.25">
      <c r="A6048" t="str">
        <f>"08-0509"</f>
        <v>08-0509</v>
      </c>
      <c r="D6048" s="8">
        <v>39636</v>
      </c>
      <c r="F6048" s="8">
        <v>39636</v>
      </c>
      <c r="G6048" s="8">
        <v>39636</v>
      </c>
      <c r="Y6048" s="8"/>
    </row>
    <row r="6049" spans="1:25" x14ac:dyDescent="0.25">
      <c r="A6049" t="str">
        <f>"08-0499C"</f>
        <v>08-0499C</v>
      </c>
      <c r="D6049" s="8">
        <v>39633</v>
      </c>
      <c r="F6049" s="8">
        <v>39633</v>
      </c>
      <c r="G6049" s="8">
        <v>39633</v>
      </c>
      <c r="Y6049" s="8"/>
    </row>
    <row r="6050" spans="1:25" x14ac:dyDescent="0.25">
      <c r="A6050" t="str">
        <f>"08-0501"</f>
        <v>08-0501</v>
      </c>
      <c r="D6050" s="8">
        <v>39633</v>
      </c>
      <c r="F6050" s="8">
        <v>39633</v>
      </c>
      <c r="G6050" s="8">
        <v>39633</v>
      </c>
    </row>
    <row r="6051" spans="1:25" x14ac:dyDescent="0.25">
      <c r="A6051" t="str">
        <f>"08-0502"</f>
        <v>08-0502</v>
      </c>
      <c r="D6051" s="8">
        <v>39633</v>
      </c>
      <c r="F6051" s="8">
        <v>39633</v>
      </c>
      <c r="G6051" s="8">
        <v>39633</v>
      </c>
      <c r="Y6051" s="8"/>
    </row>
    <row r="6052" spans="1:25" x14ac:dyDescent="0.25">
      <c r="A6052" t="str">
        <f>"08-0495"</f>
        <v>08-0495</v>
      </c>
      <c r="D6052" s="8">
        <v>39632</v>
      </c>
      <c r="F6052" s="8">
        <v>39862</v>
      </c>
      <c r="G6052" s="8">
        <v>39633</v>
      </c>
      <c r="Y6052" s="8"/>
    </row>
    <row r="6053" spans="1:25" x14ac:dyDescent="0.25">
      <c r="A6053" t="str">
        <f>"08-0496"</f>
        <v>08-0496</v>
      </c>
      <c r="D6053" s="8">
        <v>39632</v>
      </c>
      <c r="F6053" s="8">
        <v>39632</v>
      </c>
      <c r="G6053" s="8">
        <v>39632</v>
      </c>
      <c r="Y6053" s="8"/>
    </row>
    <row r="6054" spans="1:25" x14ac:dyDescent="0.25">
      <c r="A6054" t="str">
        <f>"08-0497"</f>
        <v>08-0497</v>
      </c>
      <c r="D6054" s="8">
        <v>39632</v>
      </c>
      <c r="F6054" s="8">
        <v>39633</v>
      </c>
      <c r="G6054" s="8">
        <v>39633</v>
      </c>
      <c r="Y6054" s="8"/>
    </row>
    <row r="6055" spans="1:25" x14ac:dyDescent="0.25">
      <c r="A6055" t="str">
        <f>"08-0498"</f>
        <v>08-0498</v>
      </c>
      <c r="D6055" s="8">
        <v>39632</v>
      </c>
      <c r="F6055" s="8">
        <v>39632</v>
      </c>
      <c r="G6055" s="8">
        <v>39632</v>
      </c>
      <c r="Y6055" s="8"/>
    </row>
    <row r="6056" spans="1:25" x14ac:dyDescent="0.25">
      <c r="A6056" t="str">
        <f>"08-0499"</f>
        <v>08-0499</v>
      </c>
      <c r="D6056" s="8">
        <v>39632</v>
      </c>
      <c r="F6056" s="8">
        <v>39632</v>
      </c>
      <c r="G6056" s="8">
        <v>39632</v>
      </c>
      <c r="Y6056" s="8"/>
    </row>
    <row r="6057" spans="1:25" x14ac:dyDescent="0.25">
      <c r="A6057" t="str">
        <f>"08-0499 B"</f>
        <v>08-0499 B</v>
      </c>
      <c r="D6057" s="8">
        <v>39632</v>
      </c>
      <c r="F6057" s="8">
        <v>39632</v>
      </c>
      <c r="G6057" s="8">
        <v>39632</v>
      </c>
      <c r="Y6057" s="8"/>
    </row>
    <row r="6058" spans="1:25" x14ac:dyDescent="0.25">
      <c r="A6058" t="str">
        <f>"08-0500"</f>
        <v>08-0500</v>
      </c>
      <c r="D6058" s="8">
        <v>39632</v>
      </c>
      <c r="F6058" s="8">
        <v>39632</v>
      </c>
      <c r="G6058" s="8">
        <v>39632</v>
      </c>
      <c r="Y6058" s="8"/>
    </row>
    <row r="6059" spans="1:25" x14ac:dyDescent="0.25">
      <c r="A6059" t="str">
        <f>"08-0492"</f>
        <v>08-0492</v>
      </c>
      <c r="D6059" s="8">
        <v>39631</v>
      </c>
      <c r="F6059" s="8">
        <v>39631</v>
      </c>
      <c r="G6059" s="8">
        <v>39634</v>
      </c>
      <c r="Y6059" s="8"/>
    </row>
    <row r="6060" spans="1:25" x14ac:dyDescent="0.25">
      <c r="A6060" t="str">
        <f>"08-0493"</f>
        <v>08-0493</v>
      </c>
      <c r="D6060" s="8">
        <v>39631</v>
      </c>
      <c r="F6060" s="8">
        <v>39631</v>
      </c>
      <c r="G6060" s="8">
        <v>39631</v>
      </c>
      <c r="Y6060" s="8"/>
    </row>
    <row r="6061" spans="1:25" x14ac:dyDescent="0.25">
      <c r="A6061" t="str">
        <f>"08-0494"</f>
        <v>08-0494</v>
      </c>
      <c r="D6061" s="8">
        <v>39631</v>
      </c>
      <c r="F6061" s="8">
        <v>39692</v>
      </c>
      <c r="G6061" s="8">
        <v>39632</v>
      </c>
      <c r="Y6061" s="8"/>
    </row>
    <row r="6062" spans="1:25" x14ac:dyDescent="0.25">
      <c r="A6062" t="str">
        <f>"08-0481B"</f>
        <v>08-0481B</v>
      </c>
      <c r="D6062" s="8">
        <v>39630</v>
      </c>
      <c r="F6062" s="8">
        <v>39630</v>
      </c>
      <c r="G6062" s="8">
        <v>39630</v>
      </c>
      <c r="Y6062" s="8"/>
    </row>
    <row r="6063" spans="1:25" x14ac:dyDescent="0.25">
      <c r="A6063" t="str">
        <f>"08-0488"</f>
        <v>08-0488</v>
      </c>
      <c r="D6063" s="8">
        <v>39630</v>
      </c>
      <c r="F6063" s="8">
        <v>39630</v>
      </c>
      <c r="G6063" s="8">
        <v>39632</v>
      </c>
      <c r="Y6063" s="8"/>
    </row>
    <row r="6064" spans="1:25" x14ac:dyDescent="0.25">
      <c r="A6064" t="str">
        <f>"08-0490"</f>
        <v>08-0490</v>
      </c>
      <c r="D6064" s="8">
        <v>39630</v>
      </c>
      <c r="F6064" s="8">
        <v>39630</v>
      </c>
      <c r="G6064" s="8">
        <v>39632</v>
      </c>
      <c r="Y6064" s="8"/>
    </row>
    <row r="6065" spans="1:25" x14ac:dyDescent="0.25">
      <c r="A6065" t="str">
        <f>"08-0491"</f>
        <v>08-0491</v>
      </c>
      <c r="D6065" s="8">
        <v>39630</v>
      </c>
      <c r="F6065" s="8">
        <v>39630</v>
      </c>
      <c r="G6065" s="8">
        <v>39630</v>
      </c>
      <c r="Y6065" s="8"/>
    </row>
    <row r="6066" spans="1:25" x14ac:dyDescent="0.25">
      <c r="A6066" t="str">
        <f>"08-0483"</f>
        <v>08-0483</v>
      </c>
      <c r="D6066" s="8">
        <v>39629</v>
      </c>
      <c r="F6066" s="8">
        <v>39798</v>
      </c>
      <c r="G6066" s="8">
        <v>39626</v>
      </c>
      <c r="Y6066" s="8"/>
    </row>
    <row r="6067" spans="1:25" x14ac:dyDescent="0.25">
      <c r="A6067" t="str">
        <f>"08-0484"</f>
        <v>08-0484</v>
      </c>
      <c r="D6067" s="8">
        <v>39629</v>
      </c>
      <c r="F6067" s="8">
        <v>39629</v>
      </c>
      <c r="G6067" s="8">
        <v>39629</v>
      </c>
      <c r="Y6067" s="8"/>
    </row>
    <row r="6068" spans="1:25" x14ac:dyDescent="0.25">
      <c r="A6068" t="str">
        <f>"08-0485"</f>
        <v>08-0485</v>
      </c>
      <c r="D6068" s="8">
        <v>39629</v>
      </c>
      <c r="F6068" s="8">
        <v>39630</v>
      </c>
      <c r="G6068" s="8">
        <v>39629</v>
      </c>
      <c r="Y6068" s="8"/>
    </row>
    <row r="6069" spans="1:25" x14ac:dyDescent="0.25">
      <c r="A6069" t="str">
        <f>"08-0486"</f>
        <v>08-0486</v>
      </c>
      <c r="D6069" s="8">
        <v>39629</v>
      </c>
      <c r="F6069" s="8">
        <v>39630</v>
      </c>
      <c r="G6069" s="8">
        <v>39629</v>
      </c>
      <c r="Y6069" s="8"/>
    </row>
    <row r="6070" spans="1:25" x14ac:dyDescent="0.25">
      <c r="A6070" t="str">
        <f>"08-0487"</f>
        <v>08-0487</v>
      </c>
      <c r="D6070" s="8">
        <v>39629</v>
      </c>
      <c r="F6070" s="8">
        <v>39630</v>
      </c>
      <c r="G6070" s="8">
        <v>39629</v>
      </c>
      <c r="Y6070" s="8"/>
    </row>
    <row r="6071" spans="1:25" x14ac:dyDescent="0.25">
      <c r="A6071" t="str">
        <f>"08-0489"</f>
        <v>08-0489</v>
      </c>
      <c r="D6071" s="8">
        <v>39629</v>
      </c>
      <c r="F6071" s="8">
        <v>39630</v>
      </c>
      <c r="G6071" s="8">
        <v>39629</v>
      </c>
      <c r="Y6071" s="8"/>
    </row>
    <row r="6072" spans="1:25" x14ac:dyDescent="0.25">
      <c r="A6072" t="str">
        <f>"08-0479"</f>
        <v>08-0479</v>
      </c>
      <c r="D6072" s="8">
        <v>39626</v>
      </c>
      <c r="F6072" s="8">
        <v>39646</v>
      </c>
      <c r="G6072" s="8">
        <v>39629</v>
      </c>
      <c r="Y6072" s="8"/>
    </row>
    <row r="6073" spans="1:25" x14ac:dyDescent="0.25">
      <c r="A6073" t="str">
        <f>"08-0480"</f>
        <v>08-0480</v>
      </c>
      <c r="D6073" s="8">
        <v>39626</v>
      </c>
      <c r="F6073" s="8">
        <v>41211</v>
      </c>
      <c r="G6073" s="8">
        <v>39627</v>
      </c>
      <c r="Y6073" s="8"/>
    </row>
    <row r="6074" spans="1:25" x14ac:dyDescent="0.25">
      <c r="A6074" t="str">
        <f>"08-0481"</f>
        <v>08-0481</v>
      </c>
      <c r="D6074" s="8">
        <v>39626</v>
      </c>
      <c r="F6074" s="8">
        <v>39666</v>
      </c>
      <c r="G6074" s="8">
        <v>39629</v>
      </c>
      <c r="Y6074" s="8"/>
    </row>
    <row r="6075" spans="1:25" x14ac:dyDescent="0.25">
      <c r="A6075" t="str">
        <f>"08-0482"</f>
        <v>08-0482</v>
      </c>
      <c r="D6075" s="8">
        <v>39626</v>
      </c>
      <c r="G6075" s="8">
        <v>39629</v>
      </c>
    </row>
    <row r="6076" spans="1:25" x14ac:dyDescent="0.25">
      <c r="A6076" t="str">
        <f>"08-0471B"</f>
        <v>08-0471B</v>
      </c>
      <c r="D6076" s="8">
        <v>39625</v>
      </c>
      <c r="F6076" s="8">
        <v>39625</v>
      </c>
      <c r="G6076" s="8">
        <v>39625</v>
      </c>
      <c r="Y6076" s="8"/>
    </row>
    <row r="6077" spans="1:25" x14ac:dyDescent="0.25">
      <c r="A6077" t="str">
        <f>"08-0474"</f>
        <v>08-0474</v>
      </c>
      <c r="D6077" s="8">
        <v>39625</v>
      </c>
      <c r="F6077" s="8">
        <v>39625</v>
      </c>
      <c r="G6077" s="8">
        <v>39625</v>
      </c>
      <c r="Y6077" s="8"/>
    </row>
    <row r="6078" spans="1:25" x14ac:dyDescent="0.25">
      <c r="A6078" t="str">
        <f>"08-0475"</f>
        <v>08-0475</v>
      </c>
      <c r="D6078" s="8">
        <v>39625</v>
      </c>
      <c r="F6078" s="8">
        <v>39630</v>
      </c>
      <c r="G6078" s="8">
        <v>39625</v>
      </c>
      <c r="Y6078" s="8"/>
    </row>
    <row r="6079" spans="1:25" x14ac:dyDescent="0.25">
      <c r="A6079" t="str">
        <f>"08-0476"</f>
        <v>08-0476</v>
      </c>
      <c r="D6079" s="8">
        <v>39625</v>
      </c>
      <c r="F6079" s="8">
        <v>39632</v>
      </c>
      <c r="G6079" s="8">
        <v>39630</v>
      </c>
      <c r="Y6079" s="8"/>
    </row>
    <row r="6080" spans="1:25" x14ac:dyDescent="0.25">
      <c r="A6080" t="str">
        <f>"08-0477"</f>
        <v>08-0477</v>
      </c>
      <c r="D6080" s="8">
        <v>39625</v>
      </c>
      <c r="F6080" s="8">
        <v>39625</v>
      </c>
      <c r="G6080" s="8">
        <v>39625</v>
      </c>
      <c r="Y6080" s="8"/>
    </row>
    <row r="6081" spans="1:25" x14ac:dyDescent="0.25">
      <c r="A6081" t="str">
        <f>"08-0478"</f>
        <v>08-0478</v>
      </c>
      <c r="D6081" s="8">
        <v>39625</v>
      </c>
      <c r="F6081" s="8">
        <v>39625</v>
      </c>
      <c r="G6081" s="8">
        <v>39625</v>
      </c>
      <c r="Y6081" s="8"/>
    </row>
    <row r="6082" spans="1:25" x14ac:dyDescent="0.25">
      <c r="A6082" t="str">
        <f>"08-0469"</f>
        <v>08-0469</v>
      </c>
      <c r="D6082" s="8">
        <v>39624</v>
      </c>
      <c r="F6082" s="8">
        <v>39624</v>
      </c>
      <c r="G6082" s="8">
        <v>39622</v>
      </c>
      <c r="Y6082" s="8"/>
    </row>
    <row r="6083" spans="1:25" x14ac:dyDescent="0.25">
      <c r="A6083" t="str">
        <f>"08-0470"</f>
        <v>08-0470</v>
      </c>
      <c r="D6083" s="8">
        <v>39624</v>
      </c>
      <c r="F6083" s="8">
        <v>39624</v>
      </c>
      <c r="G6083" s="8">
        <v>39624</v>
      </c>
      <c r="Y6083" s="8"/>
    </row>
    <row r="6084" spans="1:25" x14ac:dyDescent="0.25">
      <c r="A6084" t="str">
        <f>"08-0471"</f>
        <v>08-0471</v>
      </c>
      <c r="D6084" s="8">
        <v>39624</v>
      </c>
      <c r="F6084" s="8">
        <v>39624</v>
      </c>
      <c r="G6084" s="8">
        <v>39624</v>
      </c>
      <c r="Y6084" s="8"/>
    </row>
    <row r="6085" spans="1:25" x14ac:dyDescent="0.25">
      <c r="A6085" t="str">
        <f>"08-0472"</f>
        <v>08-0472</v>
      </c>
      <c r="D6085" s="8">
        <v>39624</v>
      </c>
      <c r="F6085" s="8">
        <v>39624</v>
      </c>
      <c r="G6085" s="8">
        <v>39624</v>
      </c>
      <c r="Y6085" s="8"/>
    </row>
    <row r="6086" spans="1:25" x14ac:dyDescent="0.25">
      <c r="A6086" t="str">
        <f>"08-0473"</f>
        <v>08-0473</v>
      </c>
      <c r="D6086" s="8">
        <v>39624</v>
      </c>
      <c r="F6086" s="8">
        <v>39624</v>
      </c>
      <c r="G6086" s="8">
        <v>39624</v>
      </c>
      <c r="Y6086" s="8"/>
    </row>
    <row r="6087" spans="1:25" x14ac:dyDescent="0.25">
      <c r="A6087" t="str">
        <f>"08-0270C"</f>
        <v>08-0270C</v>
      </c>
      <c r="D6087" s="8">
        <v>39623</v>
      </c>
      <c r="F6087" s="8">
        <v>39623</v>
      </c>
      <c r="G6087" s="8">
        <v>39627</v>
      </c>
      <c r="Y6087" s="8"/>
    </row>
    <row r="6088" spans="1:25" x14ac:dyDescent="0.25">
      <c r="A6088" t="str">
        <f>"08-0462"</f>
        <v>08-0462</v>
      </c>
      <c r="D6088" s="8">
        <v>39623</v>
      </c>
      <c r="F6088" s="8">
        <v>39623</v>
      </c>
      <c r="G6088" s="8">
        <v>39623</v>
      </c>
      <c r="Y6088" s="8"/>
    </row>
    <row r="6089" spans="1:25" x14ac:dyDescent="0.25">
      <c r="A6089" t="str">
        <f>"08-0463"</f>
        <v>08-0463</v>
      </c>
      <c r="D6089" s="8">
        <v>39623</v>
      </c>
      <c r="F6089" s="8">
        <v>39623</v>
      </c>
      <c r="G6089" s="8">
        <v>39623</v>
      </c>
      <c r="Y6089" s="8"/>
    </row>
    <row r="6090" spans="1:25" x14ac:dyDescent="0.25">
      <c r="A6090" t="str">
        <f>"08-0464"</f>
        <v>08-0464</v>
      </c>
      <c r="D6090" s="8">
        <v>39623</v>
      </c>
      <c r="F6090" s="8">
        <v>39623</v>
      </c>
      <c r="G6090" s="8">
        <v>39623</v>
      </c>
      <c r="Y6090" s="8"/>
    </row>
    <row r="6091" spans="1:25" x14ac:dyDescent="0.25">
      <c r="A6091" t="str">
        <f>"08-0465"</f>
        <v>08-0465</v>
      </c>
      <c r="D6091" s="8">
        <v>39623</v>
      </c>
      <c r="F6091" s="8">
        <v>39623</v>
      </c>
      <c r="G6091" s="8">
        <v>39623</v>
      </c>
      <c r="Y6091" s="8"/>
    </row>
    <row r="6092" spans="1:25" x14ac:dyDescent="0.25">
      <c r="A6092" t="str">
        <f>"08-0466"</f>
        <v>08-0466</v>
      </c>
      <c r="D6092" s="8">
        <v>39623</v>
      </c>
      <c r="F6092" s="8">
        <v>39623</v>
      </c>
      <c r="G6092" s="8">
        <v>39623</v>
      </c>
      <c r="Y6092" s="8"/>
    </row>
    <row r="6093" spans="1:25" x14ac:dyDescent="0.25">
      <c r="A6093" t="str">
        <f>"08-0467"</f>
        <v>08-0467</v>
      </c>
      <c r="D6093" s="8">
        <v>39623</v>
      </c>
      <c r="F6093" s="8">
        <v>39623</v>
      </c>
      <c r="G6093" s="8">
        <v>39624</v>
      </c>
      <c r="Y6093" s="8"/>
    </row>
    <row r="6094" spans="1:25" x14ac:dyDescent="0.25">
      <c r="A6094" t="str">
        <f>"08-0444B"</f>
        <v>08-0444B</v>
      </c>
      <c r="D6094" s="8">
        <v>39622</v>
      </c>
      <c r="F6094" s="8">
        <v>39622</v>
      </c>
      <c r="G6094" s="8">
        <v>39622</v>
      </c>
      <c r="Y6094" s="8"/>
    </row>
    <row r="6095" spans="1:25" x14ac:dyDescent="0.25">
      <c r="A6095" t="str">
        <f>"08-0460"</f>
        <v>08-0460</v>
      </c>
      <c r="D6095" s="8">
        <v>39622</v>
      </c>
      <c r="F6095" s="8">
        <v>39622</v>
      </c>
      <c r="G6095" s="8">
        <v>39622</v>
      </c>
      <c r="Y6095" s="8"/>
    </row>
    <row r="6096" spans="1:25" x14ac:dyDescent="0.25">
      <c r="A6096" t="str">
        <f>"08-0461"</f>
        <v>08-0461</v>
      </c>
      <c r="D6096" s="8">
        <v>39622</v>
      </c>
      <c r="F6096" s="8">
        <v>39622</v>
      </c>
      <c r="G6096" s="8">
        <v>39622</v>
      </c>
      <c r="Y6096" s="8"/>
    </row>
    <row r="6097" spans="1:25" x14ac:dyDescent="0.25">
      <c r="A6097" t="str">
        <f>"08-0437B"</f>
        <v>08-0437B</v>
      </c>
      <c r="D6097" s="8">
        <v>39619</v>
      </c>
      <c r="F6097" s="8">
        <v>39619</v>
      </c>
      <c r="G6097" s="8">
        <v>39619</v>
      </c>
      <c r="Y6097" s="8"/>
    </row>
    <row r="6098" spans="1:25" x14ac:dyDescent="0.25">
      <c r="A6098" t="str">
        <f>"08-0459"</f>
        <v>08-0459</v>
      </c>
      <c r="D6098" s="8">
        <v>39619</v>
      </c>
      <c r="G6098" s="8">
        <v>39622</v>
      </c>
    </row>
    <row r="6099" spans="1:25" x14ac:dyDescent="0.25">
      <c r="A6099" t="str">
        <f>"08-0454"</f>
        <v>08-0454</v>
      </c>
      <c r="D6099" s="8">
        <v>39618</v>
      </c>
      <c r="F6099" s="8">
        <v>39646</v>
      </c>
      <c r="G6099" s="8">
        <v>39624</v>
      </c>
      <c r="Y6099" s="8"/>
    </row>
    <row r="6100" spans="1:25" x14ac:dyDescent="0.25">
      <c r="A6100" t="str">
        <f>"08-0455"</f>
        <v>08-0455</v>
      </c>
      <c r="D6100" s="8">
        <v>39618</v>
      </c>
      <c r="F6100" s="8">
        <v>39618</v>
      </c>
      <c r="G6100" s="8">
        <v>39618</v>
      </c>
      <c r="Y6100" s="8"/>
    </row>
    <row r="6101" spans="1:25" x14ac:dyDescent="0.25">
      <c r="A6101" t="str">
        <f>"08-0456"</f>
        <v>08-0456</v>
      </c>
      <c r="D6101" s="8">
        <v>39618</v>
      </c>
      <c r="F6101" s="8">
        <v>39618</v>
      </c>
      <c r="G6101" s="8">
        <v>39618</v>
      </c>
      <c r="Y6101" s="8"/>
    </row>
    <row r="6102" spans="1:25" x14ac:dyDescent="0.25">
      <c r="A6102" t="str">
        <f>"08-0457"</f>
        <v>08-0457</v>
      </c>
      <c r="D6102" s="8">
        <v>39618</v>
      </c>
      <c r="F6102" s="8">
        <v>39618</v>
      </c>
      <c r="G6102" s="8">
        <v>39629</v>
      </c>
      <c r="Y6102" s="8"/>
    </row>
    <row r="6103" spans="1:25" x14ac:dyDescent="0.25">
      <c r="A6103" t="str">
        <f>"08-0458"</f>
        <v>08-0458</v>
      </c>
      <c r="D6103" s="8">
        <v>39618</v>
      </c>
      <c r="F6103" s="8">
        <v>39619</v>
      </c>
      <c r="G6103" s="8">
        <v>39618</v>
      </c>
      <c r="Y6103" s="8"/>
    </row>
    <row r="6104" spans="1:25" x14ac:dyDescent="0.25">
      <c r="A6104" t="str">
        <f>"08-0447"</f>
        <v>08-0447</v>
      </c>
      <c r="D6104" s="8">
        <v>39617</v>
      </c>
      <c r="F6104" s="8">
        <v>39617</v>
      </c>
      <c r="G6104" s="8">
        <v>39619</v>
      </c>
      <c r="Y6104" s="8"/>
    </row>
    <row r="6105" spans="1:25" x14ac:dyDescent="0.25">
      <c r="A6105" t="str">
        <f>"08-0448"</f>
        <v>08-0448</v>
      </c>
      <c r="D6105" s="8">
        <v>39617</v>
      </c>
      <c r="F6105" s="8">
        <v>39618</v>
      </c>
      <c r="G6105" s="8">
        <v>39624</v>
      </c>
      <c r="Y6105" s="8"/>
    </row>
    <row r="6106" spans="1:25" x14ac:dyDescent="0.25">
      <c r="A6106" t="str">
        <f>"08-0450"</f>
        <v>08-0450</v>
      </c>
      <c r="D6106" s="8">
        <v>39617</v>
      </c>
      <c r="F6106" s="8">
        <v>39622</v>
      </c>
      <c r="G6106" s="8">
        <v>39619</v>
      </c>
      <c r="Y6106" s="8"/>
    </row>
    <row r="6107" spans="1:25" x14ac:dyDescent="0.25">
      <c r="A6107" t="str">
        <f>"08-0451"</f>
        <v>08-0451</v>
      </c>
      <c r="D6107" s="8">
        <v>39617</v>
      </c>
      <c r="F6107" s="8">
        <v>39658</v>
      </c>
      <c r="G6107" s="8">
        <v>39617</v>
      </c>
      <c r="Y6107" s="8"/>
    </row>
    <row r="6108" spans="1:25" x14ac:dyDescent="0.25">
      <c r="A6108" t="str">
        <f>"08-0452"</f>
        <v>08-0452</v>
      </c>
      <c r="D6108" s="8">
        <v>39617</v>
      </c>
      <c r="F6108" s="8">
        <v>39623</v>
      </c>
      <c r="G6108" s="8">
        <v>39623</v>
      </c>
      <c r="Y6108" s="8"/>
    </row>
    <row r="6109" spans="1:25" x14ac:dyDescent="0.25">
      <c r="A6109" t="str">
        <f>"08-0438"</f>
        <v>08-0438</v>
      </c>
      <c r="D6109" s="8">
        <v>39616</v>
      </c>
      <c r="F6109" s="8">
        <v>39616</v>
      </c>
      <c r="G6109" s="8">
        <v>39616</v>
      </c>
      <c r="Y6109" s="8"/>
    </row>
    <row r="6110" spans="1:25" x14ac:dyDescent="0.25">
      <c r="A6110" t="str">
        <f>"08-0439"</f>
        <v>08-0439</v>
      </c>
      <c r="D6110" s="8">
        <v>39616</v>
      </c>
      <c r="F6110" s="8">
        <v>39616</v>
      </c>
      <c r="G6110" s="8">
        <v>39619</v>
      </c>
      <c r="Y6110" s="8"/>
    </row>
    <row r="6111" spans="1:25" x14ac:dyDescent="0.25">
      <c r="A6111" t="str">
        <f>"08-0440"</f>
        <v>08-0440</v>
      </c>
      <c r="D6111" s="8">
        <v>39616</v>
      </c>
      <c r="F6111" s="8">
        <v>39616</v>
      </c>
      <c r="G6111" s="8">
        <v>39619</v>
      </c>
      <c r="Y6111" s="8"/>
    </row>
    <row r="6112" spans="1:25" x14ac:dyDescent="0.25">
      <c r="A6112" t="str">
        <f>"08-0441"</f>
        <v>08-0441</v>
      </c>
      <c r="D6112" s="8">
        <v>39616</v>
      </c>
      <c r="F6112" s="8">
        <v>39616</v>
      </c>
      <c r="G6112" s="8">
        <v>39616</v>
      </c>
      <c r="Y6112" s="8"/>
    </row>
    <row r="6113" spans="1:25" x14ac:dyDescent="0.25">
      <c r="A6113" t="str">
        <f>"08-0442"</f>
        <v>08-0442</v>
      </c>
      <c r="D6113" s="8">
        <v>39616</v>
      </c>
      <c r="F6113" s="8">
        <v>39616</v>
      </c>
      <c r="G6113" s="8">
        <v>39619</v>
      </c>
      <c r="Y6113" s="8"/>
    </row>
    <row r="6114" spans="1:25" x14ac:dyDescent="0.25">
      <c r="A6114" t="str">
        <f>"08-0443"</f>
        <v>08-0443</v>
      </c>
      <c r="D6114" s="8">
        <v>39616</v>
      </c>
      <c r="F6114" s="8">
        <v>39618</v>
      </c>
      <c r="G6114" s="8">
        <v>39629</v>
      </c>
      <c r="Y6114" s="8"/>
    </row>
    <row r="6115" spans="1:25" x14ac:dyDescent="0.25">
      <c r="A6115" t="str">
        <f>"08-0444"</f>
        <v>08-0444</v>
      </c>
      <c r="D6115" s="8">
        <v>39616</v>
      </c>
      <c r="F6115" s="8">
        <v>39616</v>
      </c>
      <c r="G6115" s="8">
        <v>39616</v>
      </c>
      <c r="Y6115" s="8"/>
    </row>
    <row r="6116" spans="1:25" x14ac:dyDescent="0.25">
      <c r="A6116" t="str">
        <f>"08-0445"</f>
        <v>08-0445</v>
      </c>
      <c r="D6116" s="8">
        <v>39616</v>
      </c>
      <c r="F6116" s="8">
        <v>39616</v>
      </c>
      <c r="G6116" s="8">
        <v>39616</v>
      </c>
      <c r="Y6116" s="8"/>
    </row>
    <row r="6117" spans="1:25" x14ac:dyDescent="0.25">
      <c r="A6117" t="str">
        <f>"08-0446"</f>
        <v>08-0446</v>
      </c>
      <c r="D6117" s="8">
        <v>39616</v>
      </c>
      <c r="F6117" s="8">
        <v>39616</v>
      </c>
      <c r="G6117" s="8">
        <v>39616</v>
      </c>
      <c r="Y6117" s="8"/>
    </row>
    <row r="6118" spans="1:25" x14ac:dyDescent="0.25">
      <c r="A6118" t="str">
        <f>"08-0435"</f>
        <v>08-0435</v>
      </c>
      <c r="D6118" s="8">
        <v>39615</v>
      </c>
      <c r="F6118" s="8">
        <v>39615</v>
      </c>
      <c r="G6118" s="8">
        <v>39615</v>
      </c>
      <c r="Y6118" s="8"/>
    </row>
    <row r="6119" spans="1:25" x14ac:dyDescent="0.25">
      <c r="A6119" t="str">
        <f>"08-0436"</f>
        <v>08-0436</v>
      </c>
      <c r="D6119" s="8">
        <v>39615</v>
      </c>
      <c r="F6119" s="8">
        <v>39615</v>
      </c>
      <c r="G6119" s="8">
        <v>39615</v>
      </c>
      <c r="Y6119" s="8"/>
    </row>
    <row r="6120" spans="1:25" x14ac:dyDescent="0.25">
      <c r="A6120" t="str">
        <f>"08-0437"</f>
        <v>08-0437</v>
      </c>
      <c r="D6120" s="8">
        <v>39615</v>
      </c>
      <c r="F6120" s="8">
        <v>39615</v>
      </c>
      <c r="G6120" s="8">
        <v>39617</v>
      </c>
      <c r="Y6120" s="8"/>
    </row>
    <row r="6121" spans="1:25" x14ac:dyDescent="0.25">
      <c r="A6121" t="str">
        <f>"08-0433"</f>
        <v>08-0433</v>
      </c>
      <c r="D6121" s="8">
        <v>39612</v>
      </c>
      <c r="F6121" s="8">
        <v>39612</v>
      </c>
      <c r="G6121" s="8">
        <v>39612</v>
      </c>
      <c r="Y6121" s="8"/>
    </row>
    <row r="6122" spans="1:25" x14ac:dyDescent="0.25">
      <c r="A6122" t="str">
        <f>"08-0425"</f>
        <v>08-0425</v>
      </c>
      <c r="D6122" s="8">
        <v>39611</v>
      </c>
      <c r="F6122" s="8">
        <v>39611</v>
      </c>
      <c r="G6122" s="8">
        <v>39611</v>
      </c>
      <c r="Y6122" s="8"/>
    </row>
    <row r="6123" spans="1:25" x14ac:dyDescent="0.25">
      <c r="A6123" t="str">
        <f>"08-0426"</f>
        <v>08-0426</v>
      </c>
      <c r="D6123" s="8">
        <v>39611</v>
      </c>
      <c r="F6123" s="8">
        <v>39612</v>
      </c>
      <c r="G6123" s="8">
        <v>39612</v>
      </c>
      <c r="Y6123" s="8"/>
    </row>
    <row r="6124" spans="1:25" x14ac:dyDescent="0.25">
      <c r="A6124" t="str">
        <f>"08-0427"</f>
        <v>08-0427</v>
      </c>
      <c r="D6124" s="8">
        <v>39611</v>
      </c>
      <c r="F6124" s="8">
        <v>39611</v>
      </c>
      <c r="G6124" s="8">
        <v>39611</v>
      </c>
      <c r="Y6124" s="8"/>
    </row>
    <row r="6125" spans="1:25" x14ac:dyDescent="0.25">
      <c r="A6125" t="str">
        <f>"08-0428"</f>
        <v>08-0428</v>
      </c>
      <c r="D6125" s="8">
        <v>39611</v>
      </c>
      <c r="F6125" s="8">
        <v>39611</v>
      </c>
      <c r="G6125" s="8">
        <v>39611</v>
      </c>
      <c r="Y6125" s="8"/>
    </row>
    <row r="6126" spans="1:25" x14ac:dyDescent="0.25">
      <c r="A6126" t="str">
        <f>"08-0429"</f>
        <v>08-0429</v>
      </c>
      <c r="D6126" s="8">
        <v>39611</v>
      </c>
      <c r="F6126" s="8">
        <v>39611</v>
      </c>
      <c r="G6126" s="8">
        <v>39611</v>
      </c>
      <c r="Y6126" s="8"/>
    </row>
    <row r="6127" spans="1:25" x14ac:dyDescent="0.25">
      <c r="A6127" t="str">
        <f>"08-0430"</f>
        <v>08-0430</v>
      </c>
      <c r="D6127" s="8">
        <v>39611</v>
      </c>
      <c r="F6127" s="8">
        <v>39612</v>
      </c>
      <c r="G6127" s="8">
        <v>39611</v>
      </c>
      <c r="Y6127" s="8"/>
    </row>
    <row r="6128" spans="1:25" x14ac:dyDescent="0.25">
      <c r="A6128" t="str">
        <f>"08-0431"</f>
        <v>08-0431</v>
      </c>
      <c r="D6128" s="8">
        <v>39611</v>
      </c>
      <c r="F6128" s="8">
        <v>39611</v>
      </c>
      <c r="G6128" s="8">
        <v>39611</v>
      </c>
      <c r="Y6128" s="8"/>
    </row>
    <row r="6129" spans="1:25" x14ac:dyDescent="0.25">
      <c r="A6129" t="str">
        <f>"08-0432"</f>
        <v>08-0432</v>
      </c>
      <c r="D6129" s="8">
        <v>39611</v>
      </c>
      <c r="F6129" s="8">
        <v>39611</v>
      </c>
      <c r="G6129" s="8">
        <v>39611</v>
      </c>
      <c r="Y6129" s="8"/>
    </row>
    <row r="6130" spans="1:25" x14ac:dyDescent="0.25">
      <c r="A6130" t="str">
        <f>"08-0420"</f>
        <v>08-0420</v>
      </c>
      <c r="D6130" s="8">
        <v>39610</v>
      </c>
      <c r="F6130" s="8">
        <v>39610</v>
      </c>
      <c r="G6130" s="8">
        <v>39610</v>
      </c>
      <c r="Y6130" s="8"/>
    </row>
    <row r="6131" spans="1:25" x14ac:dyDescent="0.25">
      <c r="A6131" t="str">
        <f>"08-0421"</f>
        <v>08-0421</v>
      </c>
      <c r="D6131" s="8">
        <v>39610</v>
      </c>
      <c r="F6131" s="8">
        <v>39610</v>
      </c>
      <c r="G6131" s="8">
        <v>39610</v>
      </c>
      <c r="Y6131" s="8"/>
    </row>
    <row r="6132" spans="1:25" x14ac:dyDescent="0.25">
      <c r="A6132" t="str">
        <f>"08-0422"</f>
        <v>08-0422</v>
      </c>
      <c r="D6132" s="8">
        <v>39610</v>
      </c>
      <c r="F6132" s="8">
        <v>39610</v>
      </c>
      <c r="G6132" s="8">
        <v>39610</v>
      </c>
      <c r="Y6132" s="8"/>
    </row>
    <row r="6133" spans="1:25" x14ac:dyDescent="0.25">
      <c r="A6133" t="str">
        <f>"08-0423"</f>
        <v>08-0423</v>
      </c>
      <c r="D6133" s="8">
        <v>39610</v>
      </c>
      <c r="F6133" s="8">
        <v>39616</v>
      </c>
      <c r="G6133" s="8">
        <v>39616</v>
      </c>
      <c r="Y6133" s="8"/>
    </row>
    <row r="6134" spans="1:25" x14ac:dyDescent="0.25">
      <c r="A6134" t="str">
        <f>"08-0424"</f>
        <v>08-0424</v>
      </c>
      <c r="D6134" s="8">
        <v>39610</v>
      </c>
      <c r="F6134" s="8">
        <v>39610</v>
      </c>
      <c r="G6134" s="8">
        <v>39610</v>
      </c>
      <c r="Y6134" s="8"/>
    </row>
    <row r="6135" spans="1:25" x14ac:dyDescent="0.25">
      <c r="A6135" t="str">
        <f>"08-0414B"</f>
        <v>08-0414B</v>
      </c>
      <c r="D6135" s="8">
        <v>39609</v>
      </c>
      <c r="F6135" s="8">
        <v>39609</v>
      </c>
      <c r="G6135" s="8">
        <v>39609</v>
      </c>
      <c r="Y6135" s="8"/>
    </row>
    <row r="6136" spans="1:25" x14ac:dyDescent="0.25">
      <c r="A6136" t="str">
        <f>"08-0416"</f>
        <v>08-0416</v>
      </c>
      <c r="D6136" s="8">
        <v>39609</v>
      </c>
      <c r="F6136" s="8">
        <v>39610</v>
      </c>
      <c r="G6136" s="8">
        <v>39613</v>
      </c>
      <c r="Y6136" s="8"/>
    </row>
    <row r="6137" spans="1:25" x14ac:dyDescent="0.25">
      <c r="A6137" t="str">
        <f>"08-0417"</f>
        <v>08-0417</v>
      </c>
      <c r="D6137" s="8">
        <v>39609</v>
      </c>
      <c r="F6137" s="8">
        <v>39609</v>
      </c>
      <c r="G6137" s="8">
        <v>39609</v>
      </c>
      <c r="Y6137" s="8"/>
    </row>
    <row r="6138" spans="1:25" x14ac:dyDescent="0.25">
      <c r="A6138" t="str">
        <f>"08-0418"</f>
        <v>08-0418</v>
      </c>
      <c r="D6138" s="8">
        <v>39609</v>
      </c>
      <c r="F6138" s="8">
        <v>39610</v>
      </c>
      <c r="G6138" s="8">
        <v>39609</v>
      </c>
      <c r="Y6138" s="8"/>
    </row>
    <row r="6139" spans="1:25" x14ac:dyDescent="0.25">
      <c r="A6139" t="str">
        <f>"08-0419"</f>
        <v>08-0419</v>
      </c>
      <c r="D6139" s="8">
        <v>39609</v>
      </c>
      <c r="F6139" s="8">
        <v>39609</v>
      </c>
      <c r="G6139" s="8">
        <v>39609</v>
      </c>
      <c r="Y6139" s="8"/>
    </row>
    <row r="6140" spans="1:25" x14ac:dyDescent="0.25">
      <c r="A6140" t="str">
        <f>"08-0410"</f>
        <v>08-0410</v>
      </c>
      <c r="D6140" s="8">
        <v>39608</v>
      </c>
      <c r="F6140" s="8">
        <v>39608</v>
      </c>
      <c r="G6140" s="8">
        <v>39608</v>
      </c>
      <c r="Y6140" s="8"/>
    </row>
    <row r="6141" spans="1:25" x14ac:dyDescent="0.25">
      <c r="A6141" t="str">
        <f>"08-0411"</f>
        <v>08-0411</v>
      </c>
      <c r="D6141" s="8">
        <v>39608</v>
      </c>
      <c r="F6141" s="8">
        <v>39770</v>
      </c>
      <c r="G6141" s="8">
        <v>39608</v>
      </c>
      <c r="Y6141" s="8"/>
    </row>
    <row r="6142" spans="1:25" x14ac:dyDescent="0.25">
      <c r="A6142" t="str">
        <f>"08-0412"</f>
        <v>08-0412</v>
      </c>
      <c r="D6142" s="8">
        <v>39608</v>
      </c>
      <c r="F6142" s="8">
        <v>39608</v>
      </c>
      <c r="G6142" s="8">
        <v>39948</v>
      </c>
      <c r="Y6142" s="8"/>
    </row>
    <row r="6143" spans="1:25" x14ac:dyDescent="0.25">
      <c r="A6143" t="str">
        <f>"08-0413"</f>
        <v>08-0413</v>
      </c>
      <c r="D6143" s="8">
        <v>39608</v>
      </c>
      <c r="F6143" s="8">
        <v>39618</v>
      </c>
      <c r="G6143" s="8">
        <v>39608</v>
      </c>
      <c r="Y6143" s="8"/>
    </row>
    <row r="6144" spans="1:25" x14ac:dyDescent="0.25">
      <c r="A6144" t="str">
        <f>"08-0414"</f>
        <v>08-0414</v>
      </c>
      <c r="D6144" s="8">
        <v>39608</v>
      </c>
      <c r="F6144" s="8">
        <v>39608</v>
      </c>
      <c r="G6144" s="8">
        <v>39609</v>
      </c>
      <c r="Y6144" s="8"/>
    </row>
    <row r="6145" spans="1:25" x14ac:dyDescent="0.25">
      <c r="A6145" t="str">
        <f>"08-0415"</f>
        <v>08-0415</v>
      </c>
      <c r="D6145" s="8">
        <v>39608</v>
      </c>
      <c r="F6145" s="8">
        <v>39609</v>
      </c>
      <c r="G6145" s="8">
        <v>39610</v>
      </c>
      <c r="Y6145" s="8"/>
    </row>
    <row r="6146" spans="1:25" x14ac:dyDescent="0.25">
      <c r="A6146" t="str">
        <f>"08-0403"</f>
        <v>08-0403</v>
      </c>
      <c r="D6146" s="8">
        <v>39605</v>
      </c>
      <c r="F6146" s="8">
        <v>39605</v>
      </c>
      <c r="G6146" s="8">
        <v>39605</v>
      </c>
      <c r="Y6146" s="8"/>
    </row>
    <row r="6147" spans="1:25" x14ac:dyDescent="0.25">
      <c r="A6147" t="str">
        <f>"08-0404"</f>
        <v>08-0404</v>
      </c>
      <c r="D6147" s="8">
        <v>39605</v>
      </c>
      <c r="F6147" s="8">
        <v>39605</v>
      </c>
      <c r="G6147" s="8">
        <v>39605</v>
      </c>
      <c r="Y6147" s="8"/>
    </row>
    <row r="6148" spans="1:25" x14ac:dyDescent="0.25">
      <c r="A6148" t="str">
        <f>"08-0405"</f>
        <v>08-0405</v>
      </c>
      <c r="D6148" s="8">
        <v>39605</v>
      </c>
      <c r="F6148" s="8">
        <v>39624</v>
      </c>
      <c r="G6148" s="8">
        <v>39605</v>
      </c>
      <c r="Y6148" s="8"/>
    </row>
    <row r="6149" spans="1:25" x14ac:dyDescent="0.25">
      <c r="A6149" t="str">
        <f>"08-0406"</f>
        <v>08-0406</v>
      </c>
      <c r="D6149" s="8">
        <v>39605</v>
      </c>
      <c r="F6149" s="8">
        <v>39605</v>
      </c>
      <c r="G6149" s="8">
        <v>39605</v>
      </c>
      <c r="Y6149" s="8"/>
    </row>
    <row r="6150" spans="1:25" x14ac:dyDescent="0.25">
      <c r="A6150" t="str">
        <f>"08-0407"</f>
        <v>08-0407</v>
      </c>
      <c r="D6150" s="8">
        <v>39605</v>
      </c>
      <c r="F6150" s="8">
        <v>39605</v>
      </c>
      <c r="G6150" s="8">
        <v>39605</v>
      </c>
      <c r="Y6150" s="8"/>
    </row>
    <row r="6151" spans="1:25" x14ac:dyDescent="0.25">
      <c r="A6151" t="str">
        <f>"08-0408"</f>
        <v>08-0408</v>
      </c>
      <c r="D6151" s="8">
        <v>39605</v>
      </c>
      <c r="F6151" s="8">
        <v>39605</v>
      </c>
      <c r="G6151" s="8">
        <v>39605</v>
      </c>
      <c r="Y6151" s="8"/>
    </row>
    <row r="6152" spans="1:25" x14ac:dyDescent="0.25">
      <c r="A6152" t="str">
        <f>"08-0409"</f>
        <v>08-0409</v>
      </c>
      <c r="D6152" s="8">
        <v>39605</v>
      </c>
      <c r="F6152" s="8">
        <v>39605</v>
      </c>
      <c r="G6152" s="8">
        <v>39605</v>
      </c>
      <c r="Y6152" s="8"/>
    </row>
    <row r="6153" spans="1:25" x14ac:dyDescent="0.25">
      <c r="A6153" t="str">
        <f>"08-0369B"</f>
        <v>08-0369B</v>
      </c>
      <c r="D6153" s="8">
        <v>39604</v>
      </c>
      <c r="F6153" s="8">
        <v>39604</v>
      </c>
      <c r="G6153" s="8">
        <v>39604</v>
      </c>
      <c r="Y6153" s="8"/>
    </row>
    <row r="6154" spans="1:25" x14ac:dyDescent="0.25">
      <c r="A6154" t="str">
        <f>"08-0382B"</f>
        <v>08-0382B</v>
      </c>
      <c r="D6154" s="8">
        <v>39604</v>
      </c>
      <c r="F6154" s="8">
        <v>39604</v>
      </c>
      <c r="G6154" s="8">
        <v>39604</v>
      </c>
      <c r="Y6154" s="8"/>
    </row>
    <row r="6155" spans="1:25" x14ac:dyDescent="0.25">
      <c r="A6155" t="str">
        <f>"08-0392"</f>
        <v>08-0392</v>
      </c>
      <c r="D6155" s="8">
        <v>39604</v>
      </c>
      <c r="F6155" s="8">
        <v>39618</v>
      </c>
      <c r="G6155" s="8">
        <v>39605</v>
      </c>
      <c r="Y6155" s="8"/>
    </row>
    <row r="6156" spans="1:25" x14ac:dyDescent="0.25">
      <c r="A6156" t="str">
        <f>"08-0393"</f>
        <v>08-0393</v>
      </c>
      <c r="D6156" s="8">
        <v>39604</v>
      </c>
      <c r="F6156" s="8">
        <v>39604</v>
      </c>
      <c r="G6156" s="8">
        <v>39604</v>
      </c>
      <c r="Y6156" s="8"/>
    </row>
    <row r="6157" spans="1:25" x14ac:dyDescent="0.25">
      <c r="A6157" t="str">
        <f>"08-0394"</f>
        <v>08-0394</v>
      </c>
      <c r="D6157" s="8">
        <v>39604</v>
      </c>
      <c r="F6157" s="8">
        <v>39604</v>
      </c>
      <c r="G6157" s="8">
        <v>39608</v>
      </c>
      <c r="Y6157" s="8"/>
    </row>
    <row r="6158" spans="1:25" x14ac:dyDescent="0.25">
      <c r="A6158" t="str">
        <f>"08-0395"</f>
        <v>08-0395</v>
      </c>
      <c r="D6158" s="8">
        <v>39604</v>
      </c>
      <c r="F6158" s="8">
        <v>39604</v>
      </c>
      <c r="G6158" s="8">
        <v>39604</v>
      </c>
      <c r="Y6158" s="8"/>
    </row>
    <row r="6159" spans="1:25" x14ac:dyDescent="0.25">
      <c r="A6159" t="str">
        <f>"08-0396"</f>
        <v>08-0396</v>
      </c>
      <c r="D6159" s="8">
        <v>39604</v>
      </c>
      <c r="F6159" s="8">
        <v>39611</v>
      </c>
      <c r="G6159" s="8">
        <v>39604</v>
      </c>
      <c r="Y6159" s="8"/>
    </row>
    <row r="6160" spans="1:25" x14ac:dyDescent="0.25">
      <c r="A6160" t="str">
        <f>"08-0397"</f>
        <v>08-0397</v>
      </c>
      <c r="D6160" s="8">
        <v>39604</v>
      </c>
      <c r="G6160" s="8">
        <v>39605</v>
      </c>
    </row>
    <row r="6161" spans="1:25" x14ac:dyDescent="0.25">
      <c r="A6161" t="str">
        <f>"08-0398"</f>
        <v>08-0398</v>
      </c>
      <c r="D6161" s="8">
        <v>39604</v>
      </c>
      <c r="F6161" s="8">
        <v>39605</v>
      </c>
      <c r="G6161" s="8">
        <v>39604</v>
      </c>
      <c r="Y6161" s="8"/>
    </row>
    <row r="6162" spans="1:25" x14ac:dyDescent="0.25">
      <c r="A6162" t="str">
        <f>"08-0401"</f>
        <v>08-0401</v>
      </c>
      <c r="D6162" s="8">
        <v>39604</v>
      </c>
      <c r="F6162" s="8">
        <v>39604</v>
      </c>
      <c r="G6162" s="8">
        <v>39604</v>
      </c>
      <c r="Y6162" s="8"/>
    </row>
    <row r="6163" spans="1:25" x14ac:dyDescent="0.25">
      <c r="A6163" t="str">
        <f>"08-0402"</f>
        <v>08-0402</v>
      </c>
      <c r="D6163" s="8">
        <v>39604</v>
      </c>
      <c r="F6163" s="8">
        <v>39604</v>
      </c>
      <c r="G6163" s="8">
        <v>39604</v>
      </c>
      <c r="Y6163" s="8"/>
    </row>
    <row r="6164" spans="1:25" x14ac:dyDescent="0.25">
      <c r="A6164" t="str">
        <f>"08-0389"</f>
        <v>08-0389</v>
      </c>
      <c r="D6164" s="8">
        <v>39603</v>
      </c>
      <c r="F6164" s="8">
        <v>39603</v>
      </c>
      <c r="G6164" s="8">
        <v>39603</v>
      </c>
      <c r="Y6164" s="8"/>
    </row>
    <row r="6165" spans="1:25" x14ac:dyDescent="0.25">
      <c r="A6165" t="str">
        <f>"08-0390"</f>
        <v>08-0390</v>
      </c>
      <c r="D6165" s="8">
        <v>39603</v>
      </c>
      <c r="G6165" s="8">
        <v>39608</v>
      </c>
    </row>
    <row r="6166" spans="1:25" x14ac:dyDescent="0.25">
      <c r="A6166" t="str">
        <f>"08-0391"</f>
        <v>08-0391</v>
      </c>
      <c r="D6166" s="8">
        <v>39603</v>
      </c>
      <c r="F6166" s="8">
        <v>39603</v>
      </c>
      <c r="G6166" s="8">
        <v>39603</v>
      </c>
      <c r="Y6166" s="8"/>
    </row>
    <row r="6167" spans="1:25" x14ac:dyDescent="0.25">
      <c r="A6167" t="str">
        <f>"08-0384"</f>
        <v>08-0384</v>
      </c>
      <c r="D6167" s="8">
        <v>39602</v>
      </c>
      <c r="F6167" s="8">
        <v>39602</v>
      </c>
      <c r="G6167" s="8">
        <v>39602</v>
      </c>
      <c r="Y6167" s="8"/>
    </row>
    <row r="6168" spans="1:25" x14ac:dyDescent="0.25">
      <c r="A6168" t="str">
        <f>"08-0385"</f>
        <v>08-0385</v>
      </c>
      <c r="D6168" s="8">
        <v>39602</v>
      </c>
      <c r="F6168" s="8">
        <v>39618</v>
      </c>
      <c r="G6168" s="8">
        <v>39604</v>
      </c>
      <c r="Y6168" s="8"/>
    </row>
    <row r="6169" spans="1:25" x14ac:dyDescent="0.25">
      <c r="A6169" t="str">
        <f>"08-0386"</f>
        <v>08-0386</v>
      </c>
      <c r="D6169" s="8">
        <v>39602</v>
      </c>
      <c r="F6169" s="8">
        <v>39602</v>
      </c>
      <c r="G6169" s="8">
        <v>39602</v>
      </c>
      <c r="Y6169" s="8"/>
    </row>
    <row r="6170" spans="1:25" x14ac:dyDescent="0.25">
      <c r="A6170" t="str">
        <f>"08-0387"</f>
        <v>08-0387</v>
      </c>
      <c r="D6170" s="8">
        <v>39602</v>
      </c>
      <c r="F6170" s="8">
        <v>39605</v>
      </c>
      <c r="G6170" s="8">
        <v>39605</v>
      </c>
      <c r="Y6170" s="8"/>
    </row>
    <row r="6171" spans="1:25" x14ac:dyDescent="0.25">
      <c r="A6171" t="str">
        <f>"08-0388"</f>
        <v>08-0388</v>
      </c>
      <c r="D6171" s="8">
        <v>39602</v>
      </c>
      <c r="F6171" s="8">
        <v>39603</v>
      </c>
      <c r="G6171" s="8">
        <v>39603</v>
      </c>
      <c r="Y6171" s="8"/>
    </row>
    <row r="6172" spans="1:25" x14ac:dyDescent="0.25">
      <c r="A6172" t="str">
        <f>"08-0090D"</f>
        <v>08-0090D</v>
      </c>
      <c r="D6172" s="8">
        <v>39601</v>
      </c>
      <c r="F6172" s="8">
        <v>39741</v>
      </c>
      <c r="G6172" s="8">
        <v>39601</v>
      </c>
      <c r="Y6172" s="8"/>
    </row>
    <row r="6173" spans="1:25" x14ac:dyDescent="0.25">
      <c r="A6173" t="str">
        <f>"08-0379"</f>
        <v>08-0379</v>
      </c>
      <c r="D6173" s="8">
        <v>39601</v>
      </c>
      <c r="F6173" s="8">
        <v>39601</v>
      </c>
      <c r="G6173" s="8">
        <v>39601</v>
      </c>
      <c r="Y6173" s="8"/>
    </row>
    <row r="6174" spans="1:25" x14ac:dyDescent="0.25">
      <c r="A6174" t="str">
        <f>"08-0380"</f>
        <v>08-0380</v>
      </c>
      <c r="D6174" s="8">
        <v>39601</v>
      </c>
      <c r="F6174" s="8">
        <v>39601</v>
      </c>
      <c r="G6174" s="8">
        <v>39601</v>
      </c>
      <c r="Y6174" s="8"/>
    </row>
    <row r="6175" spans="1:25" x14ac:dyDescent="0.25">
      <c r="A6175" t="str">
        <f>"08-0381"</f>
        <v>08-0381</v>
      </c>
      <c r="D6175" s="8">
        <v>39601</v>
      </c>
      <c r="F6175" s="8">
        <v>39602</v>
      </c>
      <c r="G6175" s="8">
        <v>39601</v>
      </c>
      <c r="Y6175" s="8"/>
    </row>
    <row r="6176" spans="1:25" x14ac:dyDescent="0.25">
      <c r="A6176" t="str">
        <f>"08-0382"</f>
        <v>08-0382</v>
      </c>
      <c r="D6176" s="8">
        <v>39601</v>
      </c>
      <c r="F6176" s="8">
        <v>39604</v>
      </c>
      <c r="G6176" s="8">
        <v>39946</v>
      </c>
      <c r="Y6176" s="8"/>
    </row>
    <row r="6177" spans="1:25" x14ac:dyDescent="0.25">
      <c r="A6177" t="str">
        <f>"08-0383"</f>
        <v>08-0383</v>
      </c>
      <c r="D6177" s="8">
        <v>39601</v>
      </c>
      <c r="F6177" s="8">
        <v>39601</v>
      </c>
      <c r="G6177" s="8">
        <v>39609</v>
      </c>
      <c r="Y6177" s="8"/>
    </row>
    <row r="6178" spans="1:25" x14ac:dyDescent="0.25">
      <c r="A6178" t="str">
        <f>"08-0375"</f>
        <v>08-0375</v>
      </c>
      <c r="D6178" s="8">
        <v>39598</v>
      </c>
      <c r="F6178" s="8">
        <v>39608</v>
      </c>
      <c r="G6178" s="8">
        <v>39602</v>
      </c>
      <c r="Y6178" s="8"/>
    </row>
    <row r="6179" spans="1:25" x14ac:dyDescent="0.25">
      <c r="A6179" t="str">
        <f>"08-0376"</f>
        <v>08-0376</v>
      </c>
      <c r="D6179" s="8">
        <v>39598</v>
      </c>
      <c r="F6179" s="8">
        <v>39598</v>
      </c>
      <c r="G6179" s="8">
        <v>39598</v>
      </c>
      <c r="Y6179" s="8"/>
    </row>
    <row r="6180" spans="1:25" x14ac:dyDescent="0.25">
      <c r="A6180" t="str">
        <f>"08-0376B"</f>
        <v>08-0376B</v>
      </c>
      <c r="D6180" s="8">
        <v>39598</v>
      </c>
      <c r="F6180" s="8">
        <v>39598</v>
      </c>
      <c r="G6180" s="8">
        <v>39598</v>
      </c>
      <c r="Y6180" s="8"/>
    </row>
    <row r="6181" spans="1:25" x14ac:dyDescent="0.25">
      <c r="A6181" t="str">
        <f>"08-0377"</f>
        <v>08-0377</v>
      </c>
      <c r="D6181" s="8">
        <v>39598</v>
      </c>
      <c r="F6181" s="8">
        <v>39598</v>
      </c>
      <c r="G6181" s="8">
        <v>39598</v>
      </c>
      <c r="Y6181" s="8"/>
    </row>
    <row r="6182" spans="1:25" x14ac:dyDescent="0.25">
      <c r="A6182" t="str">
        <f>"08-0378"</f>
        <v>08-0378</v>
      </c>
      <c r="D6182" s="8">
        <v>39598</v>
      </c>
      <c r="F6182" s="8">
        <v>39598</v>
      </c>
      <c r="G6182" s="8">
        <v>39598</v>
      </c>
      <c r="Y6182" s="8"/>
    </row>
    <row r="6183" spans="1:25" x14ac:dyDescent="0.25">
      <c r="A6183" t="str">
        <f>"08-0225B"</f>
        <v>08-0225B</v>
      </c>
      <c r="D6183" s="8">
        <v>39597</v>
      </c>
      <c r="F6183" s="8">
        <v>39597</v>
      </c>
      <c r="G6183" s="8">
        <v>39597</v>
      </c>
      <c r="Y6183" s="8"/>
    </row>
    <row r="6184" spans="1:25" x14ac:dyDescent="0.25">
      <c r="A6184" t="str">
        <f>"08-0370"</f>
        <v>08-0370</v>
      </c>
      <c r="D6184" s="8">
        <v>39597</v>
      </c>
      <c r="F6184" s="8">
        <v>39597</v>
      </c>
      <c r="G6184" s="8">
        <v>39597</v>
      </c>
      <c r="Y6184" s="8"/>
    </row>
    <row r="6185" spans="1:25" x14ac:dyDescent="0.25">
      <c r="A6185" t="str">
        <f>"08-0371"</f>
        <v>08-0371</v>
      </c>
      <c r="D6185" s="8">
        <v>39597</v>
      </c>
      <c r="F6185" s="8">
        <v>39619</v>
      </c>
      <c r="G6185" s="8">
        <v>39597</v>
      </c>
      <c r="Y6185" s="8"/>
    </row>
    <row r="6186" spans="1:25" x14ac:dyDescent="0.25">
      <c r="A6186" t="str">
        <f>"08-0372"</f>
        <v>08-0372</v>
      </c>
      <c r="D6186" s="8">
        <v>39597</v>
      </c>
      <c r="F6186" s="8">
        <v>39597</v>
      </c>
      <c r="G6186" s="8">
        <v>39597</v>
      </c>
      <c r="Y6186" s="8"/>
    </row>
    <row r="6187" spans="1:25" x14ac:dyDescent="0.25">
      <c r="A6187" t="str">
        <f>"08-0373"</f>
        <v>08-0373</v>
      </c>
      <c r="D6187" s="8">
        <v>39597</v>
      </c>
      <c r="F6187" s="8">
        <v>39597</v>
      </c>
      <c r="G6187" s="8">
        <v>39598</v>
      </c>
      <c r="Y6187" s="8"/>
    </row>
    <row r="6188" spans="1:25" x14ac:dyDescent="0.25">
      <c r="A6188" t="str">
        <f>"08-0374"</f>
        <v>08-0374</v>
      </c>
      <c r="D6188" s="8">
        <v>39597</v>
      </c>
      <c r="F6188" s="8">
        <v>39603</v>
      </c>
      <c r="G6188" s="8">
        <v>39603</v>
      </c>
      <c r="Y6188" s="8"/>
    </row>
    <row r="6189" spans="1:25" x14ac:dyDescent="0.25">
      <c r="A6189" t="str">
        <f>"07-0365G"</f>
        <v>07-0365G</v>
      </c>
      <c r="D6189" s="8">
        <v>39596</v>
      </c>
      <c r="F6189" s="8">
        <v>39750</v>
      </c>
      <c r="G6189" s="8">
        <v>39598</v>
      </c>
      <c r="Y6189" s="8"/>
    </row>
    <row r="6190" spans="1:25" x14ac:dyDescent="0.25">
      <c r="A6190" t="str">
        <f>"08-0365"</f>
        <v>08-0365</v>
      </c>
      <c r="D6190" s="8">
        <v>39596</v>
      </c>
      <c r="F6190" s="8">
        <v>39596</v>
      </c>
      <c r="G6190" s="8">
        <v>39596</v>
      </c>
      <c r="Y6190" s="8"/>
    </row>
    <row r="6191" spans="1:25" x14ac:dyDescent="0.25">
      <c r="A6191" t="str">
        <f>"08-0366"</f>
        <v>08-0366</v>
      </c>
      <c r="D6191" s="8">
        <v>39596</v>
      </c>
      <c r="F6191" s="8">
        <v>39596</v>
      </c>
      <c r="G6191" s="8">
        <v>39596</v>
      </c>
      <c r="Y6191" s="8"/>
    </row>
    <row r="6192" spans="1:25" x14ac:dyDescent="0.25">
      <c r="A6192" t="str">
        <f>"08-0367"</f>
        <v>08-0367</v>
      </c>
      <c r="D6192" s="8">
        <v>39596</v>
      </c>
      <c r="F6192" s="8">
        <v>39596</v>
      </c>
      <c r="G6192" s="8">
        <v>39596</v>
      </c>
      <c r="Y6192" s="8"/>
    </row>
    <row r="6193" spans="1:25" x14ac:dyDescent="0.25">
      <c r="A6193" t="str">
        <f>"08-0368"</f>
        <v>08-0368</v>
      </c>
      <c r="D6193" s="8">
        <v>39596</v>
      </c>
      <c r="F6193" s="8">
        <v>39596</v>
      </c>
      <c r="G6193" s="8">
        <v>39596</v>
      </c>
      <c r="Y6193" s="8"/>
    </row>
    <row r="6194" spans="1:25" x14ac:dyDescent="0.25">
      <c r="A6194" t="str">
        <f>"08-0369"</f>
        <v>08-0369</v>
      </c>
      <c r="D6194" s="8">
        <v>39596</v>
      </c>
      <c r="F6194" s="8">
        <v>41151</v>
      </c>
      <c r="G6194" s="8">
        <v>39598</v>
      </c>
      <c r="Y6194" s="8"/>
    </row>
    <row r="6195" spans="1:25" x14ac:dyDescent="0.25">
      <c r="A6195" t="str">
        <f>"07-0931B"</f>
        <v>07-0931B</v>
      </c>
      <c r="D6195" s="8">
        <v>39595</v>
      </c>
      <c r="F6195" s="8">
        <v>39986</v>
      </c>
      <c r="G6195" s="8">
        <v>39595</v>
      </c>
      <c r="Y6195" s="8"/>
    </row>
    <row r="6196" spans="1:25" x14ac:dyDescent="0.25">
      <c r="A6196" t="str">
        <f>"08-0357"</f>
        <v>08-0357</v>
      </c>
      <c r="D6196" s="8">
        <v>39595</v>
      </c>
      <c r="F6196" s="8">
        <v>39595</v>
      </c>
      <c r="G6196" s="8">
        <v>39595</v>
      </c>
      <c r="Y6196" s="8"/>
    </row>
    <row r="6197" spans="1:25" x14ac:dyDescent="0.25">
      <c r="A6197" t="str">
        <f>"08-0358"</f>
        <v>08-0358</v>
      </c>
      <c r="D6197" s="8">
        <v>39595</v>
      </c>
      <c r="F6197" s="8">
        <v>39595</v>
      </c>
      <c r="G6197" s="8">
        <v>39595</v>
      </c>
      <c r="Y6197" s="8"/>
    </row>
    <row r="6198" spans="1:25" x14ac:dyDescent="0.25">
      <c r="A6198" t="str">
        <f>"08-0359"</f>
        <v>08-0359</v>
      </c>
      <c r="D6198" s="8">
        <v>39595</v>
      </c>
      <c r="F6198" s="8">
        <v>39595</v>
      </c>
      <c r="G6198" s="8">
        <v>39596</v>
      </c>
      <c r="Y6198" s="8"/>
    </row>
    <row r="6199" spans="1:25" x14ac:dyDescent="0.25">
      <c r="A6199" t="str">
        <f>"08-0360"</f>
        <v>08-0360</v>
      </c>
      <c r="D6199" s="8">
        <v>39595</v>
      </c>
      <c r="F6199" s="8">
        <v>39595</v>
      </c>
      <c r="G6199" s="8">
        <v>39595</v>
      </c>
      <c r="Y6199" s="8"/>
    </row>
    <row r="6200" spans="1:25" x14ac:dyDescent="0.25">
      <c r="A6200" t="str">
        <f>"08-0362"</f>
        <v>08-0362</v>
      </c>
      <c r="D6200" s="8">
        <v>39595</v>
      </c>
      <c r="F6200" s="8">
        <v>39595</v>
      </c>
      <c r="G6200" s="8">
        <v>39595</v>
      </c>
      <c r="Y6200" s="8"/>
    </row>
    <row r="6201" spans="1:25" x14ac:dyDescent="0.25">
      <c r="A6201" t="str">
        <f>"08-0363"</f>
        <v>08-0363</v>
      </c>
      <c r="D6201" s="8">
        <v>39595</v>
      </c>
      <c r="F6201" s="8">
        <v>39595</v>
      </c>
      <c r="G6201" s="8">
        <v>39595</v>
      </c>
      <c r="Y6201" s="8"/>
    </row>
    <row r="6202" spans="1:25" x14ac:dyDescent="0.25">
      <c r="A6202" t="str">
        <f>"08-0364"</f>
        <v>08-0364</v>
      </c>
      <c r="D6202" s="8">
        <v>39595</v>
      </c>
      <c r="F6202" s="8">
        <v>39595</v>
      </c>
      <c r="G6202" s="8">
        <v>39603</v>
      </c>
      <c r="Y6202" s="8"/>
    </row>
    <row r="6203" spans="1:25" x14ac:dyDescent="0.25">
      <c r="A6203" t="str">
        <f>"08-0353"</f>
        <v>08-0353</v>
      </c>
      <c r="D6203" s="8">
        <v>39594</v>
      </c>
      <c r="F6203" s="8">
        <v>39598</v>
      </c>
      <c r="G6203" s="8">
        <v>39594</v>
      </c>
      <c r="Y6203" s="8"/>
    </row>
    <row r="6204" spans="1:25" x14ac:dyDescent="0.25">
      <c r="A6204" t="str">
        <f>"08-0354"</f>
        <v>08-0354</v>
      </c>
      <c r="D6204" s="8">
        <v>39594</v>
      </c>
      <c r="F6204" s="8">
        <v>39596</v>
      </c>
      <c r="G6204" s="8">
        <v>39594</v>
      </c>
      <c r="Y6204" s="8"/>
    </row>
    <row r="6205" spans="1:25" x14ac:dyDescent="0.25">
      <c r="A6205" t="str">
        <f>"08-0355"</f>
        <v>08-0355</v>
      </c>
      <c r="D6205" s="8">
        <v>39594</v>
      </c>
      <c r="F6205" s="8">
        <v>39594</v>
      </c>
      <c r="G6205" s="8">
        <v>39594</v>
      </c>
      <c r="Y6205" s="8"/>
    </row>
    <row r="6206" spans="1:25" x14ac:dyDescent="0.25">
      <c r="A6206" t="str">
        <f>"08-0356"</f>
        <v>08-0356</v>
      </c>
      <c r="D6206" s="8">
        <v>39594</v>
      </c>
      <c r="F6206" s="8">
        <v>39594</v>
      </c>
      <c r="G6206" s="8">
        <v>39594</v>
      </c>
      <c r="Y6206" s="8"/>
    </row>
    <row r="6207" spans="1:25" x14ac:dyDescent="0.25">
      <c r="A6207" t="str">
        <f>"08-0352"</f>
        <v>08-0352</v>
      </c>
      <c r="D6207" s="8">
        <v>39591</v>
      </c>
      <c r="F6207" s="8">
        <v>39591</v>
      </c>
      <c r="G6207" s="8">
        <v>39591</v>
      </c>
      <c r="Y6207" s="8"/>
    </row>
    <row r="6208" spans="1:25" x14ac:dyDescent="0.25">
      <c r="A6208" t="str">
        <f>"08-0090C"</f>
        <v>08-0090C</v>
      </c>
      <c r="D6208" s="8">
        <v>39590</v>
      </c>
      <c r="F6208" s="8">
        <v>39793</v>
      </c>
      <c r="G6208" s="8">
        <v>39591</v>
      </c>
      <c r="Y6208" s="8"/>
    </row>
    <row r="6209" spans="1:25" x14ac:dyDescent="0.25">
      <c r="A6209" t="str">
        <f>"08-0343C"</f>
        <v>08-0343C</v>
      </c>
      <c r="D6209" s="8">
        <v>39590</v>
      </c>
      <c r="F6209" s="8">
        <v>39590</v>
      </c>
      <c r="G6209" s="8">
        <v>39590</v>
      </c>
      <c r="Y6209" s="8"/>
    </row>
    <row r="6210" spans="1:25" x14ac:dyDescent="0.25">
      <c r="A6210" t="str">
        <f>"08-0350"</f>
        <v>08-0350</v>
      </c>
      <c r="D6210" s="8">
        <v>39590</v>
      </c>
      <c r="F6210" s="8">
        <v>39590</v>
      </c>
      <c r="G6210" s="8">
        <v>39590</v>
      </c>
      <c r="Y6210" s="8"/>
    </row>
    <row r="6211" spans="1:25" x14ac:dyDescent="0.25">
      <c r="A6211" t="str">
        <f>"08-0351"</f>
        <v>08-0351</v>
      </c>
      <c r="D6211" s="8">
        <v>39590</v>
      </c>
      <c r="F6211" s="8">
        <v>39590</v>
      </c>
      <c r="G6211" s="8">
        <v>39590</v>
      </c>
      <c r="Y6211" s="8"/>
    </row>
    <row r="6212" spans="1:25" x14ac:dyDescent="0.25">
      <c r="A6212" t="str">
        <f>"08-0343B"</f>
        <v>08-0343B</v>
      </c>
      <c r="D6212" s="8">
        <v>39589</v>
      </c>
      <c r="F6212" s="8">
        <v>39589</v>
      </c>
      <c r="G6212" s="8">
        <v>39589</v>
      </c>
      <c r="Y6212" s="8"/>
    </row>
    <row r="6213" spans="1:25" x14ac:dyDescent="0.25">
      <c r="A6213" t="str">
        <f>"08-0345"</f>
        <v>08-0345</v>
      </c>
      <c r="D6213" s="8">
        <v>39589</v>
      </c>
      <c r="F6213" s="8">
        <v>39596</v>
      </c>
      <c r="G6213" s="8">
        <v>39589</v>
      </c>
      <c r="Y6213" s="8"/>
    </row>
    <row r="6214" spans="1:25" x14ac:dyDescent="0.25">
      <c r="A6214" t="str">
        <f>"08-0346"</f>
        <v>08-0346</v>
      </c>
      <c r="D6214" s="8">
        <v>39589</v>
      </c>
      <c r="F6214" s="8">
        <v>39589</v>
      </c>
      <c r="G6214" s="8">
        <v>39589</v>
      </c>
      <c r="Y6214" s="8"/>
    </row>
    <row r="6215" spans="1:25" x14ac:dyDescent="0.25">
      <c r="A6215" t="str">
        <f>"08-0347"</f>
        <v>08-0347</v>
      </c>
      <c r="D6215" s="8">
        <v>39589</v>
      </c>
      <c r="F6215" s="8">
        <v>39589</v>
      </c>
      <c r="G6215" s="8">
        <v>39589</v>
      </c>
      <c r="Y6215" s="8"/>
    </row>
    <row r="6216" spans="1:25" x14ac:dyDescent="0.25">
      <c r="A6216" t="str">
        <f>"08-0348"</f>
        <v>08-0348</v>
      </c>
      <c r="D6216" s="8">
        <v>39589</v>
      </c>
      <c r="F6216" s="8">
        <v>39594</v>
      </c>
      <c r="G6216" s="8">
        <v>39589</v>
      </c>
      <c r="Y6216" s="8"/>
    </row>
    <row r="6217" spans="1:25" x14ac:dyDescent="0.25">
      <c r="A6217" t="str">
        <f>"08-0349"</f>
        <v>08-0349</v>
      </c>
      <c r="D6217" s="8">
        <v>39589</v>
      </c>
      <c r="F6217" s="8">
        <v>39589</v>
      </c>
      <c r="G6217" s="8">
        <v>39589</v>
      </c>
      <c r="Y6217" s="8"/>
    </row>
    <row r="6218" spans="1:25" x14ac:dyDescent="0.25">
      <c r="A6218" t="str">
        <f>"08-0344"</f>
        <v>08-0344</v>
      </c>
      <c r="D6218" s="8">
        <v>39588</v>
      </c>
      <c r="F6218" s="8">
        <v>39588</v>
      </c>
      <c r="G6218" s="8">
        <v>39588</v>
      </c>
      <c r="Y6218" s="8"/>
    </row>
    <row r="6219" spans="1:25" x14ac:dyDescent="0.25">
      <c r="A6219" t="str">
        <f>"08-0001B"</f>
        <v>08-0001B</v>
      </c>
      <c r="D6219" s="8">
        <v>39587</v>
      </c>
      <c r="F6219" s="8">
        <v>39587</v>
      </c>
      <c r="G6219" s="8">
        <v>39587</v>
      </c>
      <c r="Y6219" s="8"/>
    </row>
    <row r="6220" spans="1:25" x14ac:dyDescent="0.25">
      <c r="A6220" t="str">
        <f>"08-0341"</f>
        <v>08-0341</v>
      </c>
      <c r="D6220" s="8">
        <v>39587</v>
      </c>
      <c r="F6220" s="8">
        <v>39587</v>
      </c>
      <c r="G6220" s="8">
        <v>39588</v>
      </c>
      <c r="Y6220" s="8"/>
    </row>
    <row r="6221" spans="1:25" x14ac:dyDescent="0.25">
      <c r="A6221" t="str">
        <f>"08-0342"</f>
        <v>08-0342</v>
      </c>
      <c r="D6221" s="8">
        <v>39587</v>
      </c>
      <c r="F6221" s="8">
        <v>39590</v>
      </c>
      <c r="G6221" s="8">
        <v>39587</v>
      </c>
      <c r="Y6221" s="8"/>
    </row>
    <row r="6222" spans="1:25" x14ac:dyDescent="0.25">
      <c r="A6222" t="str">
        <f>"08-0343"</f>
        <v>08-0343</v>
      </c>
      <c r="D6222" s="8">
        <v>39587</v>
      </c>
      <c r="F6222" s="8">
        <v>39588</v>
      </c>
      <c r="G6222" s="8">
        <v>39589</v>
      </c>
      <c r="Y6222" s="8"/>
    </row>
    <row r="6223" spans="1:25" x14ac:dyDescent="0.25">
      <c r="A6223" t="str">
        <f>"08-0284D"</f>
        <v>08-0284D</v>
      </c>
      <c r="D6223" s="8">
        <v>39584</v>
      </c>
      <c r="F6223" s="8">
        <v>39584</v>
      </c>
      <c r="G6223" s="8">
        <v>39584</v>
      </c>
      <c r="Y6223" s="8"/>
    </row>
    <row r="6224" spans="1:25" x14ac:dyDescent="0.25">
      <c r="A6224" t="str">
        <f>"08-0339"</f>
        <v>08-0339</v>
      </c>
      <c r="D6224" s="8">
        <v>39584</v>
      </c>
      <c r="F6224" s="8">
        <v>39584</v>
      </c>
      <c r="G6224" s="8">
        <v>39584</v>
      </c>
      <c r="Y6224" s="8"/>
    </row>
    <row r="6225" spans="1:25" x14ac:dyDescent="0.25">
      <c r="A6225" t="str">
        <f>"08-0340"</f>
        <v>08-0340</v>
      </c>
      <c r="D6225" s="8">
        <v>39584</v>
      </c>
      <c r="F6225" s="8">
        <v>39584</v>
      </c>
      <c r="G6225" s="8">
        <v>39584</v>
      </c>
      <c r="Y6225" s="8"/>
    </row>
    <row r="6226" spans="1:25" x14ac:dyDescent="0.25">
      <c r="A6226" t="str">
        <f>"08-0237C"</f>
        <v>08-0237C</v>
      </c>
      <c r="D6226" s="8">
        <v>39583</v>
      </c>
      <c r="F6226" s="8">
        <v>39583</v>
      </c>
      <c r="G6226" s="8">
        <v>39583</v>
      </c>
      <c r="Y6226" s="8"/>
    </row>
    <row r="6227" spans="1:25" x14ac:dyDescent="0.25">
      <c r="A6227" t="str">
        <f>"08-0284C"</f>
        <v>08-0284C</v>
      </c>
      <c r="D6227" s="8">
        <v>39583</v>
      </c>
      <c r="F6227" s="8">
        <v>39583</v>
      </c>
      <c r="G6227" s="8">
        <v>39583</v>
      </c>
      <c r="Y6227" s="8"/>
    </row>
    <row r="6228" spans="1:25" x14ac:dyDescent="0.25">
      <c r="A6228" t="str">
        <f>"08-0336"</f>
        <v>08-0336</v>
      </c>
      <c r="D6228" s="8">
        <v>39583</v>
      </c>
      <c r="F6228" s="8">
        <v>39583</v>
      </c>
      <c r="G6228" s="8">
        <v>39584</v>
      </c>
      <c r="Y6228" s="8"/>
    </row>
    <row r="6229" spans="1:25" x14ac:dyDescent="0.25">
      <c r="A6229" t="str">
        <f>"08-0337"</f>
        <v>08-0337</v>
      </c>
      <c r="D6229" s="8">
        <v>39583</v>
      </c>
      <c r="F6229" s="8">
        <v>39583</v>
      </c>
      <c r="G6229" s="8">
        <v>39583</v>
      </c>
      <c r="Y6229" s="8"/>
    </row>
    <row r="6230" spans="1:25" x14ac:dyDescent="0.25">
      <c r="A6230" t="str">
        <f>"08-0338"</f>
        <v>08-0338</v>
      </c>
      <c r="D6230" s="8">
        <v>39583</v>
      </c>
      <c r="F6230" s="8">
        <v>39583</v>
      </c>
      <c r="G6230" s="8">
        <v>39583</v>
      </c>
      <c r="Y6230" s="8"/>
    </row>
    <row r="6231" spans="1:25" x14ac:dyDescent="0.25">
      <c r="A6231" t="str">
        <f>"08-0333"</f>
        <v>08-0333</v>
      </c>
      <c r="D6231" s="8">
        <v>39582</v>
      </c>
      <c r="F6231" s="8">
        <v>39582</v>
      </c>
      <c r="G6231" s="8">
        <v>39582</v>
      </c>
      <c r="Y6231" s="8"/>
    </row>
    <row r="6232" spans="1:25" x14ac:dyDescent="0.25">
      <c r="A6232" t="str">
        <f>"08-0334"</f>
        <v>08-0334</v>
      </c>
      <c r="D6232" s="8">
        <v>39582</v>
      </c>
      <c r="F6232" s="8">
        <v>39605</v>
      </c>
      <c r="G6232" s="8">
        <v>39582</v>
      </c>
      <c r="Y6232" s="8"/>
    </row>
    <row r="6233" spans="1:25" x14ac:dyDescent="0.25">
      <c r="A6233" t="str">
        <f>"08-0335"</f>
        <v>08-0335</v>
      </c>
      <c r="D6233" s="8">
        <v>39582</v>
      </c>
      <c r="F6233" s="8">
        <v>39605</v>
      </c>
      <c r="G6233" s="8">
        <v>39582</v>
      </c>
      <c r="Y6233" s="8"/>
    </row>
    <row r="6234" spans="1:25" x14ac:dyDescent="0.25">
      <c r="A6234" t="str">
        <f>"08-0332"</f>
        <v>08-0332</v>
      </c>
      <c r="D6234" s="8">
        <v>39581</v>
      </c>
      <c r="F6234" s="8">
        <v>39581</v>
      </c>
      <c r="G6234" s="8">
        <v>39581</v>
      </c>
      <c r="Y6234" s="8"/>
    </row>
    <row r="6235" spans="1:25" x14ac:dyDescent="0.25">
      <c r="A6235" t="str">
        <f>"08-0331"</f>
        <v>08-0331</v>
      </c>
      <c r="D6235" s="8">
        <v>39580</v>
      </c>
      <c r="F6235" s="8">
        <v>39582</v>
      </c>
      <c r="G6235" s="8">
        <v>39583</v>
      </c>
      <c r="Y6235" s="8"/>
    </row>
    <row r="6236" spans="1:25" x14ac:dyDescent="0.25">
      <c r="A6236" t="str">
        <f>"08-0325"</f>
        <v>08-0325</v>
      </c>
      <c r="D6236" s="8">
        <v>39577</v>
      </c>
      <c r="F6236" s="8">
        <v>39577</v>
      </c>
      <c r="G6236" s="8">
        <v>39573</v>
      </c>
      <c r="Y6236" s="8"/>
    </row>
    <row r="6237" spans="1:25" x14ac:dyDescent="0.25">
      <c r="A6237" t="str">
        <f>"08-0326"</f>
        <v>08-0326</v>
      </c>
      <c r="D6237" s="8">
        <v>39577</v>
      </c>
      <c r="F6237" s="8">
        <v>39577</v>
      </c>
      <c r="G6237" s="8">
        <v>39577</v>
      </c>
      <c r="Y6237" s="8"/>
    </row>
    <row r="6238" spans="1:25" x14ac:dyDescent="0.25">
      <c r="A6238" t="str">
        <f>"08-0327"</f>
        <v>08-0327</v>
      </c>
      <c r="D6238" s="8">
        <v>39577</v>
      </c>
      <c r="F6238" s="8">
        <v>39597</v>
      </c>
      <c r="G6238" s="8">
        <v>39573</v>
      </c>
      <c r="Y6238" s="8"/>
    </row>
    <row r="6239" spans="1:25" x14ac:dyDescent="0.25">
      <c r="A6239" t="str">
        <f>"08-0328"</f>
        <v>08-0328</v>
      </c>
      <c r="D6239" s="8">
        <v>39577</v>
      </c>
      <c r="F6239" s="8">
        <v>39577</v>
      </c>
      <c r="G6239" s="8">
        <v>39578</v>
      </c>
      <c r="Y6239" s="8"/>
    </row>
    <row r="6240" spans="1:25" x14ac:dyDescent="0.25">
      <c r="A6240" t="str">
        <f>"08-0329"</f>
        <v>08-0329</v>
      </c>
      <c r="D6240" s="8">
        <v>39577</v>
      </c>
      <c r="F6240" s="8">
        <v>39580</v>
      </c>
      <c r="G6240" s="8">
        <v>39578</v>
      </c>
      <c r="Y6240" s="8"/>
    </row>
    <row r="6241" spans="1:25" x14ac:dyDescent="0.25">
      <c r="A6241" t="str">
        <f>"08-0330"</f>
        <v>08-0330</v>
      </c>
      <c r="D6241" s="8">
        <v>39577</v>
      </c>
      <c r="F6241" s="8">
        <v>39590</v>
      </c>
      <c r="G6241" s="8">
        <v>39584</v>
      </c>
      <c r="Y6241" s="8"/>
    </row>
    <row r="6242" spans="1:25" x14ac:dyDescent="0.25">
      <c r="A6242" t="str">
        <f>"08-0321"</f>
        <v>08-0321</v>
      </c>
      <c r="D6242" s="8">
        <v>39575</v>
      </c>
      <c r="F6242" s="8">
        <v>39575</v>
      </c>
      <c r="G6242" s="8">
        <v>39578</v>
      </c>
      <c r="Y6242" s="8"/>
    </row>
    <row r="6243" spans="1:25" x14ac:dyDescent="0.25">
      <c r="A6243" t="str">
        <f>"08-0322"</f>
        <v>08-0322</v>
      </c>
      <c r="D6243" s="8">
        <v>39575</v>
      </c>
      <c r="F6243" s="8">
        <v>39577</v>
      </c>
      <c r="G6243" s="8">
        <v>39589</v>
      </c>
      <c r="Y6243" s="8"/>
    </row>
    <row r="6244" spans="1:25" x14ac:dyDescent="0.25">
      <c r="A6244" t="str">
        <f>"08-0323"</f>
        <v>08-0323</v>
      </c>
      <c r="D6244" s="8">
        <v>39575</v>
      </c>
      <c r="F6244" s="8">
        <v>39575</v>
      </c>
      <c r="G6244" s="8">
        <v>39575</v>
      </c>
      <c r="Y6244" s="8"/>
    </row>
    <row r="6245" spans="1:25" x14ac:dyDescent="0.25">
      <c r="A6245" t="str">
        <f>"08-0324"</f>
        <v>08-0324</v>
      </c>
      <c r="D6245" s="8">
        <v>39575</v>
      </c>
      <c r="F6245" s="8">
        <v>39575</v>
      </c>
      <c r="G6245" s="8">
        <v>39575</v>
      </c>
      <c r="Y6245" s="8"/>
    </row>
    <row r="6246" spans="1:25" x14ac:dyDescent="0.25">
      <c r="A6246" t="str">
        <f>"08-0315"</f>
        <v>08-0315</v>
      </c>
      <c r="D6246" s="8">
        <v>39574</v>
      </c>
      <c r="F6246" s="8">
        <v>39875</v>
      </c>
      <c r="G6246" s="8">
        <v>39584</v>
      </c>
      <c r="Y6246" s="8"/>
    </row>
    <row r="6247" spans="1:25" x14ac:dyDescent="0.25">
      <c r="A6247" t="str">
        <f>"08-0316"</f>
        <v>08-0316</v>
      </c>
      <c r="D6247" s="8">
        <v>39574</v>
      </c>
      <c r="F6247" s="8">
        <v>39574</v>
      </c>
      <c r="G6247" s="8">
        <v>39933</v>
      </c>
      <c r="Y6247" s="8"/>
    </row>
    <row r="6248" spans="1:25" x14ac:dyDescent="0.25">
      <c r="A6248" t="str">
        <f>"08-0317"</f>
        <v>08-0317</v>
      </c>
      <c r="D6248" s="8">
        <v>39574</v>
      </c>
      <c r="F6248" s="8">
        <v>39583</v>
      </c>
      <c r="G6248" s="8">
        <v>39575</v>
      </c>
      <c r="Y6248" s="8"/>
    </row>
    <row r="6249" spans="1:25" x14ac:dyDescent="0.25">
      <c r="A6249" t="str">
        <f>"08-0318"</f>
        <v>08-0318</v>
      </c>
      <c r="D6249" s="8">
        <v>39574</v>
      </c>
      <c r="F6249" s="8">
        <v>39574</v>
      </c>
      <c r="G6249" s="8">
        <v>39574</v>
      </c>
      <c r="Y6249" s="8"/>
    </row>
    <row r="6250" spans="1:25" x14ac:dyDescent="0.25">
      <c r="A6250" t="str">
        <f>"08-0319"</f>
        <v>08-0319</v>
      </c>
      <c r="D6250" s="8">
        <v>39574</v>
      </c>
      <c r="F6250" s="8">
        <v>39574</v>
      </c>
      <c r="G6250" s="8">
        <v>39574</v>
      </c>
      <c r="Y6250" s="8"/>
    </row>
    <row r="6251" spans="1:25" x14ac:dyDescent="0.25">
      <c r="A6251" t="str">
        <f>"08-0320"</f>
        <v>08-0320</v>
      </c>
      <c r="D6251" s="8">
        <v>39574</v>
      </c>
      <c r="F6251" s="8">
        <v>39574</v>
      </c>
      <c r="G6251" s="8">
        <v>39598</v>
      </c>
      <c r="Y6251" s="8"/>
    </row>
    <row r="6252" spans="1:25" x14ac:dyDescent="0.25">
      <c r="A6252" t="str">
        <f>"08-0049B"</f>
        <v>08-0049B</v>
      </c>
      <c r="D6252" s="8">
        <v>39573</v>
      </c>
      <c r="F6252" s="8">
        <v>39573</v>
      </c>
      <c r="G6252" s="8">
        <v>39573</v>
      </c>
      <c r="Y6252" s="8"/>
    </row>
    <row r="6253" spans="1:25" x14ac:dyDescent="0.25">
      <c r="A6253" t="str">
        <f>"08-0270B"</f>
        <v>08-0270B</v>
      </c>
      <c r="D6253" s="8">
        <v>39573</v>
      </c>
      <c r="F6253" s="8">
        <v>39573</v>
      </c>
      <c r="G6253" s="8">
        <v>39573</v>
      </c>
      <c r="Y6253" s="8"/>
    </row>
    <row r="6254" spans="1:25" x14ac:dyDescent="0.25">
      <c r="A6254" t="str">
        <f>"08-0312"</f>
        <v>08-0312</v>
      </c>
      <c r="D6254" s="8">
        <v>39573</v>
      </c>
      <c r="F6254" s="8">
        <v>39573</v>
      </c>
      <c r="G6254" s="8">
        <v>39576</v>
      </c>
      <c r="Y6254" s="8"/>
    </row>
    <row r="6255" spans="1:25" x14ac:dyDescent="0.25">
      <c r="A6255" t="str">
        <f>"08-0313"</f>
        <v>08-0313</v>
      </c>
      <c r="D6255" s="8">
        <v>39573</v>
      </c>
      <c r="F6255" s="8">
        <v>39573</v>
      </c>
      <c r="G6255" s="8">
        <v>39583</v>
      </c>
      <c r="Y6255" s="8"/>
    </row>
    <row r="6256" spans="1:25" x14ac:dyDescent="0.25">
      <c r="A6256" t="str">
        <f>"08-0314"</f>
        <v>08-0314</v>
      </c>
      <c r="D6256" s="8">
        <v>39573</v>
      </c>
      <c r="F6256" s="8">
        <v>39591</v>
      </c>
      <c r="G6256" s="8">
        <v>39581</v>
      </c>
      <c r="Y6256" s="8"/>
    </row>
    <row r="6257" spans="1:25" x14ac:dyDescent="0.25">
      <c r="A6257" t="str">
        <f>"08-0311"</f>
        <v>08-0311</v>
      </c>
      <c r="D6257" s="8">
        <v>39570</v>
      </c>
      <c r="F6257" s="8">
        <v>39570</v>
      </c>
      <c r="G6257" s="8">
        <v>39576</v>
      </c>
      <c r="Y6257" s="8"/>
    </row>
    <row r="6258" spans="1:25" x14ac:dyDescent="0.25">
      <c r="A6258" t="str">
        <f>"08-0307"</f>
        <v>08-0307</v>
      </c>
      <c r="D6258" s="8">
        <v>39568</v>
      </c>
      <c r="F6258" s="8">
        <v>39568</v>
      </c>
      <c r="G6258" s="8">
        <v>39575</v>
      </c>
      <c r="Y6258" s="8"/>
    </row>
    <row r="6259" spans="1:25" x14ac:dyDescent="0.25">
      <c r="A6259" t="str">
        <f>"08-0308"</f>
        <v>08-0308</v>
      </c>
      <c r="D6259" s="8">
        <v>39568</v>
      </c>
      <c r="F6259" s="8">
        <v>39568</v>
      </c>
      <c r="G6259" s="8">
        <v>39568</v>
      </c>
      <c r="Y6259" s="8"/>
    </row>
    <row r="6260" spans="1:25" x14ac:dyDescent="0.25">
      <c r="A6260" t="str">
        <f>"08-0309"</f>
        <v>08-0309</v>
      </c>
      <c r="D6260" s="8">
        <v>39568</v>
      </c>
      <c r="F6260" s="8">
        <v>39568</v>
      </c>
      <c r="G6260" s="8">
        <v>39568</v>
      </c>
      <c r="Y6260" s="8"/>
    </row>
    <row r="6261" spans="1:25" x14ac:dyDescent="0.25">
      <c r="A6261" t="str">
        <f>"08-0310"</f>
        <v>08-0310</v>
      </c>
      <c r="D6261" s="8">
        <v>39568</v>
      </c>
      <c r="F6261" s="8">
        <v>39605</v>
      </c>
      <c r="G6261" s="8">
        <v>39573</v>
      </c>
      <c r="Y6261" s="8"/>
    </row>
    <row r="6262" spans="1:25" x14ac:dyDescent="0.25">
      <c r="A6262" t="str">
        <f>"08-0127B"</f>
        <v>08-0127B</v>
      </c>
      <c r="D6262" s="8">
        <v>39567</v>
      </c>
      <c r="F6262" s="8">
        <v>39567</v>
      </c>
      <c r="G6262" s="8">
        <v>39567</v>
      </c>
      <c r="Y6262" s="8"/>
    </row>
    <row r="6263" spans="1:25" x14ac:dyDescent="0.25">
      <c r="A6263" t="str">
        <f>"08-0299"</f>
        <v>08-0299</v>
      </c>
      <c r="D6263" s="8">
        <v>39567</v>
      </c>
      <c r="F6263" s="8">
        <v>39567</v>
      </c>
      <c r="G6263" s="8">
        <v>39567</v>
      </c>
      <c r="Y6263" s="8"/>
    </row>
    <row r="6264" spans="1:25" x14ac:dyDescent="0.25">
      <c r="A6264" t="str">
        <f>"08-0300"</f>
        <v>08-0300</v>
      </c>
      <c r="D6264" s="8">
        <v>39567</v>
      </c>
      <c r="F6264" s="8">
        <v>39567</v>
      </c>
      <c r="G6264" s="8">
        <v>39567</v>
      </c>
      <c r="Y6264" s="8"/>
    </row>
    <row r="6265" spans="1:25" x14ac:dyDescent="0.25">
      <c r="A6265" t="str">
        <f>"08-0301"</f>
        <v>08-0301</v>
      </c>
      <c r="D6265" s="8">
        <v>39567</v>
      </c>
      <c r="F6265" s="8">
        <v>39567</v>
      </c>
      <c r="G6265" s="8">
        <v>39568</v>
      </c>
      <c r="Y6265" s="8"/>
    </row>
    <row r="6266" spans="1:25" x14ac:dyDescent="0.25">
      <c r="A6266" t="str">
        <f>"08-0302"</f>
        <v>08-0302</v>
      </c>
      <c r="D6266" s="8">
        <v>39567</v>
      </c>
      <c r="F6266" s="8">
        <v>39567</v>
      </c>
      <c r="G6266" s="8">
        <v>39541</v>
      </c>
      <c r="Y6266" s="8"/>
    </row>
    <row r="6267" spans="1:25" x14ac:dyDescent="0.25">
      <c r="A6267" t="str">
        <f>"08-0303"</f>
        <v>08-0303</v>
      </c>
      <c r="D6267" s="8">
        <v>39567</v>
      </c>
      <c r="F6267" s="8">
        <v>39567</v>
      </c>
      <c r="G6267" s="8">
        <v>39567</v>
      </c>
      <c r="Y6267" s="8"/>
    </row>
    <row r="6268" spans="1:25" x14ac:dyDescent="0.25">
      <c r="A6268" t="str">
        <f>"08-0304"</f>
        <v>08-0304</v>
      </c>
      <c r="D6268" s="8">
        <v>39567</v>
      </c>
      <c r="F6268" s="8">
        <v>39567</v>
      </c>
      <c r="G6268" s="8">
        <v>39568</v>
      </c>
      <c r="Y6268" s="8"/>
    </row>
    <row r="6269" spans="1:25" x14ac:dyDescent="0.25">
      <c r="A6269" t="str">
        <f>"08-0305"</f>
        <v>08-0305</v>
      </c>
      <c r="D6269" s="8">
        <v>39567</v>
      </c>
      <c r="F6269" s="8">
        <v>39567</v>
      </c>
      <c r="G6269" s="8">
        <v>39568</v>
      </c>
      <c r="Y6269" s="8"/>
    </row>
    <row r="6270" spans="1:25" x14ac:dyDescent="0.25">
      <c r="A6270" t="str">
        <f>"08-0306"</f>
        <v>08-0306</v>
      </c>
      <c r="D6270" s="8">
        <v>39567</v>
      </c>
      <c r="F6270" s="8">
        <v>39567</v>
      </c>
      <c r="G6270" s="8">
        <v>39568</v>
      </c>
      <c r="Y6270" s="8"/>
    </row>
    <row r="6271" spans="1:25" x14ac:dyDescent="0.25">
      <c r="A6271" t="str">
        <f>"08-0296"</f>
        <v>08-0296</v>
      </c>
      <c r="D6271" s="8">
        <v>39566</v>
      </c>
      <c r="F6271" s="8">
        <v>39566</v>
      </c>
      <c r="G6271" s="8">
        <v>39566</v>
      </c>
      <c r="Y6271" s="8"/>
    </row>
    <row r="6272" spans="1:25" x14ac:dyDescent="0.25">
      <c r="A6272" t="str">
        <f>"08-0297"</f>
        <v>08-0297</v>
      </c>
      <c r="D6272" s="8">
        <v>39566</v>
      </c>
      <c r="F6272" s="8">
        <v>39566</v>
      </c>
      <c r="G6272" s="8">
        <v>39566</v>
      </c>
      <c r="Y6272" s="8"/>
    </row>
    <row r="6273" spans="1:25" x14ac:dyDescent="0.25">
      <c r="A6273" t="str">
        <f>"08-0298"</f>
        <v>08-0298</v>
      </c>
      <c r="D6273" s="8">
        <v>39566</v>
      </c>
      <c r="F6273" s="8">
        <v>39574</v>
      </c>
      <c r="G6273" s="8">
        <v>39566</v>
      </c>
      <c r="Y6273" s="8"/>
    </row>
    <row r="6274" spans="1:25" x14ac:dyDescent="0.25">
      <c r="A6274" t="str">
        <f>"08-0295"</f>
        <v>08-0295</v>
      </c>
      <c r="D6274" s="8">
        <v>39563</v>
      </c>
      <c r="F6274" s="8">
        <v>39563</v>
      </c>
      <c r="G6274" s="8">
        <v>39563</v>
      </c>
      <c r="Y6274" s="8"/>
    </row>
    <row r="6275" spans="1:25" x14ac:dyDescent="0.25">
      <c r="A6275" t="str">
        <f>"08-0284B"</f>
        <v>08-0284B</v>
      </c>
      <c r="D6275" s="8">
        <v>39562</v>
      </c>
      <c r="F6275" s="8">
        <v>39562</v>
      </c>
      <c r="G6275" s="8">
        <v>39562</v>
      </c>
      <c r="Y6275" s="8"/>
    </row>
    <row r="6276" spans="1:25" x14ac:dyDescent="0.25">
      <c r="A6276" t="str">
        <f>"08-0291B"</f>
        <v>08-0291B</v>
      </c>
      <c r="D6276" s="8">
        <v>39562</v>
      </c>
      <c r="F6276" s="8">
        <v>39562</v>
      </c>
      <c r="G6276" s="8">
        <v>39562</v>
      </c>
      <c r="Y6276" s="8"/>
    </row>
    <row r="6277" spans="1:25" x14ac:dyDescent="0.25">
      <c r="A6277" t="str">
        <f>"08-0291C"</f>
        <v>08-0291C</v>
      </c>
      <c r="D6277" s="8">
        <v>39562</v>
      </c>
      <c r="F6277" s="8">
        <v>39562</v>
      </c>
      <c r="G6277" s="8">
        <v>39562</v>
      </c>
      <c r="Y6277" s="8"/>
    </row>
    <row r="6278" spans="1:25" x14ac:dyDescent="0.25">
      <c r="A6278" t="str">
        <f>"08-0293"</f>
        <v>08-0293</v>
      </c>
      <c r="D6278" s="8">
        <v>39562</v>
      </c>
      <c r="F6278" s="8">
        <v>39562</v>
      </c>
      <c r="G6278" s="8">
        <v>39568</v>
      </c>
      <c r="Y6278" s="8"/>
    </row>
    <row r="6279" spans="1:25" x14ac:dyDescent="0.25">
      <c r="A6279" t="str">
        <f>"08-0294"</f>
        <v>08-0294</v>
      </c>
      <c r="D6279" s="8">
        <v>39562</v>
      </c>
      <c r="F6279" s="8">
        <v>39562</v>
      </c>
      <c r="G6279" s="8">
        <v>39562</v>
      </c>
      <c r="Y6279" s="8"/>
    </row>
    <row r="6280" spans="1:25" x14ac:dyDescent="0.25">
      <c r="A6280" t="str">
        <f>"08-0291"</f>
        <v>08-0291</v>
      </c>
      <c r="D6280" s="8">
        <v>39561</v>
      </c>
      <c r="F6280" s="8">
        <v>39561</v>
      </c>
      <c r="G6280" s="8">
        <v>39561</v>
      </c>
      <c r="Y6280" s="8"/>
    </row>
    <row r="6281" spans="1:25" x14ac:dyDescent="0.25">
      <c r="A6281" t="str">
        <f>"08-0292"</f>
        <v>08-0292</v>
      </c>
      <c r="D6281" s="8">
        <v>39561</v>
      </c>
      <c r="F6281" s="8">
        <v>39561</v>
      </c>
      <c r="G6281" s="8">
        <v>39561</v>
      </c>
      <c r="Y6281" s="8"/>
    </row>
    <row r="6282" spans="1:25" x14ac:dyDescent="0.25">
      <c r="A6282" t="str">
        <f>"08-0285"</f>
        <v>08-0285</v>
      </c>
      <c r="D6282" s="8">
        <v>39560</v>
      </c>
      <c r="F6282" s="8">
        <v>39560</v>
      </c>
      <c r="G6282" s="8">
        <v>39561</v>
      </c>
      <c r="Y6282" s="8"/>
    </row>
    <row r="6283" spans="1:25" x14ac:dyDescent="0.25">
      <c r="A6283" t="str">
        <f>"08-0286"</f>
        <v>08-0286</v>
      </c>
      <c r="D6283" s="8">
        <v>39560</v>
      </c>
      <c r="F6283" s="8">
        <v>39560</v>
      </c>
      <c r="G6283" s="8">
        <v>39562</v>
      </c>
      <c r="Y6283" s="8"/>
    </row>
    <row r="6284" spans="1:25" x14ac:dyDescent="0.25">
      <c r="A6284" t="str">
        <f>"08-0287"</f>
        <v>08-0287</v>
      </c>
      <c r="D6284" s="8">
        <v>39560</v>
      </c>
      <c r="F6284" s="8">
        <v>39560</v>
      </c>
      <c r="G6284" s="8">
        <v>39562</v>
      </c>
      <c r="Y6284" s="8"/>
    </row>
    <row r="6285" spans="1:25" x14ac:dyDescent="0.25">
      <c r="A6285" t="str">
        <f>"08-0288"</f>
        <v>08-0288</v>
      </c>
      <c r="D6285" s="8">
        <v>39560</v>
      </c>
      <c r="F6285" s="8">
        <v>39566</v>
      </c>
      <c r="G6285" s="8">
        <v>39560</v>
      </c>
      <c r="Y6285" s="8"/>
    </row>
    <row r="6286" spans="1:25" x14ac:dyDescent="0.25">
      <c r="A6286" t="str">
        <f>"08-0289"</f>
        <v>08-0289</v>
      </c>
      <c r="D6286" s="8">
        <v>39560</v>
      </c>
      <c r="F6286" s="8">
        <v>39560</v>
      </c>
      <c r="G6286" s="8">
        <v>39559</v>
      </c>
      <c r="Y6286" s="8"/>
    </row>
    <row r="6287" spans="1:25" x14ac:dyDescent="0.25">
      <c r="A6287" t="str">
        <f>"08-0290"</f>
        <v>08-0290</v>
      </c>
      <c r="D6287" s="8">
        <v>39560</v>
      </c>
      <c r="F6287" s="8">
        <v>39560</v>
      </c>
      <c r="G6287" s="8">
        <v>39562</v>
      </c>
      <c r="Y6287" s="8"/>
    </row>
    <row r="6288" spans="1:25" x14ac:dyDescent="0.25">
      <c r="A6288" t="str">
        <f>"08-0237B"</f>
        <v>08-0237B</v>
      </c>
      <c r="D6288" s="8">
        <v>39559</v>
      </c>
      <c r="F6288" s="8">
        <v>39559</v>
      </c>
      <c r="G6288" s="8">
        <v>39560</v>
      </c>
      <c r="Y6288" s="8"/>
    </row>
    <row r="6289" spans="1:25" x14ac:dyDescent="0.25">
      <c r="A6289" t="str">
        <f>"08-0269"</f>
        <v>08-0269</v>
      </c>
      <c r="D6289" s="8">
        <v>39559</v>
      </c>
      <c r="F6289" s="8">
        <v>39560</v>
      </c>
      <c r="G6289" s="8">
        <v>39557</v>
      </c>
      <c r="Y6289" s="8"/>
    </row>
    <row r="6290" spans="1:25" x14ac:dyDescent="0.25">
      <c r="A6290" t="str">
        <f>"08-0284"</f>
        <v>08-0284</v>
      </c>
      <c r="D6290" s="8">
        <v>39559</v>
      </c>
      <c r="F6290" s="8">
        <v>39560</v>
      </c>
      <c r="G6290" s="8">
        <v>39559</v>
      </c>
      <c r="Y6290" s="8"/>
    </row>
    <row r="6291" spans="1:25" x14ac:dyDescent="0.25">
      <c r="A6291" t="str">
        <f>"08-0282"</f>
        <v>08-0282</v>
      </c>
      <c r="D6291" s="8">
        <v>39556</v>
      </c>
      <c r="F6291" s="8">
        <v>39556</v>
      </c>
      <c r="G6291" s="8">
        <v>39556</v>
      </c>
      <c r="Y6291" s="8"/>
    </row>
    <row r="6292" spans="1:25" x14ac:dyDescent="0.25">
      <c r="A6292" t="str">
        <f>"08-0283"</f>
        <v>08-0283</v>
      </c>
      <c r="D6292" s="8">
        <v>39556</v>
      </c>
      <c r="F6292" s="8">
        <v>39559</v>
      </c>
      <c r="G6292" s="8">
        <v>39561</v>
      </c>
      <c r="Y6292" s="8"/>
    </row>
    <row r="6293" spans="1:25" x14ac:dyDescent="0.25">
      <c r="A6293" t="str">
        <f>"08-0277"</f>
        <v>08-0277</v>
      </c>
      <c r="D6293" s="8">
        <v>39555</v>
      </c>
      <c r="F6293" s="8">
        <v>39555</v>
      </c>
      <c r="G6293" s="8">
        <v>39563</v>
      </c>
      <c r="Y6293" s="8"/>
    </row>
    <row r="6294" spans="1:25" x14ac:dyDescent="0.25">
      <c r="A6294" t="str">
        <f>"08-0278"</f>
        <v>08-0278</v>
      </c>
      <c r="D6294" s="8">
        <v>39555</v>
      </c>
      <c r="F6294" s="8">
        <v>39555</v>
      </c>
      <c r="G6294" s="8">
        <v>39555</v>
      </c>
      <c r="Y6294" s="8"/>
    </row>
    <row r="6295" spans="1:25" x14ac:dyDescent="0.25">
      <c r="A6295" t="str">
        <f>"08-0279"</f>
        <v>08-0279</v>
      </c>
      <c r="D6295" s="8">
        <v>39555</v>
      </c>
      <c r="F6295" s="8">
        <v>39555</v>
      </c>
      <c r="G6295" s="8">
        <v>39555</v>
      </c>
      <c r="Y6295" s="8"/>
    </row>
    <row r="6296" spans="1:25" x14ac:dyDescent="0.25">
      <c r="A6296" t="str">
        <f>"08-0280"</f>
        <v>08-0280</v>
      </c>
      <c r="D6296" s="8">
        <v>39555</v>
      </c>
      <c r="F6296" s="8">
        <v>39562</v>
      </c>
      <c r="G6296" s="8">
        <v>39562</v>
      </c>
      <c r="Y6296" s="8"/>
    </row>
    <row r="6297" spans="1:25" x14ac:dyDescent="0.25">
      <c r="A6297" t="str">
        <f>"08-0281"</f>
        <v>08-0281</v>
      </c>
      <c r="D6297" s="8">
        <v>39555</v>
      </c>
      <c r="F6297" s="8">
        <v>39555</v>
      </c>
      <c r="G6297" s="8">
        <v>39556</v>
      </c>
      <c r="Y6297" s="8"/>
    </row>
    <row r="6298" spans="1:25" x14ac:dyDescent="0.25">
      <c r="A6298" t="str">
        <f>"08-0273"</f>
        <v>08-0273</v>
      </c>
      <c r="D6298" s="8">
        <v>39554</v>
      </c>
      <c r="F6298" s="8">
        <v>39562</v>
      </c>
      <c r="G6298" s="8">
        <v>39560</v>
      </c>
      <c r="Y6298" s="8"/>
    </row>
    <row r="6299" spans="1:25" x14ac:dyDescent="0.25">
      <c r="A6299" t="str">
        <f>"08-0274"</f>
        <v>08-0274</v>
      </c>
      <c r="D6299" s="8">
        <v>39554</v>
      </c>
      <c r="F6299" s="8">
        <v>39554</v>
      </c>
      <c r="G6299" s="8">
        <v>39552</v>
      </c>
      <c r="Y6299" s="8"/>
    </row>
    <row r="6300" spans="1:25" x14ac:dyDescent="0.25">
      <c r="A6300" t="str">
        <f>"08-0275"</f>
        <v>08-0275</v>
      </c>
      <c r="D6300" s="8">
        <v>39554</v>
      </c>
      <c r="F6300" s="8">
        <v>39583</v>
      </c>
      <c r="G6300" s="8">
        <v>39554</v>
      </c>
      <c r="Y6300" s="8"/>
    </row>
    <row r="6301" spans="1:25" x14ac:dyDescent="0.25">
      <c r="A6301" t="str">
        <f>"08-0276"</f>
        <v>08-0276</v>
      </c>
      <c r="D6301" s="8">
        <v>39554</v>
      </c>
      <c r="F6301" s="8">
        <v>39554</v>
      </c>
      <c r="G6301" s="8">
        <v>39563</v>
      </c>
      <c r="Y6301" s="8"/>
    </row>
    <row r="6302" spans="1:25" x14ac:dyDescent="0.25">
      <c r="A6302" t="str">
        <f>"08-0268"</f>
        <v>08-0268</v>
      </c>
      <c r="D6302" s="8">
        <v>39553</v>
      </c>
      <c r="F6302" s="8">
        <v>39553</v>
      </c>
      <c r="G6302" s="8">
        <v>39566</v>
      </c>
      <c r="Y6302" s="8"/>
    </row>
    <row r="6303" spans="1:25" x14ac:dyDescent="0.25">
      <c r="A6303" t="str">
        <f>"08-0270"</f>
        <v>08-0270</v>
      </c>
      <c r="D6303" s="8">
        <v>39553</v>
      </c>
      <c r="F6303" s="8">
        <v>39560</v>
      </c>
      <c r="G6303" s="8">
        <v>39554</v>
      </c>
      <c r="Y6303" s="8"/>
    </row>
    <row r="6304" spans="1:25" x14ac:dyDescent="0.25">
      <c r="A6304" t="str">
        <f>"08-0271"</f>
        <v>08-0271</v>
      </c>
      <c r="D6304" s="8">
        <v>39553</v>
      </c>
      <c r="F6304" s="8">
        <v>39553</v>
      </c>
      <c r="G6304" s="8">
        <v>39554</v>
      </c>
      <c r="Y6304" s="8"/>
    </row>
    <row r="6305" spans="1:25" x14ac:dyDescent="0.25">
      <c r="A6305" t="str">
        <f>"08-0272"</f>
        <v>08-0272</v>
      </c>
      <c r="D6305" s="8">
        <v>39553</v>
      </c>
      <c r="F6305" s="8">
        <v>39562</v>
      </c>
      <c r="G6305" s="8">
        <v>39553</v>
      </c>
      <c r="Y6305" s="8"/>
    </row>
    <row r="6306" spans="1:25" x14ac:dyDescent="0.25">
      <c r="A6306" t="str">
        <f>"08-0263"</f>
        <v>08-0263</v>
      </c>
      <c r="D6306" s="8">
        <v>39549</v>
      </c>
      <c r="F6306" s="8">
        <v>39549</v>
      </c>
      <c r="G6306" s="8">
        <v>39549</v>
      </c>
      <c r="Y6306" s="8"/>
    </row>
    <row r="6307" spans="1:25" x14ac:dyDescent="0.25">
      <c r="A6307" t="str">
        <f>"08-0264"</f>
        <v>08-0264</v>
      </c>
      <c r="D6307" s="8">
        <v>39549</v>
      </c>
      <c r="G6307" s="8">
        <v>39552</v>
      </c>
    </row>
    <row r="6308" spans="1:25" x14ac:dyDescent="0.25">
      <c r="A6308" t="str">
        <f>"08-0265"</f>
        <v>08-0265</v>
      </c>
      <c r="D6308" s="8">
        <v>39549</v>
      </c>
      <c r="F6308" s="8">
        <v>39549</v>
      </c>
      <c r="G6308" s="8">
        <v>39549</v>
      </c>
      <c r="Y6308" s="8"/>
    </row>
    <row r="6309" spans="1:25" x14ac:dyDescent="0.25">
      <c r="A6309" t="str">
        <f>"08-0266"</f>
        <v>08-0266</v>
      </c>
      <c r="D6309" s="8">
        <v>39549</v>
      </c>
      <c r="F6309" s="8">
        <v>39566</v>
      </c>
      <c r="G6309" s="8">
        <v>39556</v>
      </c>
      <c r="Y6309" s="8"/>
    </row>
    <row r="6310" spans="1:25" x14ac:dyDescent="0.25">
      <c r="A6310" t="str">
        <f>"07-701C"</f>
        <v>07-701C</v>
      </c>
      <c r="D6310" s="8">
        <v>39548</v>
      </c>
      <c r="F6310" s="8">
        <v>39595</v>
      </c>
      <c r="G6310" s="8">
        <v>39549</v>
      </c>
      <c r="Y6310" s="8"/>
    </row>
    <row r="6311" spans="1:25" x14ac:dyDescent="0.25">
      <c r="A6311" t="str">
        <f>"08-0260"</f>
        <v>08-0260</v>
      </c>
      <c r="D6311" s="8">
        <v>39548</v>
      </c>
      <c r="F6311" s="8">
        <v>39548</v>
      </c>
      <c r="G6311" s="8">
        <v>39548</v>
      </c>
      <c r="Y6311" s="8"/>
    </row>
    <row r="6312" spans="1:25" x14ac:dyDescent="0.25">
      <c r="A6312" t="str">
        <f>"08-0262"</f>
        <v>08-0262</v>
      </c>
      <c r="D6312" s="8">
        <v>39548</v>
      </c>
      <c r="F6312" s="8">
        <v>39548</v>
      </c>
      <c r="G6312" s="8">
        <v>39549</v>
      </c>
      <c r="Y6312" s="8"/>
    </row>
    <row r="6313" spans="1:25" x14ac:dyDescent="0.25">
      <c r="A6313" t="str">
        <f>"08-0257"</f>
        <v>08-0257</v>
      </c>
      <c r="D6313" s="8">
        <v>39547</v>
      </c>
      <c r="F6313" s="8">
        <v>39548</v>
      </c>
      <c r="G6313" s="8">
        <v>39548</v>
      </c>
      <c r="Y6313" s="8"/>
    </row>
    <row r="6314" spans="1:25" x14ac:dyDescent="0.25">
      <c r="A6314" t="str">
        <f>"08-0258"</f>
        <v>08-0258</v>
      </c>
      <c r="D6314" s="8">
        <v>39547</v>
      </c>
      <c r="F6314" s="8">
        <v>39562</v>
      </c>
      <c r="G6314" s="8">
        <v>39552</v>
      </c>
      <c r="Y6314" s="8"/>
    </row>
    <row r="6315" spans="1:25" x14ac:dyDescent="0.25">
      <c r="A6315" t="str">
        <f>"08-0259"</f>
        <v>08-0259</v>
      </c>
      <c r="D6315" s="8">
        <v>39547</v>
      </c>
      <c r="F6315" s="8">
        <v>39562</v>
      </c>
      <c r="G6315" s="8">
        <v>39552</v>
      </c>
      <c r="Y6315" s="8"/>
    </row>
    <row r="6316" spans="1:25" x14ac:dyDescent="0.25">
      <c r="A6316" t="str">
        <f>"08-0253"</f>
        <v>08-0253</v>
      </c>
      <c r="D6316" s="8">
        <v>39546</v>
      </c>
      <c r="F6316" s="8">
        <v>39546</v>
      </c>
      <c r="G6316" s="8">
        <v>39545</v>
      </c>
      <c r="Y6316" s="8"/>
    </row>
    <row r="6317" spans="1:25" x14ac:dyDescent="0.25">
      <c r="A6317" t="str">
        <f>"08-0254"</f>
        <v>08-0254</v>
      </c>
      <c r="D6317" s="8">
        <v>39546</v>
      </c>
      <c r="F6317" s="8">
        <v>39546</v>
      </c>
      <c r="G6317" s="8">
        <v>39545</v>
      </c>
      <c r="Y6317" s="8"/>
    </row>
    <row r="6318" spans="1:25" x14ac:dyDescent="0.25">
      <c r="A6318" t="str">
        <f>"08-0255"</f>
        <v>08-0255</v>
      </c>
      <c r="D6318" s="8">
        <v>39546</v>
      </c>
      <c r="F6318" s="8">
        <v>39546</v>
      </c>
      <c r="G6318" s="8">
        <v>39545</v>
      </c>
      <c r="Y6318" s="8"/>
    </row>
    <row r="6319" spans="1:25" x14ac:dyDescent="0.25">
      <c r="A6319" t="str">
        <f>"08-0256"</f>
        <v>08-0256</v>
      </c>
      <c r="D6319" s="8">
        <v>39546</v>
      </c>
      <c r="F6319" s="8">
        <v>39546</v>
      </c>
      <c r="G6319" s="8">
        <v>39545</v>
      </c>
      <c r="Y6319" s="8"/>
    </row>
    <row r="6320" spans="1:25" x14ac:dyDescent="0.25">
      <c r="A6320" t="str">
        <f>"08-0252"</f>
        <v>08-0252</v>
      </c>
      <c r="D6320" s="8">
        <v>39545</v>
      </c>
      <c r="F6320" s="8">
        <v>39546</v>
      </c>
      <c r="G6320" s="8">
        <v>39545</v>
      </c>
      <c r="Y6320" s="8"/>
    </row>
    <row r="6321" spans="1:25" x14ac:dyDescent="0.25">
      <c r="A6321" t="str">
        <f>"08-0247"</f>
        <v>08-0247</v>
      </c>
      <c r="D6321" s="8">
        <v>39542</v>
      </c>
      <c r="F6321" s="8">
        <v>39542</v>
      </c>
      <c r="G6321" s="8">
        <v>39542</v>
      </c>
      <c r="Y6321" s="8"/>
    </row>
    <row r="6322" spans="1:25" x14ac:dyDescent="0.25">
      <c r="A6322" t="str">
        <f>"08-0248"</f>
        <v>08-0248</v>
      </c>
      <c r="D6322" s="8">
        <v>39542</v>
      </c>
      <c r="F6322" s="8">
        <v>39542</v>
      </c>
      <c r="G6322" s="8">
        <v>39542</v>
      </c>
      <c r="Y6322" s="8"/>
    </row>
    <row r="6323" spans="1:25" x14ac:dyDescent="0.25">
      <c r="A6323" t="str">
        <f>"08-0249"</f>
        <v>08-0249</v>
      </c>
      <c r="D6323" s="8">
        <v>39542</v>
      </c>
      <c r="F6323" s="8">
        <v>39542</v>
      </c>
      <c r="G6323" s="8">
        <v>39542</v>
      </c>
      <c r="Y6323" s="8"/>
    </row>
    <row r="6324" spans="1:25" x14ac:dyDescent="0.25">
      <c r="A6324" t="str">
        <f>"08-0250"</f>
        <v>08-0250</v>
      </c>
      <c r="D6324" s="8">
        <v>39542</v>
      </c>
      <c r="F6324" s="8">
        <v>39542</v>
      </c>
      <c r="G6324" s="8">
        <v>39543</v>
      </c>
      <c r="Y6324" s="8"/>
    </row>
    <row r="6325" spans="1:25" x14ac:dyDescent="0.25">
      <c r="A6325" t="str">
        <f>"08-0251"</f>
        <v>08-0251</v>
      </c>
      <c r="D6325" s="8">
        <v>39542</v>
      </c>
      <c r="F6325" s="8">
        <v>39545</v>
      </c>
      <c r="G6325" s="8">
        <v>39545</v>
      </c>
      <c r="Y6325" s="8"/>
    </row>
    <row r="6326" spans="1:25" x14ac:dyDescent="0.25">
      <c r="A6326" t="str">
        <f>"08-0242"</f>
        <v>08-0242</v>
      </c>
      <c r="D6326" s="8">
        <v>39541</v>
      </c>
      <c r="F6326" s="8">
        <v>39542</v>
      </c>
      <c r="G6326" s="8">
        <v>39549</v>
      </c>
      <c r="Y6326" s="8"/>
    </row>
    <row r="6327" spans="1:25" x14ac:dyDescent="0.25">
      <c r="A6327" t="str">
        <f>"08-0243"</f>
        <v>08-0243</v>
      </c>
      <c r="D6327" s="8">
        <v>39541</v>
      </c>
      <c r="F6327" s="8">
        <v>39541</v>
      </c>
      <c r="G6327" s="8">
        <v>39541</v>
      </c>
      <c r="Y6327" s="8"/>
    </row>
    <row r="6328" spans="1:25" x14ac:dyDescent="0.25">
      <c r="A6328" t="str">
        <f>"08-0244"</f>
        <v>08-0244</v>
      </c>
      <c r="D6328" s="8">
        <v>39541</v>
      </c>
      <c r="F6328" s="8">
        <v>39561</v>
      </c>
      <c r="G6328" s="8">
        <v>39542</v>
      </c>
      <c r="Y6328" s="8"/>
    </row>
    <row r="6329" spans="1:25" x14ac:dyDescent="0.25">
      <c r="A6329" t="str">
        <f>"08-0245"</f>
        <v>08-0245</v>
      </c>
      <c r="D6329" s="8">
        <v>39541</v>
      </c>
      <c r="F6329" s="8">
        <v>39541</v>
      </c>
      <c r="G6329" s="8">
        <v>39541</v>
      </c>
      <c r="Y6329" s="8"/>
    </row>
    <row r="6330" spans="1:25" x14ac:dyDescent="0.25">
      <c r="A6330" t="str">
        <f>"08-0246"</f>
        <v>08-0246</v>
      </c>
      <c r="D6330" s="8">
        <v>39541</v>
      </c>
      <c r="F6330" s="8">
        <v>39541</v>
      </c>
      <c r="G6330" s="8">
        <v>39541</v>
      </c>
      <c r="Y6330" s="8"/>
    </row>
    <row r="6331" spans="1:25" x14ac:dyDescent="0.25">
      <c r="A6331" t="str">
        <f>"08-0226B"</f>
        <v>08-0226B</v>
      </c>
      <c r="D6331" s="8">
        <v>39540</v>
      </c>
      <c r="F6331" s="8">
        <v>39540</v>
      </c>
      <c r="G6331" s="8">
        <v>39542</v>
      </c>
      <c r="Y6331" s="8"/>
    </row>
    <row r="6332" spans="1:25" x14ac:dyDescent="0.25">
      <c r="A6332" t="str">
        <f>"08-0237"</f>
        <v>08-0237</v>
      </c>
      <c r="D6332" s="8">
        <v>39540</v>
      </c>
      <c r="F6332" s="8">
        <v>39540</v>
      </c>
      <c r="G6332" s="8">
        <v>39542</v>
      </c>
      <c r="Y6332" s="8"/>
    </row>
    <row r="6333" spans="1:25" x14ac:dyDescent="0.25">
      <c r="A6333" t="str">
        <f>"08-0238"</f>
        <v>08-0238</v>
      </c>
      <c r="D6333" s="8">
        <v>39540</v>
      </c>
      <c r="F6333" s="8">
        <v>39540</v>
      </c>
      <c r="G6333" s="8">
        <v>39540</v>
      </c>
      <c r="Y6333" s="8"/>
    </row>
    <row r="6334" spans="1:25" x14ac:dyDescent="0.25">
      <c r="A6334" t="str">
        <f>"08-0239"</f>
        <v>08-0239</v>
      </c>
      <c r="D6334" s="8">
        <v>39540</v>
      </c>
      <c r="F6334" s="8">
        <v>39540</v>
      </c>
      <c r="G6334" s="8">
        <v>39540</v>
      </c>
      <c r="Y6334" s="8"/>
    </row>
    <row r="6335" spans="1:25" x14ac:dyDescent="0.25">
      <c r="A6335" t="str">
        <f>"08-0240"</f>
        <v>08-0240</v>
      </c>
      <c r="D6335" s="8">
        <v>39540</v>
      </c>
      <c r="F6335" s="8">
        <v>39540</v>
      </c>
      <c r="G6335" s="8">
        <v>39540</v>
      </c>
      <c r="Y6335" s="8"/>
    </row>
    <row r="6336" spans="1:25" x14ac:dyDescent="0.25">
      <c r="A6336" t="str">
        <f>"08-0241"</f>
        <v>08-0241</v>
      </c>
      <c r="D6336" s="8">
        <v>39540</v>
      </c>
      <c r="F6336" s="8">
        <v>39540</v>
      </c>
      <c r="G6336" s="8">
        <v>39540</v>
      </c>
      <c r="Y6336" s="8"/>
    </row>
    <row r="6337" spans="1:25" x14ac:dyDescent="0.25">
      <c r="A6337" t="str">
        <f>"08-0211B"</f>
        <v>08-0211B</v>
      </c>
      <c r="D6337" s="8">
        <v>39539</v>
      </c>
      <c r="F6337" s="8">
        <v>39539</v>
      </c>
      <c r="G6337" s="8">
        <v>39539</v>
      </c>
      <c r="Y6337" s="8"/>
    </row>
    <row r="6338" spans="1:25" x14ac:dyDescent="0.25">
      <c r="A6338" t="str">
        <f>"08-0231"</f>
        <v>08-0231</v>
      </c>
      <c r="D6338" s="8">
        <v>39539</v>
      </c>
      <c r="F6338" s="8">
        <v>39539</v>
      </c>
      <c r="G6338" s="8">
        <v>39539</v>
      </c>
      <c r="Y6338" s="8"/>
    </row>
    <row r="6339" spans="1:25" x14ac:dyDescent="0.25">
      <c r="A6339" t="str">
        <f>"08-0232"</f>
        <v>08-0232</v>
      </c>
      <c r="D6339" s="8">
        <v>39539</v>
      </c>
      <c r="F6339" s="8">
        <v>39539</v>
      </c>
      <c r="G6339" s="8">
        <v>39541</v>
      </c>
      <c r="Y6339" s="8"/>
    </row>
    <row r="6340" spans="1:25" x14ac:dyDescent="0.25">
      <c r="A6340" t="str">
        <f>"08-0233"</f>
        <v>08-0233</v>
      </c>
      <c r="D6340" s="8">
        <v>39539</v>
      </c>
      <c r="F6340" s="8">
        <v>39539</v>
      </c>
      <c r="G6340" s="8">
        <v>39539</v>
      </c>
      <c r="Y6340" s="8"/>
    </row>
    <row r="6341" spans="1:25" x14ac:dyDescent="0.25">
      <c r="A6341" t="str">
        <f>"08-0234"</f>
        <v>08-0234</v>
      </c>
      <c r="D6341" s="8">
        <v>39539</v>
      </c>
      <c r="F6341" s="8">
        <v>39539</v>
      </c>
      <c r="G6341" s="8">
        <v>39539</v>
      </c>
      <c r="Y6341" s="8"/>
    </row>
    <row r="6342" spans="1:25" x14ac:dyDescent="0.25">
      <c r="A6342" t="str">
        <f>"08-0235"</f>
        <v>08-0235</v>
      </c>
      <c r="D6342" s="8">
        <v>39539</v>
      </c>
      <c r="F6342" s="8">
        <v>39539</v>
      </c>
      <c r="G6342" s="8">
        <v>39539</v>
      </c>
      <c r="Y6342" s="8"/>
    </row>
    <row r="6343" spans="1:25" x14ac:dyDescent="0.25">
      <c r="A6343" t="str">
        <f>"08-0236"</f>
        <v>08-0236</v>
      </c>
      <c r="D6343" s="8">
        <v>39539</v>
      </c>
      <c r="F6343" s="8">
        <v>39539</v>
      </c>
      <c r="G6343" s="8">
        <v>39539</v>
      </c>
      <c r="Y6343" s="8"/>
    </row>
    <row r="6344" spans="1:25" x14ac:dyDescent="0.25">
      <c r="A6344" t="str">
        <f>"08-0228"</f>
        <v>08-0228</v>
      </c>
      <c r="D6344" s="8">
        <v>39538</v>
      </c>
      <c r="F6344" s="8">
        <v>39538</v>
      </c>
      <c r="G6344" s="8">
        <v>39538</v>
      </c>
      <c r="Y6344" s="8"/>
    </row>
    <row r="6345" spans="1:25" x14ac:dyDescent="0.25">
      <c r="A6345" t="str">
        <f>"08-0229"</f>
        <v>08-0229</v>
      </c>
      <c r="D6345" s="8">
        <v>39538</v>
      </c>
      <c r="F6345" s="8">
        <v>39538</v>
      </c>
      <c r="G6345" s="8">
        <v>39538</v>
      </c>
      <c r="Y6345" s="8"/>
    </row>
    <row r="6346" spans="1:25" x14ac:dyDescent="0.25">
      <c r="A6346" t="str">
        <f>"08-0230"</f>
        <v>08-0230</v>
      </c>
      <c r="D6346" s="8">
        <v>39538</v>
      </c>
      <c r="F6346" s="8">
        <v>39538</v>
      </c>
      <c r="G6346" s="8">
        <v>39538</v>
      </c>
      <c r="Y6346" s="8"/>
    </row>
    <row r="6347" spans="1:25" x14ac:dyDescent="0.25">
      <c r="A6347" t="str">
        <f>"08-0221"</f>
        <v>08-0221</v>
      </c>
      <c r="D6347" s="8">
        <v>39535</v>
      </c>
      <c r="F6347" s="8">
        <v>39539</v>
      </c>
      <c r="G6347" s="8">
        <v>39535</v>
      </c>
      <c r="Y6347" s="8"/>
    </row>
    <row r="6348" spans="1:25" x14ac:dyDescent="0.25">
      <c r="A6348" t="str">
        <f>"08-0222"</f>
        <v>08-0222</v>
      </c>
      <c r="D6348" s="8">
        <v>39535</v>
      </c>
      <c r="F6348" s="8">
        <v>39535</v>
      </c>
      <c r="G6348" s="8">
        <v>39535</v>
      </c>
      <c r="Y6348" s="8"/>
    </row>
    <row r="6349" spans="1:25" x14ac:dyDescent="0.25">
      <c r="A6349" t="str">
        <f>"08-0223"</f>
        <v>08-0223</v>
      </c>
      <c r="D6349" s="8">
        <v>39535</v>
      </c>
      <c r="F6349" s="8">
        <v>39548</v>
      </c>
      <c r="G6349" s="8">
        <v>39541</v>
      </c>
      <c r="Y6349" s="8"/>
    </row>
    <row r="6350" spans="1:25" x14ac:dyDescent="0.25">
      <c r="A6350" t="str">
        <f>"08-0224"</f>
        <v>08-0224</v>
      </c>
      <c r="D6350" s="8">
        <v>39535</v>
      </c>
      <c r="F6350" s="8">
        <v>39538</v>
      </c>
      <c r="G6350" s="8">
        <v>39538</v>
      </c>
      <c r="Y6350" s="8"/>
    </row>
    <row r="6351" spans="1:25" x14ac:dyDescent="0.25">
      <c r="A6351" t="str">
        <f>"08-0225"</f>
        <v>08-0225</v>
      </c>
      <c r="D6351" s="8">
        <v>39535</v>
      </c>
      <c r="F6351" s="8">
        <v>39542</v>
      </c>
      <c r="G6351" s="8">
        <v>39538</v>
      </c>
      <c r="Y6351" s="8"/>
    </row>
    <row r="6352" spans="1:25" x14ac:dyDescent="0.25">
      <c r="A6352" t="str">
        <f>"08-0226"</f>
        <v>08-0226</v>
      </c>
      <c r="D6352" s="8">
        <v>39535</v>
      </c>
      <c r="F6352" s="8">
        <v>39535</v>
      </c>
      <c r="G6352" s="8">
        <v>39538</v>
      </c>
      <c r="Y6352" s="8"/>
    </row>
    <row r="6353" spans="1:25" x14ac:dyDescent="0.25">
      <c r="A6353" t="str">
        <f>"08-0227"</f>
        <v>08-0227</v>
      </c>
      <c r="D6353" s="8">
        <v>39535</v>
      </c>
      <c r="F6353" s="8">
        <v>39535</v>
      </c>
      <c r="G6353" s="8">
        <v>39535</v>
      </c>
      <c r="Y6353" s="8"/>
    </row>
    <row r="6354" spans="1:25" x14ac:dyDescent="0.25">
      <c r="A6354" t="str">
        <f>"08-0094B"</f>
        <v>08-0094B</v>
      </c>
      <c r="D6354" s="8">
        <v>39534</v>
      </c>
      <c r="F6354" s="8">
        <v>39534</v>
      </c>
      <c r="G6354" s="8">
        <v>39534</v>
      </c>
      <c r="Y6354" s="8"/>
    </row>
    <row r="6355" spans="1:25" x14ac:dyDescent="0.25">
      <c r="A6355" t="str">
        <f>"08-0214B"</f>
        <v>08-0214B</v>
      </c>
      <c r="D6355" s="8">
        <v>39534</v>
      </c>
      <c r="F6355" s="8">
        <v>39534</v>
      </c>
      <c r="G6355" s="8">
        <v>39534</v>
      </c>
      <c r="Y6355" s="8"/>
    </row>
    <row r="6356" spans="1:25" x14ac:dyDescent="0.25">
      <c r="A6356" t="str">
        <f>"08-0219"</f>
        <v>08-0219</v>
      </c>
      <c r="D6356" s="8">
        <v>39534</v>
      </c>
      <c r="F6356" s="8">
        <v>39534</v>
      </c>
      <c r="G6356" s="8">
        <v>39534</v>
      </c>
      <c r="Y6356" s="8"/>
    </row>
    <row r="6357" spans="1:25" x14ac:dyDescent="0.25">
      <c r="A6357" t="str">
        <f>"08-0220"</f>
        <v>08-0220</v>
      </c>
      <c r="D6357" s="8">
        <v>39534</v>
      </c>
      <c r="F6357" s="8">
        <v>39553</v>
      </c>
      <c r="G6357" s="8">
        <v>39534</v>
      </c>
      <c r="Y6357" s="8"/>
    </row>
    <row r="6358" spans="1:25" x14ac:dyDescent="0.25">
      <c r="A6358" t="str">
        <f>"08-0218"</f>
        <v>08-0218</v>
      </c>
      <c r="D6358" s="8">
        <v>39533</v>
      </c>
      <c r="F6358" s="8">
        <v>39533</v>
      </c>
      <c r="G6358" s="8">
        <v>39533</v>
      </c>
      <c r="Y6358" s="8"/>
    </row>
    <row r="6359" spans="1:25" x14ac:dyDescent="0.25">
      <c r="A6359" t="str">
        <f>"08-0215"</f>
        <v>08-0215</v>
      </c>
      <c r="D6359" s="8">
        <v>39532</v>
      </c>
      <c r="F6359" s="8">
        <v>39532</v>
      </c>
      <c r="G6359" s="8">
        <v>39532</v>
      </c>
      <c r="Y6359" s="8"/>
    </row>
    <row r="6360" spans="1:25" x14ac:dyDescent="0.25">
      <c r="A6360" t="str">
        <f>"08-0216"</f>
        <v>08-0216</v>
      </c>
      <c r="D6360" s="8">
        <v>39532</v>
      </c>
      <c r="F6360" s="8">
        <v>39532</v>
      </c>
      <c r="G6360" s="8">
        <v>39532</v>
      </c>
      <c r="Y6360" s="8"/>
    </row>
    <row r="6361" spans="1:25" x14ac:dyDescent="0.25">
      <c r="A6361" t="str">
        <f>"08-0217"</f>
        <v>08-0217</v>
      </c>
      <c r="D6361" s="8">
        <v>39532</v>
      </c>
      <c r="F6361" s="8">
        <v>39538</v>
      </c>
      <c r="G6361" s="8">
        <v>39534</v>
      </c>
      <c r="Y6361" s="8"/>
    </row>
    <row r="6362" spans="1:25" x14ac:dyDescent="0.25">
      <c r="A6362" t="str">
        <f>"08-0210"</f>
        <v>08-0210</v>
      </c>
      <c r="D6362" s="8">
        <v>39528</v>
      </c>
      <c r="F6362" s="8">
        <v>39528</v>
      </c>
      <c r="G6362" s="8">
        <v>39528</v>
      </c>
      <c r="Y6362" s="8"/>
    </row>
    <row r="6363" spans="1:25" x14ac:dyDescent="0.25">
      <c r="A6363" t="str">
        <f>"08-0211"</f>
        <v>08-0211</v>
      </c>
      <c r="D6363" s="8">
        <v>39528</v>
      </c>
      <c r="F6363" s="8">
        <v>39528</v>
      </c>
      <c r="G6363" s="8">
        <v>39528</v>
      </c>
      <c r="Y6363" s="8"/>
    </row>
    <row r="6364" spans="1:25" x14ac:dyDescent="0.25">
      <c r="A6364" t="str">
        <f>"08-0212"</f>
        <v>08-0212</v>
      </c>
      <c r="D6364" s="8">
        <v>39528</v>
      </c>
      <c r="F6364" s="8">
        <v>39528</v>
      </c>
      <c r="G6364" s="8">
        <v>39528</v>
      </c>
      <c r="Y6364" s="8"/>
    </row>
    <row r="6365" spans="1:25" x14ac:dyDescent="0.25">
      <c r="A6365" t="str">
        <f>"08-0213"</f>
        <v>08-0213</v>
      </c>
      <c r="D6365" s="8">
        <v>39528</v>
      </c>
      <c r="F6365" s="8">
        <v>39534</v>
      </c>
      <c r="G6365" s="8">
        <v>39528</v>
      </c>
      <c r="Y6365" s="8"/>
    </row>
    <row r="6366" spans="1:25" x14ac:dyDescent="0.25">
      <c r="A6366" t="str">
        <f>"08-0214"</f>
        <v>08-0214</v>
      </c>
      <c r="D6366" s="8">
        <v>39528</v>
      </c>
      <c r="F6366" s="8">
        <v>39528</v>
      </c>
      <c r="G6366" s="8">
        <v>39528</v>
      </c>
      <c r="Y6366" s="8"/>
    </row>
    <row r="6367" spans="1:25" x14ac:dyDescent="0.25">
      <c r="A6367" t="str">
        <f>"08-0206"</f>
        <v>08-0206</v>
      </c>
      <c r="D6367" s="8">
        <v>39527</v>
      </c>
      <c r="F6367" s="8">
        <v>39527</v>
      </c>
      <c r="G6367" s="8">
        <v>39527</v>
      </c>
      <c r="Y6367" s="8"/>
    </row>
    <row r="6368" spans="1:25" x14ac:dyDescent="0.25">
      <c r="A6368" t="str">
        <f>"08-0207"</f>
        <v>08-0207</v>
      </c>
      <c r="D6368" s="8">
        <v>39527</v>
      </c>
      <c r="F6368" s="8">
        <v>39552</v>
      </c>
      <c r="G6368" s="8">
        <v>39527</v>
      </c>
      <c r="Y6368" s="8"/>
    </row>
    <row r="6369" spans="1:25" x14ac:dyDescent="0.25">
      <c r="A6369" t="str">
        <f>"08-0208"</f>
        <v>08-0208</v>
      </c>
      <c r="D6369" s="8">
        <v>39527</v>
      </c>
      <c r="F6369" s="8">
        <v>39527</v>
      </c>
      <c r="G6369" s="8">
        <v>39527</v>
      </c>
      <c r="Y6369" s="8"/>
    </row>
    <row r="6370" spans="1:25" x14ac:dyDescent="0.25">
      <c r="A6370" t="str">
        <f>"08-0209"</f>
        <v>08-0209</v>
      </c>
      <c r="D6370" s="8">
        <v>39527</v>
      </c>
      <c r="F6370" s="8">
        <v>39527</v>
      </c>
      <c r="G6370" s="8">
        <v>39527</v>
      </c>
      <c r="Y6370" s="8"/>
    </row>
    <row r="6371" spans="1:25" x14ac:dyDescent="0.25">
      <c r="A6371" t="str">
        <f>"08-0201"</f>
        <v>08-0201</v>
      </c>
      <c r="D6371" s="8">
        <v>39526</v>
      </c>
      <c r="F6371" s="8">
        <v>39526</v>
      </c>
      <c r="G6371" s="8">
        <v>39526</v>
      </c>
      <c r="Y6371" s="8"/>
    </row>
    <row r="6372" spans="1:25" x14ac:dyDescent="0.25">
      <c r="A6372" t="str">
        <f>"08-0202"</f>
        <v>08-0202</v>
      </c>
      <c r="D6372" s="8">
        <v>39526</v>
      </c>
      <c r="F6372" s="8">
        <v>39526</v>
      </c>
      <c r="G6372" s="8">
        <v>39526</v>
      </c>
      <c r="Y6372" s="8"/>
    </row>
    <row r="6373" spans="1:25" x14ac:dyDescent="0.25">
      <c r="A6373" t="str">
        <f>"08-0203"</f>
        <v>08-0203</v>
      </c>
      <c r="D6373" s="8">
        <v>39526</v>
      </c>
      <c r="F6373" s="8">
        <v>39526</v>
      </c>
      <c r="G6373" s="8">
        <v>39526</v>
      </c>
      <c r="Y6373" s="8"/>
    </row>
    <row r="6374" spans="1:25" x14ac:dyDescent="0.25">
      <c r="A6374" t="str">
        <f>"08-0204"</f>
        <v>08-0204</v>
      </c>
      <c r="D6374" s="8">
        <v>39526</v>
      </c>
      <c r="F6374" s="8">
        <v>39527</v>
      </c>
      <c r="G6374" s="8">
        <v>39526</v>
      </c>
      <c r="Y6374" s="8"/>
    </row>
    <row r="6375" spans="1:25" x14ac:dyDescent="0.25">
      <c r="A6375" t="str">
        <f>"08-0205"</f>
        <v>08-0205</v>
      </c>
      <c r="D6375" s="8">
        <v>39526</v>
      </c>
      <c r="F6375" s="8">
        <v>39538</v>
      </c>
      <c r="G6375" s="8">
        <v>39533</v>
      </c>
      <c r="Y6375" s="8"/>
    </row>
    <row r="6376" spans="1:25" x14ac:dyDescent="0.25">
      <c r="A6376" t="str">
        <f>"08-0196"</f>
        <v>08-0196</v>
      </c>
      <c r="D6376" s="8">
        <v>39525</v>
      </c>
      <c r="F6376" s="8">
        <v>39525</v>
      </c>
      <c r="G6376" s="8">
        <v>39525</v>
      </c>
      <c r="Y6376" s="8"/>
    </row>
    <row r="6377" spans="1:25" x14ac:dyDescent="0.25">
      <c r="A6377" t="str">
        <f>"08-0197"</f>
        <v>08-0197</v>
      </c>
      <c r="D6377" s="8">
        <v>39525</v>
      </c>
      <c r="F6377" s="8">
        <v>39525</v>
      </c>
      <c r="G6377" s="8">
        <v>39519</v>
      </c>
      <c r="Y6377" s="8"/>
    </row>
    <row r="6378" spans="1:25" x14ac:dyDescent="0.25">
      <c r="A6378" t="str">
        <f>"08-0198"</f>
        <v>08-0198</v>
      </c>
      <c r="D6378" s="8">
        <v>39525</v>
      </c>
      <c r="F6378" s="8">
        <v>39525</v>
      </c>
      <c r="G6378" s="8">
        <v>39525</v>
      </c>
      <c r="Y6378" s="8"/>
    </row>
    <row r="6379" spans="1:25" x14ac:dyDescent="0.25">
      <c r="A6379" t="str">
        <f>"08-0199"</f>
        <v>08-0199</v>
      </c>
      <c r="D6379" s="8">
        <v>39525</v>
      </c>
      <c r="F6379" s="8">
        <v>39525</v>
      </c>
      <c r="G6379" s="8">
        <v>39525</v>
      </c>
      <c r="Y6379" s="8"/>
    </row>
    <row r="6380" spans="1:25" x14ac:dyDescent="0.25">
      <c r="A6380" t="str">
        <f>"08-0200"</f>
        <v>08-0200</v>
      </c>
      <c r="D6380" s="8">
        <v>39525</v>
      </c>
      <c r="F6380" s="8">
        <v>39525</v>
      </c>
      <c r="G6380" s="8">
        <v>39526</v>
      </c>
      <c r="Y6380" s="8"/>
    </row>
    <row r="6381" spans="1:25" x14ac:dyDescent="0.25">
      <c r="A6381" t="str">
        <f>"08-0193"</f>
        <v>08-0193</v>
      </c>
      <c r="D6381" s="8">
        <v>39524</v>
      </c>
      <c r="F6381" s="8">
        <v>39603</v>
      </c>
      <c r="G6381" s="8">
        <v>39524</v>
      </c>
      <c r="Y6381" s="8"/>
    </row>
    <row r="6382" spans="1:25" x14ac:dyDescent="0.25">
      <c r="A6382" t="str">
        <f>"08-0194"</f>
        <v>08-0194</v>
      </c>
      <c r="D6382" s="8">
        <v>39524</v>
      </c>
      <c r="F6382" s="8">
        <v>39524</v>
      </c>
      <c r="G6382" s="8">
        <v>39524</v>
      </c>
      <c r="Y6382" s="8"/>
    </row>
    <row r="6383" spans="1:25" x14ac:dyDescent="0.25">
      <c r="A6383" t="str">
        <f>"08-0195"</f>
        <v>08-0195</v>
      </c>
      <c r="D6383" s="8">
        <v>39524</v>
      </c>
      <c r="F6383" s="8">
        <v>39524</v>
      </c>
      <c r="G6383" s="8">
        <v>39524</v>
      </c>
      <c r="Y6383" s="8"/>
    </row>
    <row r="6384" spans="1:25" x14ac:dyDescent="0.25">
      <c r="A6384" t="str">
        <f>"08-0189"</f>
        <v>08-0189</v>
      </c>
      <c r="D6384" s="8">
        <v>39521</v>
      </c>
      <c r="F6384" s="8">
        <v>39521</v>
      </c>
      <c r="G6384" s="8">
        <v>39521</v>
      </c>
      <c r="Y6384" s="8"/>
    </row>
    <row r="6385" spans="1:25" x14ac:dyDescent="0.25">
      <c r="A6385" t="str">
        <f>"08-0190"</f>
        <v>08-0190</v>
      </c>
      <c r="D6385" s="8">
        <v>39521</v>
      </c>
      <c r="F6385" s="8">
        <v>39524</v>
      </c>
      <c r="G6385" s="8">
        <v>39521</v>
      </c>
      <c r="Y6385" s="8"/>
    </row>
    <row r="6386" spans="1:25" x14ac:dyDescent="0.25">
      <c r="A6386" t="str">
        <f>"08-0191"</f>
        <v>08-0191</v>
      </c>
      <c r="D6386" s="8">
        <v>39521</v>
      </c>
      <c r="F6386" s="8">
        <v>39521</v>
      </c>
      <c r="G6386" s="8">
        <v>39522</v>
      </c>
      <c r="Y6386" s="8"/>
    </row>
    <row r="6387" spans="1:25" x14ac:dyDescent="0.25">
      <c r="A6387" t="str">
        <f>"08-0192"</f>
        <v>08-0192</v>
      </c>
      <c r="D6387" s="8">
        <v>39521</v>
      </c>
      <c r="F6387" s="8">
        <v>39521</v>
      </c>
      <c r="G6387" s="8">
        <v>39522</v>
      </c>
      <c r="Y6387" s="8"/>
    </row>
    <row r="6388" spans="1:25" x14ac:dyDescent="0.25">
      <c r="A6388" t="str">
        <f>"07-0365F"</f>
        <v>07-0365F</v>
      </c>
      <c r="D6388" s="8">
        <v>39519</v>
      </c>
      <c r="F6388" s="8">
        <v>39532</v>
      </c>
      <c r="G6388" s="8">
        <v>39514</v>
      </c>
      <c r="Y6388" s="8"/>
    </row>
    <row r="6389" spans="1:25" x14ac:dyDescent="0.25">
      <c r="A6389" t="str">
        <f>"08-0090B"</f>
        <v>08-0090B</v>
      </c>
      <c r="D6389" s="8">
        <v>39519</v>
      </c>
      <c r="F6389" s="8">
        <v>39590</v>
      </c>
      <c r="G6389" s="8">
        <v>39522</v>
      </c>
      <c r="Y6389" s="8"/>
    </row>
    <row r="6390" spans="1:25" x14ac:dyDescent="0.25">
      <c r="A6390" t="str">
        <f>"08-0184"</f>
        <v>08-0184</v>
      </c>
      <c r="D6390" s="8">
        <v>39519</v>
      </c>
      <c r="F6390" s="8">
        <v>39519</v>
      </c>
      <c r="G6390" s="8">
        <v>39521</v>
      </c>
      <c r="Y6390" s="8"/>
    </row>
    <row r="6391" spans="1:25" x14ac:dyDescent="0.25">
      <c r="A6391" t="str">
        <f>"08-0185"</f>
        <v>08-0185</v>
      </c>
      <c r="D6391" s="8">
        <v>39519</v>
      </c>
      <c r="F6391" s="8">
        <v>39541</v>
      </c>
      <c r="G6391" s="8">
        <v>39519</v>
      </c>
      <c r="Y6391" s="8"/>
    </row>
    <row r="6392" spans="1:25" x14ac:dyDescent="0.25">
      <c r="A6392" t="str">
        <f>"08-0186"</f>
        <v>08-0186</v>
      </c>
      <c r="D6392" s="8">
        <v>39519</v>
      </c>
      <c r="F6392" s="8">
        <v>39519</v>
      </c>
      <c r="G6392" s="8">
        <v>39519</v>
      </c>
      <c r="Y6392" s="8"/>
    </row>
    <row r="6393" spans="1:25" x14ac:dyDescent="0.25">
      <c r="A6393" t="str">
        <f>"08-0187"</f>
        <v>08-0187</v>
      </c>
      <c r="D6393" s="8">
        <v>39519</v>
      </c>
      <c r="F6393" s="8">
        <v>39519</v>
      </c>
      <c r="G6393" s="8">
        <v>39519</v>
      </c>
      <c r="Y6393" s="8"/>
    </row>
    <row r="6394" spans="1:25" x14ac:dyDescent="0.25">
      <c r="A6394" t="str">
        <f>"08-0188"</f>
        <v>08-0188</v>
      </c>
      <c r="D6394" s="8">
        <v>39519</v>
      </c>
      <c r="F6394" s="8">
        <v>39519</v>
      </c>
      <c r="G6394" s="8">
        <v>39521</v>
      </c>
      <c r="Y6394" s="8"/>
    </row>
    <row r="6395" spans="1:25" x14ac:dyDescent="0.25">
      <c r="A6395" t="str">
        <f>"08-0178"</f>
        <v>08-0178</v>
      </c>
      <c r="D6395" s="8">
        <v>39518</v>
      </c>
      <c r="F6395" s="8">
        <v>39548</v>
      </c>
      <c r="G6395" s="8">
        <v>39521</v>
      </c>
      <c r="Y6395" s="8"/>
    </row>
    <row r="6396" spans="1:25" x14ac:dyDescent="0.25">
      <c r="A6396" t="str">
        <f>"08-0179"</f>
        <v>08-0179</v>
      </c>
      <c r="D6396" s="8">
        <v>39518</v>
      </c>
      <c r="F6396" s="8">
        <v>39518</v>
      </c>
      <c r="G6396" s="8">
        <v>39519</v>
      </c>
      <c r="Y6396" s="8"/>
    </row>
    <row r="6397" spans="1:25" x14ac:dyDescent="0.25">
      <c r="A6397" t="str">
        <f>"08-0180"</f>
        <v>08-0180</v>
      </c>
      <c r="D6397" s="8">
        <v>39518</v>
      </c>
      <c r="F6397" s="8">
        <v>39518</v>
      </c>
      <c r="G6397" s="8">
        <v>39518</v>
      </c>
      <c r="Y6397" s="8"/>
    </row>
    <row r="6398" spans="1:25" x14ac:dyDescent="0.25">
      <c r="A6398" t="str">
        <f>"08-0181"</f>
        <v>08-0181</v>
      </c>
      <c r="D6398" s="8">
        <v>39518</v>
      </c>
      <c r="F6398" s="8">
        <v>39518</v>
      </c>
      <c r="G6398" s="8">
        <v>39518</v>
      </c>
      <c r="Y6398" s="8"/>
    </row>
    <row r="6399" spans="1:25" x14ac:dyDescent="0.25">
      <c r="A6399" t="str">
        <f>"08-0182"</f>
        <v>08-0182</v>
      </c>
      <c r="D6399" s="8">
        <v>39518</v>
      </c>
      <c r="F6399" s="8">
        <v>39542</v>
      </c>
      <c r="G6399" s="8">
        <v>39518</v>
      </c>
      <c r="Y6399" s="8"/>
    </row>
    <row r="6400" spans="1:25" x14ac:dyDescent="0.25">
      <c r="A6400" t="str">
        <f>"08-0183"</f>
        <v>08-0183</v>
      </c>
      <c r="D6400" s="8">
        <v>39518</v>
      </c>
      <c r="F6400" s="8">
        <v>39525</v>
      </c>
      <c r="G6400" s="8">
        <v>39524</v>
      </c>
      <c r="Y6400" s="8"/>
    </row>
    <row r="6401" spans="1:25" x14ac:dyDescent="0.25">
      <c r="A6401" t="str">
        <f>"08-0176"</f>
        <v>08-0176</v>
      </c>
      <c r="D6401" s="8">
        <v>39517</v>
      </c>
      <c r="F6401" s="8">
        <v>39517</v>
      </c>
      <c r="G6401" s="8">
        <v>39517</v>
      </c>
      <c r="Y6401" s="8"/>
    </row>
    <row r="6402" spans="1:25" x14ac:dyDescent="0.25">
      <c r="A6402" t="str">
        <f>"08-0177"</f>
        <v>08-0177</v>
      </c>
      <c r="D6402" s="8">
        <v>39517</v>
      </c>
      <c r="F6402" s="8">
        <v>39517</v>
      </c>
      <c r="G6402" s="8">
        <v>39517</v>
      </c>
      <c r="Y6402" s="8"/>
    </row>
    <row r="6403" spans="1:25" x14ac:dyDescent="0.25">
      <c r="A6403" t="str">
        <f>"08-0175"</f>
        <v>08-0175</v>
      </c>
      <c r="D6403" s="8">
        <v>39514</v>
      </c>
      <c r="F6403" s="8">
        <v>39514</v>
      </c>
      <c r="G6403" s="8">
        <v>39514</v>
      </c>
      <c r="Y6403" s="8"/>
    </row>
    <row r="6404" spans="1:25" x14ac:dyDescent="0.25">
      <c r="A6404" t="str">
        <f>"08-0172"</f>
        <v>08-0172</v>
      </c>
      <c r="D6404" s="8">
        <v>39513</v>
      </c>
      <c r="F6404" s="8">
        <v>39513</v>
      </c>
      <c r="G6404" s="8">
        <v>39513</v>
      </c>
      <c r="Y6404" s="8"/>
    </row>
    <row r="6405" spans="1:25" x14ac:dyDescent="0.25">
      <c r="A6405" t="str">
        <f>"08-0173"</f>
        <v>08-0173</v>
      </c>
      <c r="D6405" s="8">
        <v>39513</v>
      </c>
      <c r="F6405" s="8">
        <v>39513</v>
      </c>
      <c r="G6405" s="8">
        <v>39513</v>
      </c>
      <c r="Y6405" s="8"/>
    </row>
    <row r="6406" spans="1:25" x14ac:dyDescent="0.25">
      <c r="A6406" t="str">
        <f>"08-0174"</f>
        <v>08-0174</v>
      </c>
      <c r="D6406" s="8">
        <v>39513</v>
      </c>
      <c r="F6406" s="8">
        <v>39513</v>
      </c>
      <c r="G6406" s="8">
        <v>39513</v>
      </c>
      <c r="Y6406" s="8"/>
    </row>
    <row r="6407" spans="1:25" x14ac:dyDescent="0.25">
      <c r="A6407" t="str">
        <f>"08-0166"</f>
        <v>08-0166</v>
      </c>
      <c r="D6407" s="8">
        <v>39512</v>
      </c>
      <c r="F6407" s="8">
        <v>39512</v>
      </c>
      <c r="G6407" s="8">
        <v>39512</v>
      </c>
      <c r="Y6407" s="8"/>
    </row>
    <row r="6408" spans="1:25" x14ac:dyDescent="0.25">
      <c r="A6408" t="str">
        <f>"08-0167"</f>
        <v>08-0167</v>
      </c>
      <c r="D6408" s="8">
        <v>39512</v>
      </c>
      <c r="F6408" s="8">
        <v>39512</v>
      </c>
      <c r="G6408" s="8">
        <v>39512</v>
      </c>
      <c r="Y6408" s="8"/>
    </row>
    <row r="6409" spans="1:25" x14ac:dyDescent="0.25">
      <c r="A6409" t="str">
        <f>"08-0168"</f>
        <v>08-0168</v>
      </c>
      <c r="D6409" s="8">
        <v>39512</v>
      </c>
      <c r="F6409" s="8">
        <v>39512</v>
      </c>
      <c r="G6409" s="8">
        <v>39512</v>
      </c>
      <c r="Y6409" s="8"/>
    </row>
    <row r="6410" spans="1:25" x14ac:dyDescent="0.25">
      <c r="A6410" t="str">
        <f>"08-0169"</f>
        <v>08-0169</v>
      </c>
      <c r="D6410" s="8">
        <v>39512</v>
      </c>
      <c r="F6410" s="8">
        <v>39512</v>
      </c>
      <c r="G6410" s="8">
        <v>39511</v>
      </c>
      <c r="Y6410" s="8"/>
    </row>
    <row r="6411" spans="1:25" x14ac:dyDescent="0.25">
      <c r="A6411" t="str">
        <f>"08-0170"</f>
        <v>08-0170</v>
      </c>
      <c r="D6411" s="8">
        <v>39512</v>
      </c>
      <c r="F6411" s="8">
        <v>39518</v>
      </c>
      <c r="G6411" s="8">
        <v>39512</v>
      </c>
      <c r="Y6411" s="8"/>
    </row>
    <row r="6412" spans="1:25" x14ac:dyDescent="0.25">
      <c r="A6412" t="str">
        <f>"08-0171"</f>
        <v>08-0171</v>
      </c>
      <c r="D6412" s="8">
        <v>39512</v>
      </c>
      <c r="G6412" s="8">
        <v>39512</v>
      </c>
    </row>
    <row r="6413" spans="1:25" x14ac:dyDescent="0.25">
      <c r="A6413" t="str">
        <f>"08-0162"</f>
        <v>08-0162</v>
      </c>
      <c r="D6413" s="8">
        <v>39511</v>
      </c>
      <c r="F6413" s="8">
        <v>39552</v>
      </c>
      <c r="G6413" s="8">
        <v>39511</v>
      </c>
      <c r="Y6413" s="8"/>
    </row>
    <row r="6414" spans="1:25" x14ac:dyDescent="0.25">
      <c r="A6414" t="str">
        <f>"08-0163"</f>
        <v>08-0163</v>
      </c>
      <c r="D6414" s="8">
        <v>39511</v>
      </c>
      <c r="F6414" s="8">
        <v>39511</v>
      </c>
      <c r="G6414" s="8">
        <v>39511</v>
      </c>
      <c r="Y6414" s="8"/>
    </row>
    <row r="6415" spans="1:25" x14ac:dyDescent="0.25">
      <c r="A6415" t="str">
        <f>"08-0164"</f>
        <v>08-0164</v>
      </c>
      <c r="D6415" s="8">
        <v>39511</v>
      </c>
      <c r="F6415" s="8">
        <v>39511</v>
      </c>
      <c r="G6415" s="8">
        <v>39511</v>
      </c>
      <c r="Y6415" s="8"/>
    </row>
    <row r="6416" spans="1:25" x14ac:dyDescent="0.25">
      <c r="A6416" t="str">
        <f>"08-0165"</f>
        <v>08-0165</v>
      </c>
      <c r="D6416" s="8">
        <v>39511</v>
      </c>
      <c r="F6416" s="8">
        <v>39511</v>
      </c>
      <c r="G6416" s="8">
        <v>39511</v>
      </c>
      <c r="Y6416" s="8"/>
    </row>
    <row r="6417" spans="1:25" x14ac:dyDescent="0.25">
      <c r="A6417" t="str">
        <f>"08-0157"</f>
        <v>08-0157</v>
      </c>
      <c r="D6417" s="8">
        <v>39510</v>
      </c>
      <c r="F6417" s="8">
        <v>39510</v>
      </c>
      <c r="G6417" s="8">
        <v>39510</v>
      </c>
      <c r="Y6417" s="8"/>
    </row>
    <row r="6418" spans="1:25" x14ac:dyDescent="0.25">
      <c r="A6418" t="str">
        <f>"08-0158"</f>
        <v>08-0158</v>
      </c>
      <c r="D6418" s="8">
        <v>39510</v>
      </c>
      <c r="F6418" s="8">
        <v>41291</v>
      </c>
      <c r="G6418" s="8">
        <v>39510</v>
      </c>
      <c r="Y6418" s="8"/>
    </row>
    <row r="6419" spans="1:25" x14ac:dyDescent="0.25">
      <c r="A6419" t="str">
        <f>"08-0159"</f>
        <v>08-0159</v>
      </c>
      <c r="D6419" s="8">
        <v>39510</v>
      </c>
      <c r="F6419" s="8">
        <v>39510</v>
      </c>
      <c r="G6419" s="8">
        <v>39510</v>
      </c>
      <c r="Y6419" s="8"/>
    </row>
    <row r="6420" spans="1:25" x14ac:dyDescent="0.25">
      <c r="A6420" t="str">
        <f>"08-0160"</f>
        <v>08-0160</v>
      </c>
      <c r="D6420" s="8">
        <v>39510</v>
      </c>
      <c r="F6420" s="8">
        <v>39510</v>
      </c>
      <c r="G6420" s="8">
        <v>39510</v>
      </c>
      <c r="Y6420" s="8"/>
    </row>
    <row r="6421" spans="1:25" x14ac:dyDescent="0.25">
      <c r="A6421" t="str">
        <f>"08-0161"</f>
        <v>08-0161</v>
      </c>
      <c r="D6421" s="8">
        <v>39510</v>
      </c>
      <c r="F6421" s="8">
        <v>39510</v>
      </c>
      <c r="G6421" s="8">
        <v>39510</v>
      </c>
      <c r="Y6421" s="8"/>
    </row>
    <row r="6422" spans="1:25" x14ac:dyDescent="0.25">
      <c r="A6422" t="str">
        <f>"08-0155"</f>
        <v>08-0155</v>
      </c>
      <c r="D6422" s="8">
        <v>39507</v>
      </c>
      <c r="F6422" s="8">
        <v>39507</v>
      </c>
      <c r="G6422" s="8">
        <v>39507</v>
      </c>
      <c r="Y6422" s="8"/>
    </row>
    <row r="6423" spans="1:25" x14ac:dyDescent="0.25">
      <c r="A6423" t="str">
        <f>"08-0156"</f>
        <v>08-0156</v>
      </c>
      <c r="D6423" s="8">
        <v>39507</v>
      </c>
      <c r="F6423" s="8">
        <v>39507</v>
      </c>
      <c r="G6423" s="8">
        <v>39507</v>
      </c>
      <c r="Y6423" s="8"/>
    </row>
    <row r="6424" spans="1:25" x14ac:dyDescent="0.25">
      <c r="A6424" t="str">
        <f>"08-0149"</f>
        <v>08-0149</v>
      </c>
      <c r="D6424" s="8">
        <v>39506</v>
      </c>
      <c r="F6424" s="8">
        <v>39506</v>
      </c>
      <c r="G6424" s="8">
        <v>39506</v>
      </c>
      <c r="Y6424" s="8"/>
    </row>
    <row r="6425" spans="1:25" x14ac:dyDescent="0.25">
      <c r="A6425" t="str">
        <f>"08-0150"</f>
        <v>08-0150</v>
      </c>
      <c r="D6425" s="8">
        <v>39506</v>
      </c>
      <c r="F6425" s="8">
        <v>39506</v>
      </c>
      <c r="G6425" s="8">
        <v>39506</v>
      </c>
      <c r="Y6425" s="8"/>
    </row>
    <row r="6426" spans="1:25" x14ac:dyDescent="0.25">
      <c r="A6426" t="str">
        <f>"08-0151"</f>
        <v>08-0151</v>
      </c>
      <c r="D6426" s="8">
        <v>39506</v>
      </c>
      <c r="F6426" s="8">
        <v>39519</v>
      </c>
      <c r="G6426" s="8">
        <v>39506</v>
      </c>
      <c r="Y6426" s="8"/>
    </row>
    <row r="6427" spans="1:25" x14ac:dyDescent="0.25">
      <c r="A6427" t="str">
        <f>"08-0152"</f>
        <v>08-0152</v>
      </c>
      <c r="D6427" s="8">
        <v>39506</v>
      </c>
      <c r="F6427" s="8">
        <v>39506</v>
      </c>
      <c r="G6427" s="8">
        <v>39506</v>
      </c>
      <c r="Y6427" s="8"/>
    </row>
    <row r="6428" spans="1:25" x14ac:dyDescent="0.25">
      <c r="A6428" t="str">
        <f>"08-0153"</f>
        <v>08-0153</v>
      </c>
      <c r="D6428" s="8">
        <v>39506</v>
      </c>
      <c r="F6428" s="8">
        <v>39513</v>
      </c>
      <c r="G6428" s="8">
        <v>39514</v>
      </c>
      <c r="Y6428" s="8"/>
    </row>
    <row r="6429" spans="1:25" x14ac:dyDescent="0.25">
      <c r="A6429" t="str">
        <f>"08-0154"</f>
        <v>08-0154</v>
      </c>
      <c r="D6429" s="8">
        <v>39506</v>
      </c>
      <c r="F6429" s="8">
        <v>39506</v>
      </c>
      <c r="G6429" s="8">
        <v>39505</v>
      </c>
      <c r="Y6429" s="8"/>
    </row>
    <row r="6430" spans="1:25" x14ac:dyDescent="0.25">
      <c r="A6430" t="str">
        <f>"08-0147"</f>
        <v>08-0147</v>
      </c>
      <c r="D6430" s="8">
        <v>39505</v>
      </c>
      <c r="F6430" s="8">
        <v>39517</v>
      </c>
      <c r="G6430" s="8">
        <v>39507</v>
      </c>
      <c r="Y6430" s="8"/>
    </row>
    <row r="6431" spans="1:25" x14ac:dyDescent="0.25">
      <c r="A6431" t="str">
        <f>"08-0148"</f>
        <v>08-0148</v>
      </c>
      <c r="D6431" s="8">
        <v>39505</v>
      </c>
      <c r="F6431" s="8">
        <v>39505</v>
      </c>
      <c r="G6431" s="8">
        <v>39505</v>
      </c>
      <c r="Y6431" s="8"/>
    </row>
    <row r="6432" spans="1:25" x14ac:dyDescent="0.25">
      <c r="A6432" t="str">
        <f>"08-0143"</f>
        <v>08-0143</v>
      </c>
      <c r="D6432" s="8">
        <v>39503</v>
      </c>
      <c r="F6432" s="8">
        <v>39503</v>
      </c>
      <c r="G6432" s="8">
        <v>39503</v>
      </c>
      <c r="Y6432" s="8"/>
    </row>
    <row r="6433" spans="1:25" x14ac:dyDescent="0.25">
      <c r="A6433" t="str">
        <f>"08-0144"</f>
        <v>08-0144</v>
      </c>
      <c r="D6433" s="8">
        <v>39503</v>
      </c>
      <c r="F6433" s="8">
        <v>39503</v>
      </c>
      <c r="G6433" s="8">
        <v>39503</v>
      </c>
      <c r="Y6433" s="8"/>
    </row>
    <row r="6434" spans="1:25" x14ac:dyDescent="0.25">
      <c r="A6434" t="str">
        <f>"08-0145"</f>
        <v>08-0145</v>
      </c>
      <c r="D6434" s="8">
        <v>39503</v>
      </c>
      <c r="F6434" s="8">
        <v>39503</v>
      </c>
      <c r="G6434" s="8">
        <v>39503</v>
      </c>
      <c r="Y6434" s="8"/>
    </row>
    <row r="6435" spans="1:25" x14ac:dyDescent="0.25">
      <c r="A6435" t="str">
        <f>"08-0146"</f>
        <v>08-0146</v>
      </c>
      <c r="D6435" s="8">
        <v>39503</v>
      </c>
      <c r="F6435" s="8">
        <v>39503</v>
      </c>
      <c r="G6435" s="8">
        <v>39503</v>
      </c>
      <c r="Y6435" s="8"/>
    </row>
    <row r="6436" spans="1:25" x14ac:dyDescent="0.25">
      <c r="A6436" t="str">
        <f>"08-0138"</f>
        <v>08-0138</v>
      </c>
      <c r="D6436" s="8">
        <v>39500</v>
      </c>
      <c r="F6436" s="8">
        <v>39500</v>
      </c>
      <c r="G6436" s="8">
        <v>39504</v>
      </c>
      <c r="Y6436" s="8"/>
    </row>
    <row r="6437" spans="1:25" x14ac:dyDescent="0.25">
      <c r="A6437" t="str">
        <f>"08-0139"</f>
        <v>08-0139</v>
      </c>
      <c r="D6437" s="8">
        <v>39500</v>
      </c>
      <c r="F6437" s="8">
        <v>39503</v>
      </c>
      <c r="G6437" s="8">
        <v>39503</v>
      </c>
      <c r="Y6437" s="8"/>
    </row>
    <row r="6438" spans="1:25" x14ac:dyDescent="0.25">
      <c r="A6438" t="str">
        <f>"08-0140"</f>
        <v>08-0140</v>
      </c>
      <c r="D6438" s="8">
        <v>39500</v>
      </c>
      <c r="F6438" s="8">
        <v>39503</v>
      </c>
      <c r="G6438" s="8">
        <v>39504</v>
      </c>
      <c r="Y6438" s="8"/>
    </row>
    <row r="6439" spans="1:25" x14ac:dyDescent="0.25">
      <c r="A6439" t="str">
        <f>"08-0141"</f>
        <v>08-0141</v>
      </c>
      <c r="D6439" s="8">
        <v>39500</v>
      </c>
      <c r="F6439" s="8">
        <v>39513</v>
      </c>
      <c r="G6439" s="8">
        <v>39504</v>
      </c>
      <c r="Y6439" s="8"/>
    </row>
    <row r="6440" spans="1:25" x14ac:dyDescent="0.25">
      <c r="A6440" t="str">
        <f>"08-0142"</f>
        <v>08-0142</v>
      </c>
      <c r="D6440" s="8">
        <v>39500</v>
      </c>
      <c r="F6440" s="8">
        <v>39505</v>
      </c>
      <c r="G6440" s="8">
        <v>39500</v>
      </c>
      <c r="Y6440" s="8"/>
    </row>
    <row r="6441" spans="1:25" x14ac:dyDescent="0.25">
      <c r="A6441" t="str">
        <f>"08-0133"</f>
        <v>08-0133</v>
      </c>
      <c r="D6441" s="8">
        <v>39499</v>
      </c>
      <c r="F6441" s="8">
        <v>39499</v>
      </c>
      <c r="G6441" s="8">
        <v>39499</v>
      </c>
      <c r="Y6441" s="8"/>
    </row>
    <row r="6442" spans="1:25" x14ac:dyDescent="0.25">
      <c r="A6442" t="str">
        <f>"08-0134"</f>
        <v>08-0134</v>
      </c>
      <c r="D6442" s="8">
        <v>39499</v>
      </c>
      <c r="F6442" s="8">
        <v>39499</v>
      </c>
      <c r="G6442" s="8">
        <v>39499</v>
      </c>
      <c r="Y6442" s="8"/>
    </row>
    <row r="6443" spans="1:25" x14ac:dyDescent="0.25">
      <c r="A6443" t="str">
        <f>"08-0135"</f>
        <v>08-0135</v>
      </c>
      <c r="D6443" s="8">
        <v>39499</v>
      </c>
      <c r="F6443" s="8">
        <v>39499</v>
      </c>
      <c r="G6443" s="8">
        <v>39499</v>
      </c>
      <c r="Y6443" s="8"/>
    </row>
    <row r="6444" spans="1:25" x14ac:dyDescent="0.25">
      <c r="A6444" t="str">
        <f>"08-0136"</f>
        <v>08-0136</v>
      </c>
      <c r="D6444" s="8">
        <v>39499</v>
      </c>
      <c r="F6444" s="8">
        <v>39507</v>
      </c>
      <c r="G6444" s="8">
        <v>39499</v>
      </c>
      <c r="Y6444" s="8"/>
    </row>
    <row r="6445" spans="1:25" x14ac:dyDescent="0.25">
      <c r="A6445" t="str">
        <f>"08-0137"</f>
        <v>08-0137</v>
      </c>
      <c r="D6445" s="8">
        <v>39499</v>
      </c>
      <c r="F6445" s="8">
        <v>39499</v>
      </c>
      <c r="G6445" s="8">
        <v>39499</v>
      </c>
      <c r="Y6445" s="8"/>
    </row>
    <row r="6446" spans="1:25" x14ac:dyDescent="0.25">
      <c r="A6446" t="str">
        <f>"08-0125"</f>
        <v>08-0125</v>
      </c>
      <c r="D6446" s="8">
        <v>39498</v>
      </c>
      <c r="F6446" s="8">
        <v>39744</v>
      </c>
      <c r="G6446" s="8">
        <v>39498</v>
      </c>
      <c r="Y6446" s="8"/>
    </row>
    <row r="6447" spans="1:25" x14ac:dyDescent="0.25">
      <c r="A6447" t="str">
        <f>"08-0126"</f>
        <v>08-0126</v>
      </c>
      <c r="D6447" s="8">
        <v>39498</v>
      </c>
      <c r="F6447" s="8">
        <v>39498</v>
      </c>
      <c r="G6447" s="8">
        <v>39498</v>
      </c>
      <c r="Y6447" s="8"/>
    </row>
    <row r="6448" spans="1:25" x14ac:dyDescent="0.25">
      <c r="A6448" t="str">
        <f>"08-0127"</f>
        <v>08-0127</v>
      </c>
      <c r="D6448" s="8">
        <v>39498</v>
      </c>
      <c r="F6448" s="8">
        <v>39498</v>
      </c>
      <c r="G6448" s="8">
        <v>39498</v>
      </c>
      <c r="Y6448" s="8"/>
    </row>
    <row r="6449" spans="1:25" x14ac:dyDescent="0.25">
      <c r="A6449" t="str">
        <f>"08-0128"</f>
        <v>08-0128</v>
      </c>
      <c r="D6449" s="8">
        <v>39498</v>
      </c>
      <c r="F6449" s="8">
        <v>39498</v>
      </c>
      <c r="G6449" s="8">
        <v>39498</v>
      </c>
      <c r="Y6449" s="8"/>
    </row>
    <row r="6450" spans="1:25" x14ac:dyDescent="0.25">
      <c r="A6450" t="str">
        <f>"08-0129"</f>
        <v>08-0129</v>
      </c>
      <c r="D6450" s="8">
        <v>39498</v>
      </c>
      <c r="F6450" s="8">
        <v>39498</v>
      </c>
      <c r="G6450" s="8">
        <v>39498</v>
      </c>
      <c r="Y6450" s="8"/>
    </row>
    <row r="6451" spans="1:25" x14ac:dyDescent="0.25">
      <c r="A6451" t="str">
        <f>"08-0130"</f>
        <v>08-0130</v>
      </c>
      <c r="D6451" s="8">
        <v>39498</v>
      </c>
      <c r="F6451" s="8">
        <v>39498</v>
      </c>
      <c r="G6451" s="8">
        <v>39498</v>
      </c>
      <c r="Y6451" s="8"/>
    </row>
    <row r="6452" spans="1:25" x14ac:dyDescent="0.25">
      <c r="A6452" t="str">
        <f>"08-0131"</f>
        <v>08-0131</v>
      </c>
      <c r="D6452" s="8">
        <v>39498</v>
      </c>
      <c r="F6452" s="8">
        <v>39498</v>
      </c>
      <c r="G6452" s="8">
        <v>39498</v>
      </c>
      <c r="Y6452" s="8"/>
    </row>
    <row r="6453" spans="1:25" x14ac:dyDescent="0.25">
      <c r="A6453" t="str">
        <f>"08-0132"</f>
        <v>08-0132</v>
      </c>
      <c r="D6453" s="8">
        <v>39498</v>
      </c>
      <c r="F6453" s="8">
        <v>39499</v>
      </c>
      <c r="G6453" s="8">
        <v>39498</v>
      </c>
      <c r="Y6453" s="8"/>
    </row>
    <row r="6454" spans="1:25" x14ac:dyDescent="0.25">
      <c r="A6454" t="str">
        <f>"08-0122"</f>
        <v>08-0122</v>
      </c>
      <c r="D6454" s="8">
        <v>39497</v>
      </c>
      <c r="F6454" s="8">
        <v>39525</v>
      </c>
      <c r="G6454" s="8">
        <v>39497</v>
      </c>
      <c r="Y6454" s="8"/>
    </row>
    <row r="6455" spans="1:25" x14ac:dyDescent="0.25">
      <c r="A6455" t="str">
        <f>"08-0123"</f>
        <v>08-0123</v>
      </c>
      <c r="D6455" s="8">
        <v>39497</v>
      </c>
      <c r="F6455" s="8">
        <v>39497</v>
      </c>
      <c r="G6455" s="8">
        <v>39497</v>
      </c>
      <c r="Y6455" s="8"/>
    </row>
    <row r="6456" spans="1:25" x14ac:dyDescent="0.25">
      <c r="A6456" t="str">
        <f>"08-0124"</f>
        <v>08-0124</v>
      </c>
      <c r="D6456" s="8">
        <v>39497</v>
      </c>
      <c r="F6456" s="8">
        <v>39519</v>
      </c>
      <c r="G6456" s="8">
        <v>39497</v>
      </c>
      <c r="Y6456" s="8"/>
    </row>
    <row r="6457" spans="1:25" x14ac:dyDescent="0.25">
      <c r="A6457" t="str">
        <f>"08-0119"</f>
        <v>08-0119</v>
      </c>
      <c r="D6457" s="8">
        <v>39496</v>
      </c>
      <c r="F6457" s="8">
        <v>39498</v>
      </c>
      <c r="G6457" s="8">
        <v>39496</v>
      </c>
      <c r="Y6457" s="8"/>
    </row>
    <row r="6458" spans="1:25" x14ac:dyDescent="0.25">
      <c r="A6458" t="str">
        <f>"08-0120"</f>
        <v>08-0120</v>
      </c>
      <c r="D6458" s="8">
        <v>39496</v>
      </c>
      <c r="F6458" s="8">
        <v>39496</v>
      </c>
      <c r="G6458" s="8">
        <v>39496</v>
      </c>
      <c r="Y6458" s="8"/>
    </row>
    <row r="6459" spans="1:25" x14ac:dyDescent="0.25">
      <c r="A6459" t="str">
        <f>"08-0121"</f>
        <v>08-0121</v>
      </c>
      <c r="D6459" s="8">
        <v>39496</v>
      </c>
      <c r="F6459" s="8">
        <v>39496</v>
      </c>
      <c r="G6459" s="8">
        <v>39496</v>
      </c>
      <c r="Y6459" s="8"/>
    </row>
    <row r="6460" spans="1:25" x14ac:dyDescent="0.25">
      <c r="A6460" t="str">
        <f>"07-0885C"</f>
        <v>07-0885C</v>
      </c>
      <c r="D6460" s="8">
        <v>39493</v>
      </c>
      <c r="F6460" s="8">
        <v>39493</v>
      </c>
      <c r="G6460" s="8">
        <v>39493</v>
      </c>
      <c r="Y6460" s="8"/>
    </row>
    <row r="6461" spans="1:25" x14ac:dyDescent="0.25">
      <c r="A6461" t="str">
        <f>"08-0115"</f>
        <v>08-0115</v>
      </c>
      <c r="D6461" s="8">
        <v>39493</v>
      </c>
      <c r="F6461" s="8">
        <v>39493</v>
      </c>
      <c r="G6461" s="8">
        <v>39493</v>
      </c>
      <c r="Y6461" s="8"/>
    </row>
    <row r="6462" spans="1:25" x14ac:dyDescent="0.25">
      <c r="A6462" t="str">
        <f>"08-0116"</f>
        <v>08-0116</v>
      </c>
      <c r="D6462" s="8">
        <v>39493</v>
      </c>
      <c r="F6462" s="8">
        <v>39493</v>
      </c>
      <c r="G6462" s="8">
        <v>39493</v>
      </c>
      <c r="Y6462" s="8"/>
    </row>
    <row r="6463" spans="1:25" x14ac:dyDescent="0.25">
      <c r="A6463" t="str">
        <f>"08-0117"</f>
        <v>08-0117</v>
      </c>
      <c r="D6463" s="8">
        <v>39493</v>
      </c>
      <c r="F6463" s="8">
        <v>39493</v>
      </c>
      <c r="G6463" s="8">
        <v>39486</v>
      </c>
      <c r="Y6463" s="8"/>
    </row>
    <row r="6464" spans="1:25" x14ac:dyDescent="0.25">
      <c r="A6464" t="str">
        <f>"08-0108"</f>
        <v>08-0108</v>
      </c>
      <c r="D6464" s="8">
        <v>39492</v>
      </c>
      <c r="F6464" s="8">
        <v>39492</v>
      </c>
      <c r="G6464" s="8">
        <v>39492</v>
      </c>
      <c r="Y6464" s="8"/>
    </row>
    <row r="6465" spans="1:25" x14ac:dyDescent="0.25">
      <c r="A6465" t="str">
        <f>"08-0109"</f>
        <v>08-0109</v>
      </c>
      <c r="D6465" s="8">
        <v>39492</v>
      </c>
      <c r="F6465" s="8">
        <v>39492</v>
      </c>
      <c r="G6465" s="8">
        <v>39492</v>
      </c>
      <c r="Y6465" s="8"/>
    </row>
    <row r="6466" spans="1:25" x14ac:dyDescent="0.25">
      <c r="A6466" t="str">
        <f>"08-0110"</f>
        <v>08-0110</v>
      </c>
      <c r="D6466" s="8">
        <v>39492</v>
      </c>
      <c r="F6466" s="8">
        <v>39492</v>
      </c>
      <c r="G6466" s="8">
        <v>39492</v>
      </c>
      <c r="Y6466" s="8"/>
    </row>
    <row r="6467" spans="1:25" x14ac:dyDescent="0.25">
      <c r="A6467" t="str">
        <f>"08-0111"</f>
        <v>08-0111</v>
      </c>
      <c r="D6467" s="8">
        <v>39492</v>
      </c>
      <c r="F6467" s="8">
        <v>39618</v>
      </c>
      <c r="G6467" s="8">
        <v>39492</v>
      </c>
      <c r="Y6467" s="8"/>
    </row>
    <row r="6468" spans="1:25" x14ac:dyDescent="0.25">
      <c r="A6468" t="str">
        <f>"08-0112"</f>
        <v>08-0112</v>
      </c>
      <c r="D6468" s="8">
        <v>39492</v>
      </c>
      <c r="F6468" s="8">
        <v>39492</v>
      </c>
      <c r="G6468" s="8">
        <v>39492</v>
      </c>
      <c r="Y6468" s="8"/>
    </row>
    <row r="6469" spans="1:25" x14ac:dyDescent="0.25">
      <c r="A6469" t="str">
        <f>"08-0113"</f>
        <v>08-0113</v>
      </c>
      <c r="D6469" s="8">
        <v>39492</v>
      </c>
      <c r="F6469" s="8">
        <v>39492</v>
      </c>
      <c r="G6469" s="8">
        <v>39492</v>
      </c>
      <c r="Y6469" s="8"/>
    </row>
    <row r="6470" spans="1:25" x14ac:dyDescent="0.25">
      <c r="A6470" t="str">
        <f>"08-0114"</f>
        <v>08-0114</v>
      </c>
      <c r="D6470" s="8">
        <v>39492</v>
      </c>
      <c r="F6470" s="8">
        <v>39492</v>
      </c>
      <c r="G6470" s="8">
        <v>39492</v>
      </c>
      <c r="Y6470" s="8"/>
    </row>
    <row r="6471" spans="1:25" x14ac:dyDescent="0.25">
      <c r="A6471" t="str">
        <f>"08-0102"</f>
        <v>08-0102</v>
      </c>
      <c r="D6471" s="8">
        <v>39491</v>
      </c>
      <c r="F6471" s="8">
        <v>39499</v>
      </c>
      <c r="G6471" s="8">
        <v>39491</v>
      </c>
      <c r="Y6471" s="8"/>
    </row>
    <row r="6472" spans="1:25" x14ac:dyDescent="0.25">
      <c r="A6472" t="str">
        <f>"08-0103"</f>
        <v>08-0103</v>
      </c>
      <c r="D6472" s="8">
        <v>39491</v>
      </c>
      <c r="F6472" s="8">
        <v>39510</v>
      </c>
      <c r="G6472" s="8">
        <v>39491</v>
      </c>
      <c r="Y6472" s="8"/>
    </row>
    <row r="6473" spans="1:25" x14ac:dyDescent="0.25">
      <c r="A6473" t="str">
        <f>"08-0104"</f>
        <v>08-0104</v>
      </c>
      <c r="D6473" s="8">
        <v>39491</v>
      </c>
      <c r="F6473" s="8">
        <v>39491</v>
      </c>
      <c r="G6473" s="8">
        <v>39491</v>
      </c>
      <c r="Y6473" s="8"/>
    </row>
    <row r="6474" spans="1:25" x14ac:dyDescent="0.25">
      <c r="A6474" t="str">
        <f>"08-0105"</f>
        <v>08-0105</v>
      </c>
      <c r="D6474" s="8">
        <v>39491</v>
      </c>
      <c r="F6474" s="8">
        <v>39491</v>
      </c>
      <c r="G6474" s="8">
        <v>39491</v>
      </c>
      <c r="Y6474" s="8"/>
    </row>
    <row r="6475" spans="1:25" x14ac:dyDescent="0.25">
      <c r="A6475" t="str">
        <f>"08-0106"</f>
        <v>08-0106</v>
      </c>
      <c r="D6475" s="8">
        <v>39491</v>
      </c>
      <c r="F6475" s="8">
        <v>39491</v>
      </c>
      <c r="G6475" s="8">
        <v>39491</v>
      </c>
      <c r="Y6475" s="8"/>
    </row>
    <row r="6476" spans="1:25" x14ac:dyDescent="0.25">
      <c r="A6476" t="str">
        <f>"08-0107"</f>
        <v>08-0107</v>
      </c>
      <c r="D6476" s="8">
        <v>39491</v>
      </c>
      <c r="F6476" s="8">
        <v>39492</v>
      </c>
      <c r="G6476" s="8">
        <v>39491</v>
      </c>
      <c r="Y6476" s="8"/>
    </row>
    <row r="6477" spans="1:25" x14ac:dyDescent="0.25">
      <c r="A6477" t="str">
        <f>"08-0094"</f>
        <v>08-0094</v>
      </c>
      <c r="D6477" s="8">
        <v>39490</v>
      </c>
      <c r="F6477" s="8">
        <v>39532</v>
      </c>
      <c r="G6477" s="8">
        <v>39490</v>
      </c>
      <c r="Y6477" s="8"/>
    </row>
    <row r="6478" spans="1:25" x14ac:dyDescent="0.25">
      <c r="A6478" t="str">
        <f>"08-0095"</f>
        <v>08-0095</v>
      </c>
      <c r="D6478" s="8">
        <v>39490</v>
      </c>
      <c r="F6478" s="8">
        <v>39490</v>
      </c>
      <c r="G6478" s="8">
        <v>39490</v>
      </c>
      <c r="Y6478" s="8"/>
    </row>
    <row r="6479" spans="1:25" x14ac:dyDescent="0.25">
      <c r="A6479" t="str">
        <f>"08-0096"</f>
        <v>08-0096</v>
      </c>
      <c r="D6479" s="8">
        <v>39490</v>
      </c>
      <c r="F6479" s="8">
        <v>39490</v>
      </c>
      <c r="G6479" s="8">
        <v>39490</v>
      </c>
      <c r="Y6479" s="8"/>
    </row>
    <row r="6480" spans="1:25" x14ac:dyDescent="0.25">
      <c r="A6480" t="str">
        <f>"08-0097"</f>
        <v>08-0097</v>
      </c>
      <c r="D6480" s="8">
        <v>39490</v>
      </c>
      <c r="F6480" s="8">
        <v>39490</v>
      </c>
      <c r="G6480" s="8">
        <v>39490</v>
      </c>
      <c r="Y6480" s="8"/>
    </row>
    <row r="6481" spans="1:25" x14ac:dyDescent="0.25">
      <c r="A6481" t="str">
        <f>"08-0098"</f>
        <v>08-0098</v>
      </c>
      <c r="D6481" s="8">
        <v>39490</v>
      </c>
      <c r="F6481" s="8">
        <v>39490</v>
      </c>
      <c r="G6481" s="8">
        <v>39490</v>
      </c>
      <c r="Y6481" s="8"/>
    </row>
    <row r="6482" spans="1:25" x14ac:dyDescent="0.25">
      <c r="A6482" t="str">
        <f>"08-0099"</f>
        <v>08-0099</v>
      </c>
      <c r="D6482" s="8">
        <v>39490</v>
      </c>
      <c r="F6482" s="8">
        <v>39490</v>
      </c>
      <c r="G6482" s="8">
        <v>39492</v>
      </c>
      <c r="Y6482" s="8"/>
    </row>
    <row r="6483" spans="1:25" x14ac:dyDescent="0.25">
      <c r="A6483" t="str">
        <f>"08-0100"</f>
        <v>08-0100</v>
      </c>
      <c r="D6483" s="8">
        <v>39490</v>
      </c>
      <c r="F6483" s="8">
        <v>39490</v>
      </c>
      <c r="G6483" s="8">
        <v>39490</v>
      </c>
      <c r="Y6483" s="8"/>
    </row>
    <row r="6484" spans="1:25" x14ac:dyDescent="0.25">
      <c r="A6484" t="str">
        <f>"08-0101"</f>
        <v>08-0101</v>
      </c>
      <c r="D6484" s="8">
        <v>39490</v>
      </c>
      <c r="F6484" s="8">
        <v>39490</v>
      </c>
      <c r="G6484" s="8">
        <v>39490</v>
      </c>
      <c r="Y6484" s="8"/>
    </row>
    <row r="6485" spans="1:25" x14ac:dyDescent="0.25">
      <c r="A6485" t="str">
        <f>"08-0082B"</f>
        <v>08-0082B</v>
      </c>
      <c r="D6485" s="8">
        <v>39489</v>
      </c>
      <c r="F6485" s="8">
        <v>39489</v>
      </c>
      <c r="G6485" s="8">
        <v>39489</v>
      </c>
      <c r="Y6485" s="8"/>
    </row>
    <row r="6486" spans="1:25" x14ac:dyDescent="0.25">
      <c r="A6486" t="str">
        <f>"08-0091"</f>
        <v>08-0091</v>
      </c>
      <c r="D6486" s="8">
        <v>39489</v>
      </c>
      <c r="F6486" s="8">
        <v>39489</v>
      </c>
      <c r="G6486" s="8">
        <v>39489</v>
      </c>
      <c r="Y6486" s="8"/>
    </row>
    <row r="6487" spans="1:25" x14ac:dyDescent="0.25">
      <c r="A6487" t="str">
        <f>"08-0092"</f>
        <v>08-0092</v>
      </c>
      <c r="D6487" s="8">
        <v>39489</v>
      </c>
      <c r="F6487" s="8">
        <v>40875</v>
      </c>
      <c r="G6487" s="8">
        <v>39489</v>
      </c>
      <c r="Y6487" s="8"/>
    </row>
    <row r="6488" spans="1:25" x14ac:dyDescent="0.25">
      <c r="A6488" t="str">
        <f>"08-0093"</f>
        <v>08-0093</v>
      </c>
      <c r="D6488" s="8">
        <v>39489</v>
      </c>
      <c r="F6488" s="8">
        <v>39489</v>
      </c>
      <c r="G6488" s="8">
        <v>39489</v>
      </c>
      <c r="Y6488" s="8"/>
    </row>
    <row r="6489" spans="1:25" x14ac:dyDescent="0.25">
      <c r="A6489" t="str">
        <f>"07-0365E"</f>
        <v>07-0365E</v>
      </c>
      <c r="D6489" s="8">
        <v>39486</v>
      </c>
      <c r="F6489" s="8">
        <v>39532</v>
      </c>
      <c r="G6489" s="8">
        <v>39490</v>
      </c>
      <c r="Y6489" s="8"/>
    </row>
    <row r="6490" spans="1:25" x14ac:dyDescent="0.25">
      <c r="A6490" t="str">
        <f>"08-0084"</f>
        <v>08-0084</v>
      </c>
      <c r="D6490" s="8">
        <v>39486</v>
      </c>
      <c r="F6490" s="8">
        <v>39486</v>
      </c>
      <c r="G6490" s="8">
        <v>39486</v>
      </c>
      <c r="Y6490" s="8"/>
    </row>
    <row r="6491" spans="1:25" x14ac:dyDescent="0.25">
      <c r="A6491" t="str">
        <f>"08-0085"</f>
        <v>08-0085</v>
      </c>
      <c r="D6491" s="8">
        <v>39486</v>
      </c>
      <c r="F6491" s="8">
        <v>39619</v>
      </c>
      <c r="G6491" s="8">
        <v>39488</v>
      </c>
      <c r="Y6491" s="8"/>
    </row>
    <row r="6492" spans="1:25" x14ac:dyDescent="0.25">
      <c r="A6492" t="str">
        <f>"08-0086"</f>
        <v>08-0086</v>
      </c>
      <c r="D6492" s="8">
        <v>39486</v>
      </c>
      <c r="F6492" s="8">
        <v>39486</v>
      </c>
      <c r="G6492" s="8">
        <v>39486</v>
      </c>
      <c r="Y6492" s="8"/>
    </row>
    <row r="6493" spans="1:25" x14ac:dyDescent="0.25">
      <c r="A6493" t="str">
        <f>"08-0087"</f>
        <v>08-0087</v>
      </c>
      <c r="D6493" s="8">
        <v>39486</v>
      </c>
      <c r="F6493" s="8">
        <v>39489</v>
      </c>
      <c r="G6493" s="8">
        <v>39489</v>
      </c>
      <c r="Y6493" s="8"/>
    </row>
    <row r="6494" spans="1:25" x14ac:dyDescent="0.25">
      <c r="A6494" t="str">
        <f>"08-0088"</f>
        <v>08-0088</v>
      </c>
      <c r="D6494" s="8">
        <v>39486</v>
      </c>
      <c r="F6494" s="8">
        <v>39486</v>
      </c>
      <c r="G6494" s="8">
        <v>39486</v>
      </c>
      <c r="Y6494" s="8"/>
    </row>
    <row r="6495" spans="1:25" x14ac:dyDescent="0.25">
      <c r="A6495" t="str">
        <f>"08-0089"</f>
        <v>08-0089</v>
      </c>
      <c r="D6495" s="8">
        <v>39486</v>
      </c>
      <c r="F6495" s="8">
        <v>39499</v>
      </c>
      <c r="G6495" s="8">
        <v>39486</v>
      </c>
      <c r="Y6495" s="8"/>
    </row>
    <row r="6496" spans="1:25" x14ac:dyDescent="0.25">
      <c r="A6496" t="str">
        <f>"08-0090"</f>
        <v>08-0090</v>
      </c>
      <c r="D6496" s="8">
        <v>39486</v>
      </c>
      <c r="F6496" s="8">
        <v>39735</v>
      </c>
      <c r="G6496" s="8">
        <v>39490</v>
      </c>
      <c r="Y6496" s="8"/>
    </row>
    <row r="6497" spans="1:25" x14ac:dyDescent="0.25">
      <c r="A6497" t="str">
        <f>"08-0081"</f>
        <v>08-0081</v>
      </c>
      <c r="D6497" s="8">
        <v>39485</v>
      </c>
      <c r="F6497" s="8">
        <v>39485</v>
      </c>
      <c r="G6497" s="8">
        <v>39486</v>
      </c>
      <c r="Y6497" s="8"/>
    </row>
    <row r="6498" spans="1:25" x14ac:dyDescent="0.25">
      <c r="A6498" t="str">
        <f>"08-0082"</f>
        <v>08-0082</v>
      </c>
      <c r="D6498" s="8">
        <v>39485</v>
      </c>
      <c r="F6498" s="8">
        <v>39485</v>
      </c>
      <c r="G6498" s="8">
        <v>39485</v>
      </c>
      <c r="Y6498" s="8"/>
    </row>
    <row r="6499" spans="1:25" x14ac:dyDescent="0.25">
      <c r="A6499" t="str">
        <f>"08-0083"</f>
        <v>08-0083</v>
      </c>
      <c r="D6499" s="8">
        <v>39485</v>
      </c>
      <c r="F6499" s="8">
        <v>39486</v>
      </c>
      <c r="G6499" s="8">
        <v>39485</v>
      </c>
      <c r="Y6499" s="8"/>
    </row>
    <row r="6500" spans="1:25" x14ac:dyDescent="0.25">
      <c r="A6500" t="str">
        <f>"08-0077"</f>
        <v>08-0077</v>
      </c>
      <c r="D6500" s="8">
        <v>39484</v>
      </c>
      <c r="F6500" s="8">
        <v>39485</v>
      </c>
      <c r="G6500" s="8">
        <v>39484</v>
      </c>
      <c r="Y6500" s="8"/>
    </row>
    <row r="6501" spans="1:25" x14ac:dyDescent="0.25">
      <c r="A6501" t="str">
        <f>"08-0078"</f>
        <v>08-0078</v>
      </c>
      <c r="D6501" s="8">
        <v>39484</v>
      </c>
      <c r="F6501" s="8">
        <v>39484</v>
      </c>
      <c r="G6501" s="8">
        <v>39484</v>
      </c>
      <c r="Y6501" s="8"/>
    </row>
    <row r="6502" spans="1:25" x14ac:dyDescent="0.25">
      <c r="A6502" t="str">
        <f>"08-0079"</f>
        <v>08-0079</v>
      </c>
      <c r="D6502" s="8">
        <v>39484</v>
      </c>
      <c r="F6502" s="8">
        <v>39490</v>
      </c>
      <c r="G6502" s="8">
        <v>39486</v>
      </c>
      <c r="Y6502" s="8"/>
    </row>
    <row r="6503" spans="1:25" x14ac:dyDescent="0.25">
      <c r="A6503" t="str">
        <f>"08-0080"</f>
        <v>08-0080</v>
      </c>
      <c r="D6503" s="8">
        <v>39484</v>
      </c>
      <c r="F6503" s="8">
        <v>39496</v>
      </c>
      <c r="G6503" s="8">
        <v>39486</v>
      </c>
      <c r="Y6503" s="8"/>
    </row>
    <row r="6504" spans="1:25" x14ac:dyDescent="0.25">
      <c r="A6504" t="str">
        <f>"08-0075"</f>
        <v>08-0075</v>
      </c>
      <c r="D6504" s="8">
        <v>39483</v>
      </c>
      <c r="F6504" s="8">
        <v>39483</v>
      </c>
      <c r="G6504" s="8">
        <v>39476</v>
      </c>
      <c r="Y6504" s="8"/>
    </row>
    <row r="6505" spans="1:25" x14ac:dyDescent="0.25">
      <c r="A6505" t="str">
        <f>"08-0076"</f>
        <v>08-0076</v>
      </c>
      <c r="D6505" s="8">
        <v>39483</v>
      </c>
      <c r="F6505" s="8">
        <v>39483</v>
      </c>
      <c r="G6505" s="8">
        <v>39476</v>
      </c>
      <c r="Y6505" s="8"/>
    </row>
    <row r="6506" spans="1:25" x14ac:dyDescent="0.25">
      <c r="A6506" t="str">
        <f>"08-0070"</f>
        <v>08-0070</v>
      </c>
      <c r="D6506" s="8">
        <v>39482</v>
      </c>
      <c r="F6506" s="8">
        <v>39482</v>
      </c>
      <c r="G6506" s="8">
        <v>39482</v>
      </c>
      <c r="Y6506" s="8"/>
    </row>
    <row r="6507" spans="1:25" x14ac:dyDescent="0.25">
      <c r="A6507" t="str">
        <f>"08-0070B"</f>
        <v>08-0070B</v>
      </c>
      <c r="D6507" s="8">
        <v>39482</v>
      </c>
      <c r="F6507" s="8">
        <v>39482</v>
      </c>
      <c r="G6507" s="8">
        <v>39482</v>
      </c>
      <c r="Y6507" s="8"/>
    </row>
    <row r="6508" spans="1:25" x14ac:dyDescent="0.25">
      <c r="A6508" t="str">
        <f>"08-0071"</f>
        <v>08-0071</v>
      </c>
      <c r="D6508" s="8">
        <v>39482</v>
      </c>
      <c r="F6508" s="8">
        <v>39552</v>
      </c>
      <c r="G6508" s="8">
        <v>39482</v>
      </c>
      <c r="Y6508" s="8"/>
    </row>
    <row r="6509" spans="1:25" x14ac:dyDescent="0.25">
      <c r="A6509" t="str">
        <f>"08-0072"</f>
        <v>08-0072</v>
      </c>
      <c r="D6509" s="8">
        <v>39482</v>
      </c>
      <c r="F6509" s="8">
        <v>39482</v>
      </c>
      <c r="G6509" s="8">
        <v>39482</v>
      </c>
      <c r="Y6509" s="8"/>
    </row>
    <row r="6510" spans="1:25" x14ac:dyDescent="0.25">
      <c r="A6510" t="str">
        <f>"08-0073"</f>
        <v>08-0073</v>
      </c>
      <c r="D6510" s="8">
        <v>39482</v>
      </c>
      <c r="F6510" s="8">
        <v>39482</v>
      </c>
      <c r="G6510" s="8">
        <v>39482</v>
      </c>
      <c r="Y6510" s="8"/>
    </row>
    <row r="6511" spans="1:25" x14ac:dyDescent="0.25">
      <c r="A6511" t="str">
        <f>"08-0074"</f>
        <v>08-0074</v>
      </c>
      <c r="D6511" s="8">
        <v>39482</v>
      </c>
      <c r="F6511" s="8">
        <v>39482</v>
      </c>
      <c r="G6511" s="8">
        <v>39482</v>
      </c>
      <c r="Y6511" s="8"/>
    </row>
    <row r="6512" spans="1:25" x14ac:dyDescent="0.25">
      <c r="A6512" t="str">
        <f>"07-0891C"</f>
        <v>07-0891C</v>
      </c>
      <c r="D6512" s="8">
        <v>39479</v>
      </c>
      <c r="F6512" s="8">
        <v>39479</v>
      </c>
      <c r="G6512" s="8">
        <v>39479</v>
      </c>
      <c r="Y6512" s="8"/>
    </row>
    <row r="6513" spans="1:25" x14ac:dyDescent="0.25">
      <c r="A6513" t="str">
        <f>"08-0067"</f>
        <v>08-0067</v>
      </c>
      <c r="D6513" s="8">
        <v>39479</v>
      </c>
      <c r="F6513" s="8">
        <v>39479</v>
      </c>
      <c r="G6513" s="8">
        <v>39479</v>
      </c>
      <c r="Y6513" s="8"/>
    </row>
    <row r="6514" spans="1:25" x14ac:dyDescent="0.25">
      <c r="A6514" t="str">
        <f>"08-0068"</f>
        <v>08-0068</v>
      </c>
      <c r="D6514" s="8">
        <v>39479</v>
      </c>
      <c r="F6514" s="8">
        <v>39482</v>
      </c>
      <c r="G6514" s="8">
        <v>39478</v>
      </c>
      <c r="Y6514" s="8"/>
    </row>
    <row r="6515" spans="1:25" x14ac:dyDescent="0.25">
      <c r="A6515" t="str">
        <f>"08-0069"</f>
        <v>08-0069</v>
      </c>
      <c r="D6515" s="8">
        <v>39479</v>
      </c>
      <c r="F6515" s="8">
        <v>39483</v>
      </c>
      <c r="G6515" s="8">
        <v>39481</v>
      </c>
      <c r="Y6515" s="8"/>
    </row>
    <row r="6516" spans="1:25" x14ac:dyDescent="0.25">
      <c r="A6516" t="str">
        <f>"08-0064"</f>
        <v>08-0064</v>
      </c>
      <c r="D6516" s="8">
        <v>39478</v>
      </c>
      <c r="F6516" s="8">
        <v>39482</v>
      </c>
      <c r="G6516" s="8">
        <v>39478</v>
      </c>
      <c r="Y6516" s="8"/>
    </row>
    <row r="6517" spans="1:25" x14ac:dyDescent="0.25">
      <c r="A6517" t="str">
        <f>"08-0065"</f>
        <v>08-0065</v>
      </c>
      <c r="D6517" s="8">
        <v>39478</v>
      </c>
      <c r="F6517" s="8">
        <v>39483</v>
      </c>
      <c r="G6517" s="8">
        <v>39478</v>
      </c>
      <c r="Y6517" s="8"/>
    </row>
    <row r="6518" spans="1:25" x14ac:dyDescent="0.25">
      <c r="A6518" t="str">
        <f>"08-0066"</f>
        <v>08-0066</v>
      </c>
      <c r="D6518" s="8">
        <v>39478</v>
      </c>
      <c r="F6518" s="8">
        <v>39478</v>
      </c>
      <c r="G6518" s="8">
        <v>39480</v>
      </c>
      <c r="Y6518" s="8"/>
    </row>
    <row r="6519" spans="1:25" x14ac:dyDescent="0.25">
      <c r="A6519" t="str">
        <f>"07-0885B"</f>
        <v>07-0885B</v>
      </c>
      <c r="D6519" s="8">
        <v>39477</v>
      </c>
      <c r="F6519" s="8">
        <v>39483</v>
      </c>
      <c r="G6519" s="8">
        <v>39478</v>
      </c>
      <c r="Y6519" s="8"/>
    </row>
    <row r="6520" spans="1:25" x14ac:dyDescent="0.25">
      <c r="A6520" t="str">
        <f>"08-0063"</f>
        <v>08-0063</v>
      </c>
      <c r="D6520" s="8">
        <v>39477</v>
      </c>
      <c r="F6520" s="8">
        <v>39477</v>
      </c>
      <c r="G6520" s="8">
        <v>39477</v>
      </c>
      <c r="Y6520" s="8"/>
    </row>
    <row r="6521" spans="1:25" x14ac:dyDescent="0.25">
      <c r="A6521" t="str">
        <f>"08-0059"</f>
        <v>08-0059</v>
      </c>
      <c r="D6521" s="8">
        <v>39476</v>
      </c>
      <c r="F6521" s="8">
        <v>40931</v>
      </c>
      <c r="G6521" s="8">
        <v>39475</v>
      </c>
      <c r="Y6521" s="8"/>
    </row>
    <row r="6522" spans="1:25" x14ac:dyDescent="0.25">
      <c r="A6522" t="str">
        <f>"08-0060"</f>
        <v>08-0060</v>
      </c>
      <c r="D6522" s="8">
        <v>39476</v>
      </c>
      <c r="F6522" s="8">
        <v>39476</v>
      </c>
      <c r="G6522" s="8">
        <v>39479</v>
      </c>
      <c r="Y6522" s="8"/>
    </row>
    <row r="6523" spans="1:25" x14ac:dyDescent="0.25">
      <c r="A6523" t="str">
        <f>"08-0061"</f>
        <v>08-0061</v>
      </c>
      <c r="D6523" s="8">
        <v>39476</v>
      </c>
      <c r="F6523" s="8">
        <v>39476</v>
      </c>
      <c r="G6523" s="8">
        <v>39476</v>
      </c>
      <c r="Y6523" s="8"/>
    </row>
    <row r="6524" spans="1:25" x14ac:dyDescent="0.25">
      <c r="A6524" t="str">
        <f>"08-0062"</f>
        <v>08-0062</v>
      </c>
      <c r="D6524" s="8">
        <v>39476</v>
      </c>
      <c r="F6524" s="8">
        <v>39477</v>
      </c>
      <c r="G6524" s="8">
        <v>39477</v>
      </c>
      <c r="Y6524" s="8"/>
    </row>
    <row r="6525" spans="1:25" x14ac:dyDescent="0.25">
      <c r="A6525" t="str">
        <f>"08-0022B"</f>
        <v>08-0022B</v>
      </c>
      <c r="D6525" s="8">
        <v>39475</v>
      </c>
      <c r="F6525" s="8">
        <v>39475</v>
      </c>
      <c r="G6525" s="8">
        <v>39475</v>
      </c>
      <c r="Y6525" s="8"/>
    </row>
    <row r="6526" spans="1:25" x14ac:dyDescent="0.25">
      <c r="A6526" t="str">
        <f>"08-0054"</f>
        <v>08-0054</v>
      </c>
      <c r="D6526" s="8">
        <v>39475</v>
      </c>
      <c r="F6526" s="8">
        <v>39475</v>
      </c>
      <c r="G6526" s="8">
        <v>39477</v>
      </c>
      <c r="Y6526" s="8"/>
    </row>
    <row r="6527" spans="1:25" x14ac:dyDescent="0.25">
      <c r="A6527" t="str">
        <f>"08-0055"</f>
        <v>08-0055</v>
      </c>
      <c r="D6527" s="8">
        <v>39475</v>
      </c>
      <c r="F6527" s="8">
        <v>39475</v>
      </c>
      <c r="G6527" s="8">
        <v>39475</v>
      </c>
      <c r="Y6527" s="8"/>
    </row>
    <row r="6528" spans="1:25" x14ac:dyDescent="0.25">
      <c r="A6528" t="str">
        <f>"08-0056"</f>
        <v>08-0056</v>
      </c>
      <c r="D6528" s="8">
        <v>39475</v>
      </c>
      <c r="F6528" s="8">
        <v>39477</v>
      </c>
      <c r="G6528" s="8">
        <v>39477</v>
      </c>
      <c r="Y6528" s="8"/>
    </row>
    <row r="6529" spans="1:25" x14ac:dyDescent="0.25">
      <c r="A6529" t="str">
        <f>"08-0057"</f>
        <v>08-0057</v>
      </c>
      <c r="D6529" s="8">
        <v>39475</v>
      </c>
      <c r="F6529" s="8">
        <v>39475</v>
      </c>
      <c r="G6529" s="8">
        <v>39479</v>
      </c>
      <c r="Y6529" s="8"/>
    </row>
    <row r="6530" spans="1:25" x14ac:dyDescent="0.25">
      <c r="A6530" t="str">
        <f>"08-0058"</f>
        <v>08-0058</v>
      </c>
      <c r="D6530" s="8">
        <v>39475</v>
      </c>
      <c r="F6530" s="8">
        <v>39475</v>
      </c>
      <c r="G6530" s="8">
        <v>39479</v>
      </c>
      <c r="Y6530" s="8"/>
    </row>
    <row r="6531" spans="1:25" x14ac:dyDescent="0.25">
      <c r="A6531" t="str">
        <f>"08-0047"</f>
        <v>08-0047</v>
      </c>
      <c r="D6531" s="8">
        <v>39470</v>
      </c>
      <c r="F6531" s="8">
        <v>39470</v>
      </c>
      <c r="G6531" s="8">
        <v>39478</v>
      </c>
      <c r="Y6531" s="8"/>
    </row>
    <row r="6532" spans="1:25" x14ac:dyDescent="0.25">
      <c r="A6532" t="str">
        <f>"08-0048"</f>
        <v>08-0048</v>
      </c>
      <c r="D6532" s="8">
        <v>39470</v>
      </c>
      <c r="F6532" s="8">
        <v>39486</v>
      </c>
      <c r="G6532" s="8">
        <v>39470</v>
      </c>
      <c r="Y6532" s="8"/>
    </row>
    <row r="6533" spans="1:25" x14ac:dyDescent="0.25">
      <c r="A6533" t="str">
        <f>"08-0049"</f>
        <v>08-0049</v>
      </c>
      <c r="D6533" s="8">
        <v>39470</v>
      </c>
      <c r="F6533" s="8">
        <v>39470</v>
      </c>
      <c r="G6533" s="8">
        <v>39470</v>
      </c>
      <c r="Y6533" s="8"/>
    </row>
    <row r="6534" spans="1:25" x14ac:dyDescent="0.25">
      <c r="A6534" t="str">
        <f>"08-0050"</f>
        <v>08-0050</v>
      </c>
      <c r="D6534" s="8">
        <v>39470</v>
      </c>
      <c r="F6534" s="8">
        <v>39470</v>
      </c>
      <c r="G6534" s="8">
        <v>39478</v>
      </c>
      <c r="Y6534" s="8"/>
    </row>
    <row r="6535" spans="1:25" x14ac:dyDescent="0.25">
      <c r="A6535" t="str">
        <f>"08-0051"</f>
        <v>08-0051</v>
      </c>
      <c r="D6535" s="8">
        <v>39470</v>
      </c>
      <c r="F6535" s="8">
        <v>39471</v>
      </c>
      <c r="G6535" s="8">
        <v>39472</v>
      </c>
      <c r="Y6535" s="8"/>
    </row>
    <row r="6536" spans="1:25" x14ac:dyDescent="0.25">
      <c r="A6536" t="str">
        <f>"08-0052"</f>
        <v>08-0052</v>
      </c>
      <c r="D6536" s="8">
        <v>39470</v>
      </c>
      <c r="F6536" s="8">
        <v>39470</v>
      </c>
      <c r="G6536" s="8">
        <v>39470</v>
      </c>
      <c r="Y6536" s="8"/>
    </row>
    <row r="6537" spans="1:25" x14ac:dyDescent="0.25">
      <c r="A6537" t="str">
        <f>"08-0053"</f>
        <v>08-0053</v>
      </c>
      <c r="D6537" s="8">
        <v>39470</v>
      </c>
      <c r="F6537" s="8">
        <v>39470</v>
      </c>
      <c r="G6537" s="8">
        <v>39470</v>
      </c>
      <c r="Y6537" s="8"/>
    </row>
    <row r="6538" spans="1:25" x14ac:dyDescent="0.25">
      <c r="A6538" t="str">
        <f>"08-0042"</f>
        <v>08-0042</v>
      </c>
      <c r="D6538" s="8">
        <v>39469</v>
      </c>
      <c r="F6538" s="8">
        <v>39469</v>
      </c>
      <c r="G6538" s="8">
        <v>39469</v>
      </c>
      <c r="Y6538" s="8"/>
    </row>
    <row r="6539" spans="1:25" x14ac:dyDescent="0.25">
      <c r="A6539" t="str">
        <f>"08-0043"</f>
        <v>08-0043</v>
      </c>
      <c r="D6539" s="8">
        <v>39469</v>
      </c>
      <c r="F6539" s="8">
        <v>39469</v>
      </c>
      <c r="G6539" s="8">
        <v>39478</v>
      </c>
      <c r="Y6539" s="8"/>
    </row>
    <row r="6540" spans="1:25" x14ac:dyDescent="0.25">
      <c r="A6540" t="str">
        <f>"08-0044"</f>
        <v>08-0044</v>
      </c>
      <c r="D6540" s="8">
        <v>39469</v>
      </c>
      <c r="F6540" s="8">
        <v>39469</v>
      </c>
      <c r="G6540" s="8">
        <v>39478</v>
      </c>
      <c r="Y6540" s="8"/>
    </row>
    <row r="6541" spans="1:25" x14ac:dyDescent="0.25">
      <c r="A6541" t="str">
        <f>"08-0045"</f>
        <v>08-0045</v>
      </c>
      <c r="D6541" s="8">
        <v>39469</v>
      </c>
      <c r="F6541" s="8">
        <v>39469</v>
      </c>
      <c r="G6541" s="8">
        <v>39478</v>
      </c>
      <c r="Y6541" s="8"/>
    </row>
    <row r="6542" spans="1:25" x14ac:dyDescent="0.25">
      <c r="A6542" t="str">
        <f>"08-0046"</f>
        <v>08-0046</v>
      </c>
      <c r="D6542" s="8">
        <v>39469</v>
      </c>
      <c r="F6542" s="8">
        <v>39469</v>
      </c>
      <c r="G6542" s="8">
        <v>39469</v>
      </c>
      <c r="Y6542" s="8"/>
    </row>
    <row r="6543" spans="1:25" x14ac:dyDescent="0.25">
      <c r="A6543" t="str">
        <f>"08-0037"</f>
        <v>08-0037</v>
      </c>
      <c r="D6543" s="8">
        <v>39468</v>
      </c>
      <c r="F6543" s="8">
        <v>39468</v>
      </c>
      <c r="G6543" s="8">
        <v>39468</v>
      </c>
      <c r="Y6543" s="8"/>
    </row>
    <row r="6544" spans="1:25" x14ac:dyDescent="0.25">
      <c r="A6544" t="str">
        <f>"08-0038"</f>
        <v>08-0038</v>
      </c>
      <c r="D6544" s="8">
        <v>39468</v>
      </c>
      <c r="F6544" s="8">
        <v>39483</v>
      </c>
      <c r="G6544" s="8">
        <v>39471</v>
      </c>
      <c r="Y6544" s="8"/>
    </row>
    <row r="6545" spans="1:25" x14ac:dyDescent="0.25">
      <c r="A6545" t="str">
        <f>"08-0039"</f>
        <v>08-0039</v>
      </c>
      <c r="D6545" s="8">
        <v>39468</v>
      </c>
      <c r="F6545" s="8">
        <v>39468</v>
      </c>
      <c r="G6545" s="8">
        <v>39437</v>
      </c>
      <c r="Y6545" s="8"/>
    </row>
    <row r="6546" spans="1:25" x14ac:dyDescent="0.25">
      <c r="A6546" t="str">
        <f>"08-0040"</f>
        <v>08-0040</v>
      </c>
      <c r="D6546" s="8">
        <v>39468</v>
      </c>
      <c r="F6546" s="8">
        <v>39469</v>
      </c>
      <c r="G6546" s="8">
        <v>39468</v>
      </c>
      <c r="Y6546" s="8"/>
    </row>
    <row r="6547" spans="1:25" x14ac:dyDescent="0.25">
      <c r="A6547" t="str">
        <f>"08-0041"</f>
        <v>08-0041</v>
      </c>
      <c r="D6547" s="8">
        <v>39468</v>
      </c>
      <c r="F6547" s="8">
        <v>39468</v>
      </c>
      <c r="G6547" s="8">
        <v>39468</v>
      </c>
      <c r="Y6547" s="8"/>
    </row>
    <row r="6548" spans="1:25" x14ac:dyDescent="0.25">
      <c r="A6548" t="str">
        <f>"08-0026B"</f>
        <v>08-0026B</v>
      </c>
      <c r="D6548" s="8">
        <v>39465</v>
      </c>
      <c r="F6548" s="8">
        <v>39465</v>
      </c>
      <c r="G6548" s="8">
        <v>39465</v>
      </c>
      <c r="Y6548" s="8"/>
    </row>
    <row r="6549" spans="1:25" x14ac:dyDescent="0.25">
      <c r="A6549" t="str">
        <f>"08-0034"</f>
        <v>08-0034</v>
      </c>
      <c r="D6549" s="8">
        <v>39464</v>
      </c>
      <c r="F6549" s="8">
        <v>39464</v>
      </c>
      <c r="G6549" s="8">
        <v>39464</v>
      </c>
      <c r="Y6549" s="8"/>
    </row>
    <row r="6550" spans="1:25" x14ac:dyDescent="0.25">
      <c r="A6550" t="str">
        <f>"08-0035"</f>
        <v>08-0035</v>
      </c>
      <c r="D6550" s="8">
        <v>39464</v>
      </c>
      <c r="F6550" s="8">
        <v>39468</v>
      </c>
      <c r="G6550" s="8">
        <v>39464</v>
      </c>
      <c r="Y6550" s="8"/>
    </row>
    <row r="6551" spans="1:25" x14ac:dyDescent="0.25">
      <c r="A6551" t="str">
        <f>"08-0036"</f>
        <v>08-0036</v>
      </c>
      <c r="D6551" s="8">
        <v>39464</v>
      </c>
      <c r="F6551" s="8">
        <v>40245</v>
      </c>
      <c r="G6551" s="8">
        <v>39468</v>
      </c>
      <c r="Y6551" s="8"/>
    </row>
    <row r="6552" spans="1:25" x14ac:dyDescent="0.25">
      <c r="A6552" t="str">
        <f>"08-0028"</f>
        <v>08-0028</v>
      </c>
      <c r="D6552" s="8">
        <v>39463</v>
      </c>
      <c r="F6552" s="8">
        <v>39463</v>
      </c>
      <c r="G6552" s="8">
        <v>39463</v>
      </c>
      <c r="Y6552" s="8"/>
    </row>
    <row r="6553" spans="1:25" x14ac:dyDescent="0.25">
      <c r="A6553" t="str">
        <f>"08-0029"</f>
        <v>08-0029</v>
      </c>
      <c r="D6553" s="8">
        <v>39463</v>
      </c>
      <c r="F6553" s="8">
        <v>39463</v>
      </c>
      <c r="G6553" s="8">
        <v>39463</v>
      </c>
      <c r="Y6553" s="8"/>
    </row>
    <row r="6554" spans="1:25" x14ac:dyDescent="0.25">
      <c r="A6554" t="str">
        <f>"08-0030"</f>
        <v>08-0030</v>
      </c>
      <c r="D6554" s="8">
        <v>39463</v>
      </c>
      <c r="F6554" s="8">
        <v>39463</v>
      </c>
      <c r="G6554" s="8">
        <v>39463</v>
      </c>
      <c r="Y6554" s="8"/>
    </row>
    <row r="6555" spans="1:25" x14ac:dyDescent="0.25">
      <c r="A6555" t="str">
        <f>"08-0031"</f>
        <v>08-0031</v>
      </c>
      <c r="D6555" s="8">
        <v>39463</v>
      </c>
      <c r="F6555" s="8">
        <v>39463</v>
      </c>
      <c r="G6555" s="8">
        <v>39463</v>
      </c>
      <c r="Y6555" s="8"/>
    </row>
    <row r="6556" spans="1:25" x14ac:dyDescent="0.25">
      <c r="A6556" t="str">
        <f>"08-0032"</f>
        <v>08-0032</v>
      </c>
      <c r="D6556" s="8">
        <v>39463</v>
      </c>
      <c r="F6556" s="8">
        <v>39463</v>
      </c>
      <c r="G6556" s="8">
        <v>39463</v>
      </c>
      <c r="Y6556" s="8"/>
    </row>
    <row r="6557" spans="1:25" x14ac:dyDescent="0.25">
      <c r="A6557" t="str">
        <f>"08-0033"</f>
        <v>08-0033</v>
      </c>
      <c r="D6557" s="8">
        <v>39463</v>
      </c>
      <c r="F6557" s="8">
        <v>39463</v>
      </c>
      <c r="G6557" s="8">
        <v>39463</v>
      </c>
      <c r="Y6557" s="8"/>
    </row>
    <row r="6558" spans="1:25" x14ac:dyDescent="0.25">
      <c r="A6558" t="str">
        <f>"07-0953B"</f>
        <v>07-0953B</v>
      </c>
      <c r="D6558" s="8">
        <v>39462</v>
      </c>
      <c r="F6558" s="8">
        <v>39462</v>
      </c>
      <c r="G6558" s="8">
        <v>39462</v>
      </c>
      <c r="Y6558" s="8"/>
    </row>
    <row r="6559" spans="1:25" x14ac:dyDescent="0.25">
      <c r="A6559" t="str">
        <f>"08-0025"</f>
        <v>08-0025</v>
      </c>
      <c r="D6559" s="8">
        <v>39462</v>
      </c>
      <c r="F6559" s="8">
        <v>39462</v>
      </c>
      <c r="G6559" s="8">
        <v>39462</v>
      </c>
      <c r="Y6559" s="8"/>
    </row>
    <row r="6560" spans="1:25" x14ac:dyDescent="0.25">
      <c r="A6560" t="str">
        <f>"08-0026"</f>
        <v>08-0026</v>
      </c>
      <c r="D6560" s="8">
        <v>39462</v>
      </c>
      <c r="F6560" s="8">
        <v>39462</v>
      </c>
      <c r="G6560" s="8">
        <v>39467</v>
      </c>
      <c r="Y6560" s="8"/>
    </row>
    <row r="6561" spans="1:25" x14ac:dyDescent="0.25">
      <c r="A6561" t="str">
        <f>"08-0027"</f>
        <v>08-0027</v>
      </c>
      <c r="D6561" s="8">
        <v>39462</v>
      </c>
      <c r="F6561" s="8">
        <v>39462</v>
      </c>
      <c r="G6561" s="8">
        <v>39462</v>
      </c>
      <c r="Y6561" s="8"/>
    </row>
    <row r="6562" spans="1:25" x14ac:dyDescent="0.25">
      <c r="A6562" t="str">
        <f>"08-0024"</f>
        <v>08-0024</v>
      </c>
      <c r="D6562" s="8">
        <v>39461</v>
      </c>
      <c r="F6562" s="8">
        <v>39461</v>
      </c>
      <c r="G6562" s="8">
        <v>39461</v>
      </c>
      <c r="Y6562" s="8"/>
    </row>
    <row r="6563" spans="1:25" x14ac:dyDescent="0.25">
      <c r="A6563" t="str">
        <f>"08-0023"</f>
        <v>08-0023</v>
      </c>
      <c r="D6563" s="8">
        <v>39458</v>
      </c>
      <c r="F6563" s="8">
        <v>39458</v>
      </c>
      <c r="G6563" s="8">
        <v>39458</v>
      </c>
      <c r="Y6563" s="8"/>
    </row>
    <row r="6564" spans="1:25" x14ac:dyDescent="0.25">
      <c r="A6564" t="str">
        <f>"07-701B"</f>
        <v>07-701B</v>
      </c>
      <c r="D6564" s="8">
        <v>39457</v>
      </c>
      <c r="F6564" s="8">
        <v>39532</v>
      </c>
      <c r="G6564" s="8">
        <v>39457</v>
      </c>
      <c r="Y6564" s="8"/>
    </row>
    <row r="6565" spans="1:25" x14ac:dyDescent="0.25">
      <c r="A6565" t="str">
        <f>"08-0021"</f>
        <v>08-0021</v>
      </c>
      <c r="D6565" s="8">
        <v>39457</v>
      </c>
      <c r="F6565" s="8">
        <v>39457</v>
      </c>
      <c r="G6565" s="8">
        <v>39457</v>
      </c>
      <c r="Y6565" s="8"/>
    </row>
    <row r="6566" spans="1:25" x14ac:dyDescent="0.25">
      <c r="A6566" t="str">
        <f>"08-0022"</f>
        <v>08-0022</v>
      </c>
      <c r="D6566" s="8">
        <v>39457</v>
      </c>
      <c r="F6566" s="8">
        <v>39465</v>
      </c>
      <c r="G6566" s="8">
        <v>39463</v>
      </c>
      <c r="Y6566" s="8"/>
    </row>
    <row r="6567" spans="1:25" x14ac:dyDescent="0.25">
      <c r="A6567" t="str">
        <f>"08-0019"</f>
        <v>08-0019</v>
      </c>
      <c r="D6567" s="8">
        <v>39456</v>
      </c>
      <c r="F6567" s="8">
        <v>39456</v>
      </c>
      <c r="G6567" s="8">
        <v>39456</v>
      </c>
      <c r="Y6567" s="8"/>
    </row>
    <row r="6568" spans="1:25" x14ac:dyDescent="0.25">
      <c r="A6568" t="str">
        <f>"08-0020"</f>
        <v>08-0020</v>
      </c>
      <c r="D6568" s="8">
        <v>39456</v>
      </c>
      <c r="F6568" s="8">
        <v>39477</v>
      </c>
      <c r="G6568" s="8">
        <v>39468</v>
      </c>
      <c r="Y6568" s="8"/>
    </row>
    <row r="6569" spans="1:25" x14ac:dyDescent="0.25">
      <c r="A6569" t="str">
        <f>"08-0016"</f>
        <v>08-0016</v>
      </c>
      <c r="D6569" s="8">
        <v>39455</v>
      </c>
      <c r="F6569" s="8">
        <v>39455</v>
      </c>
      <c r="G6569" s="8">
        <v>39457</v>
      </c>
      <c r="Y6569" s="8"/>
    </row>
    <row r="6570" spans="1:25" x14ac:dyDescent="0.25">
      <c r="A6570" t="str">
        <f>"08-0017"</f>
        <v>08-0017</v>
      </c>
      <c r="D6570" s="8">
        <v>39455</v>
      </c>
      <c r="F6570" s="8">
        <v>39618</v>
      </c>
      <c r="G6570" s="8">
        <v>39455</v>
      </c>
      <c r="Y6570" s="8"/>
    </row>
    <row r="6571" spans="1:25" x14ac:dyDescent="0.25">
      <c r="A6571" t="str">
        <f>"08-0018"</f>
        <v>08-0018</v>
      </c>
      <c r="D6571" s="8">
        <v>39455</v>
      </c>
      <c r="F6571" s="8">
        <v>39455</v>
      </c>
      <c r="G6571" s="8">
        <v>39455</v>
      </c>
      <c r="Y6571" s="8"/>
    </row>
    <row r="6572" spans="1:25" x14ac:dyDescent="0.25">
      <c r="A6572" t="str">
        <f>"08-0013"</f>
        <v>08-0013</v>
      </c>
      <c r="D6572" s="8">
        <v>39454</v>
      </c>
      <c r="F6572" s="8">
        <v>39454</v>
      </c>
      <c r="G6572" s="8">
        <v>39451</v>
      </c>
      <c r="Y6572" s="8"/>
    </row>
    <row r="6573" spans="1:25" x14ac:dyDescent="0.25">
      <c r="A6573" t="str">
        <f>"08-0014"</f>
        <v>08-0014</v>
      </c>
      <c r="D6573" s="8">
        <v>39454</v>
      </c>
      <c r="F6573" s="8">
        <v>39454</v>
      </c>
      <c r="G6573" s="8">
        <v>39454</v>
      </c>
      <c r="Y6573" s="8"/>
    </row>
    <row r="6574" spans="1:25" x14ac:dyDescent="0.25">
      <c r="A6574" t="str">
        <f>"08-0015"</f>
        <v>08-0015</v>
      </c>
      <c r="D6574" s="8">
        <v>39454</v>
      </c>
      <c r="F6574" s="8">
        <v>39455</v>
      </c>
      <c r="G6574" s="8">
        <v>39455</v>
      </c>
      <c r="Y6574" s="8"/>
    </row>
    <row r="6575" spans="1:25" x14ac:dyDescent="0.25">
      <c r="A6575" t="str">
        <f>"08-0011"</f>
        <v>08-0011</v>
      </c>
      <c r="D6575" s="8">
        <v>39451</v>
      </c>
      <c r="F6575" s="8">
        <v>39454</v>
      </c>
      <c r="G6575" s="8">
        <v>39451</v>
      </c>
      <c r="Y6575" s="8"/>
    </row>
    <row r="6576" spans="1:25" x14ac:dyDescent="0.25">
      <c r="A6576" t="str">
        <f>"08-0012"</f>
        <v>08-0012</v>
      </c>
      <c r="D6576" s="8">
        <v>39451</v>
      </c>
      <c r="F6576" s="8">
        <v>39451</v>
      </c>
      <c r="G6576" s="8">
        <v>39451</v>
      </c>
      <c r="Y6576" s="8"/>
    </row>
    <row r="6577" spans="1:25" x14ac:dyDescent="0.25">
      <c r="A6577" t="str">
        <f>"08-0006"</f>
        <v>08-0006</v>
      </c>
      <c r="D6577" s="8">
        <v>39450</v>
      </c>
      <c r="F6577" s="8">
        <v>39450</v>
      </c>
      <c r="G6577" s="8">
        <v>39450</v>
      </c>
      <c r="Y6577" s="8"/>
    </row>
    <row r="6578" spans="1:25" x14ac:dyDescent="0.25">
      <c r="A6578" t="str">
        <f>"08-0007"</f>
        <v>08-0007</v>
      </c>
      <c r="D6578" s="8">
        <v>39450</v>
      </c>
      <c r="F6578" s="8">
        <v>39450</v>
      </c>
      <c r="G6578" s="8">
        <v>39450</v>
      </c>
      <c r="Y6578" s="8"/>
    </row>
    <row r="6579" spans="1:25" x14ac:dyDescent="0.25">
      <c r="A6579" t="str">
        <f>"08-0008"</f>
        <v>08-0008</v>
      </c>
      <c r="D6579" s="8">
        <v>39450</v>
      </c>
      <c r="F6579" s="8">
        <v>39450</v>
      </c>
      <c r="G6579" s="8">
        <v>39450</v>
      </c>
      <c r="Y6579" s="8"/>
    </row>
    <row r="6580" spans="1:25" x14ac:dyDescent="0.25">
      <c r="A6580" t="str">
        <f>"08-0009"</f>
        <v>08-0009</v>
      </c>
      <c r="D6580" s="8">
        <v>39450</v>
      </c>
      <c r="F6580" s="8">
        <v>39450</v>
      </c>
      <c r="G6580" s="8">
        <v>39450</v>
      </c>
      <c r="Y6580" s="8"/>
    </row>
    <row r="6581" spans="1:25" x14ac:dyDescent="0.25">
      <c r="A6581" t="str">
        <f>"08-0010"</f>
        <v>08-0010</v>
      </c>
      <c r="D6581" s="8">
        <v>39450</v>
      </c>
      <c r="F6581" s="8">
        <v>39450</v>
      </c>
      <c r="G6581" s="8">
        <v>39451</v>
      </c>
      <c r="Y6581" s="8"/>
    </row>
    <row r="6582" spans="1:25" x14ac:dyDescent="0.25">
      <c r="A6582" t="str">
        <f>"08-0001"</f>
        <v>08-0001</v>
      </c>
      <c r="D6582" s="8">
        <v>39449</v>
      </c>
      <c r="F6582" s="8">
        <v>39449</v>
      </c>
      <c r="G6582" s="8">
        <v>39437</v>
      </c>
      <c r="Y6582" s="8"/>
    </row>
    <row r="6583" spans="1:25" x14ac:dyDescent="0.25">
      <c r="A6583" t="str">
        <f>"08-0002"</f>
        <v>08-0002</v>
      </c>
      <c r="D6583" s="8">
        <v>39449</v>
      </c>
      <c r="F6583" s="8">
        <v>39449</v>
      </c>
      <c r="G6583" s="8">
        <v>39449</v>
      </c>
      <c r="Y6583" s="8"/>
    </row>
    <row r="6584" spans="1:25" x14ac:dyDescent="0.25">
      <c r="A6584" t="str">
        <f>"08-0003"</f>
        <v>08-0003</v>
      </c>
      <c r="D6584" s="8">
        <v>39449</v>
      </c>
      <c r="F6584" s="8">
        <v>39449</v>
      </c>
      <c r="G6584" s="8">
        <v>39449</v>
      </c>
      <c r="Y6584" s="8"/>
    </row>
    <row r="6585" spans="1:25" x14ac:dyDescent="0.25">
      <c r="A6585" t="str">
        <f>"08-0004"</f>
        <v>08-0004</v>
      </c>
      <c r="D6585" s="8">
        <v>39449</v>
      </c>
      <c r="F6585" s="8">
        <v>39455</v>
      </c>
      <c r="G6585" s="8">
        <v>39449</v>
      </c>
      <c r="Y6585" s="8"/>
    </row>
    <row r="6586" spans="1:25" x14ac:dyDescent="0.25">
      <c r="A6586" t="str">
        <f>"08-0005"</f>
        <v>08-0005</v>
      </c>
      <c r="D6586" s="8">
        <v>39449</v>
      </c>
      <c r="F6586" s="8">
        <v>39456</v>
      </c>
      <c r="G6586" s="8">
        <v>39449</v>
      </c>
      <c r="Y6586" s="8"/>
    </row>
    <row r="6587" spans="1:25" x14ac:dyDescent="0.25">
      <c r="A6587" t="str">
        <f>"07-0955"</f>
        <v>07-0955</v>
      </c>
      <c r="D6587" s="8">
        <v>39437</v>
      </c>
      <c r="F6587" s="8">
        <v>39437</v>
      </c>
      <c r="G6587" s="8">
        <v>39437</v>
      </c>
      <c r="Y6587" s="8"/>
    </row>
    <row r="6588" spans="1:25" x14ac:dyDescent="0.25">
      <c r="A6588" t="str">
        <f>"07-0956"</f>
        <v>07-0956</v>
      </c>
      <c r="D6588" s="8">
        <v>39437</v>
      </c>
      <c r="F6588" s="8">
        <v>39437</v>
      </c>
      <c r="G6588" s="8">
        <v>39437</v>
      </c>
      <c r="Y6588" s="8"/>
    </row>
    <row r="6589" spans="1:25" x14ac:dyDescent="0.25">
      <c r="A6589" t="str">
        <f>"07-0954"</f>
        <v>07-0954</v>
      </c>
      <c r="D6589" s="8">
        <v>39435</v>
      </c>
      <c r="F6589" s="8">
        <v>39435</v>
      </c>
      <c r="G6589" s="8">
        <v>39435</v>
      </c>
      <c r="Y6589" s="8"/>
    </row>
    <row r="6590" spans="1:25" x14ac:dyDescent="0.25">
      <c r="A6590" t="str">
        <f>"07-0946"</f>
        <v>07-0946</v>
      </c>
      <c r="D6590" s="8">
        <v>39434</v>
      </c>
      <c r="F6590" s="8">
        <v>39532</v>
      </c>
      <c r="G6590" s="8">
        <v>39434</v>
      </c>
      <c r="Y6590" s="8"/>
    </row>
    <row r="6591" spans="1:25" x14ac:dyDescent="0.25">
      <c r="A6591" t="str">
        <f>"07-0947"</f>
        <v>07-0947</v>
      </c>
      <c r="D6591" s="8">
        <v>39434</v>
      </c>
      <c r="F6591" s="8">
        <v>39434</v>
      </c>
      <c r="G6591" s="8">
        <v>39434</v>
      </c>
      <c r="Y6591" s="8"/>
    </row>
    <row r="6592" spans="1:25" x14ac:dyDescent="0.25">
      <c r="A6592" t="str">
        <f>"07-0948"</f>
        <v>07-0948</v>
      </c>
      <c r="D6592" s="8">
        <v>39434</v>
      </c>
      <c r="F6592" s="8">
        <v>39434</v>
      </c>
      <c r="G6592" s="8">
        <v>39434</v>
      </c>
      <c r="Y6592" s="8"/>
    </row>
    <row r="6593" spans="1:25" x14ac:dyDescent="0.25">
      <c r="A6593" t="str">
        <f>"07-0949"</f>
        <v>07-0949</v>
      </c>
      <c r="D6593" s="8">
        <v>39434</v>
      </c>
      <c r="F6593" s="8">
        <v>39434</v>
      </c>
      <c r="G6593" s="8">
        <v>39434</v>
      </c>
      <c r="Y6593" s="8"/>
    </row>
    <row r="6594" spans="1:25" x14ac:dyDescent="0.25">
      <c r="A6594" t="str">
        <f>"07-0950"</f>
        <v>07-0950</v>
      </c>
      <c r="D6594" s="8">
        <v>39434</v>
      </c>
      <c r="F6594" s="8">
        <v>39434</v>
      </c>
      <c r="G6594" s="8">
        <v>39434</v>
      </c>
      <c r="Y6594" s="8"/>
    </row>
    <row r="6595" spans="1:25" x14ac:dyDescent="0.25">
      <c r="A6595" t="str">
        <f>"07-0951"</f>
        <v>07-0951</v>
      </c>
      <c r="D6595" s="8">
        <v>39434</v>
      </c>
      <c r="F6595" s="8">
        <v>39464</v>
      </c>
      <c r="G6595" s="8">
        <v>39434</v>
      </c>
      <c r="Y6595" s="8"/>
    </row>
    <row r="6596" spans="1:25" x14ac:dyDescent="0.25">
      <c r="A6596" t="str">
        <f>"07-0952"</f>
        <v>07-0952</v>
      </c>
      <c r="D6596" s="8">
        <v>39434</v>
      </c>
      <c r="F6596" s="8">
        <v>39434</v>
      </c>
      <c r="G6596" s="8">
        <v>39437</v>
      </c>
      <c r="Y6596" s="8"/>
    </row>
    <row r="6597" spans="1:25" x14ac:dyDescent="0.25">
      <c r="A6597" t="str">
        <f>"07-0953"</f>
        <v>07-0953</v>
      </c>
      <c r="D6597" s="8">
        <v>39434</v>
      </c>
      <c r="F6597" s="8">
        <v>39462</v>
      </c>
      <c r="G6597" s="8">
        <v>39437</v>
      </c>
      <c r="Y6597" s="8"/>
    </row>
    <row r="6598" spans="1:25" x14ac:dyDescent="0.25">
      <c r="A6598" t="str">
        <f>"07-0891B"</f>
        <v>07-0891B</v>
      </c>
      <c r="D6598" s="8">
        <v>39433</v>
      </c>
      <c r="F6598" s="8">
        <v>39433</v>
      </c>
      <c r="G6598" s="8">
        <v>39433</v>
      </c>
      <c r="Y6598" s="8"/>
    </row>
    <row r="6599" spans="1:25" x14ac:dyDescent="0.25">
      <c r="A6599" t="str">
        <f>"07-0945"</f>
        <v>07-0945</v>
      </c>
      <c r="D6599" s="8">
        <v>39433</v>
      </c>
      <c r="F6599" s="8">
        <v>39433</v>
      </c>
      <c r="G6599" s="8">
        <v>39433</v>
      </c>
      <c r="Y6599" s="8"/>
    </row>
    <row r="6600" spans="1:25" x14ac:dyDescent="0.25">
      <c r="A6600" t="str">
        <f>"07-0943"</f>
        <v>07-0943</v>
      </c>
      <c r="D6600" s="8">
        <v>39430</v>
      </c>
      <c r="F6600" s="8">
        <v>39462</v>
      </c>
      <c r="G6600" s="8">
        <v>39437</v>
      </c>
      <c r="Y6600" s="8"/>
    </row>
    <row r="6601" spans="1:25" x14ac:dyDescent="0.25">
      <c r="A6601" t="str">
        <f>"07-0944"</f>
        <v>07-0944</v>
      </c>
      <c r="D6601" s="8">
        <v>39430</v>
      </c>
      <c r="F6601" s="8">
        <v>39430</v>
      </c>
      <c r="G6601" s="8">
        <v>39434</v>
      </c>
      <c r="Y6601" s="8"/>
    </row>
    <row r="6602" spans="1:25" x14ac:dyDescent="0.25">
      <c r="A6602" t="str">
        <f>"07-0941"</f>
        <v>07-0941</v>
      </c>
      <c r="D6602" s="8">
        <v>39429</v>
      </c>
      <c r="F6602" s="8">
        <v>39429</v>
      </c>
      <c r="G6602" s="8">
        <v>39429</v>
      </c>
      <c r="Y6602" s="8"/>
    </row>
    <row r="6603" spans="1:25" x14ac:dyDescent="0.25">
      <c r="A6603" t="str">
        <f>"07-0942"</f>
        <v>07-0942</v>
      </c>
      <c r="D6603" s="8">
        <v>39429</v>
      </c>
      <c r="F6603" s="8">
        <v>39429</v>
      </c>
      <c r="G6603" s="8">
        <v>39429</v>
      </c>
      <c r="Y6603" s="8"/>
    </row>
    <row r="6604" spans="1:25" x14ac:dyDescent="0.25">
      <c r="A6604" t="str">
        <f>"07-0936"</f>
        <v>07-0936</v>
      </c>
      <c r="D6604" s="8">
        <v>39428</v>
      </c>
      <c r="F6604" s="8">
        <v>39433</v>
      </c>
      <c r="G6604" s="8">
        <v>39428</v>
      </c>
      <c r="Y6604" s="8"/>
    </row>
    <row r="6605" spans="1:25" x14ac:dyDescent="0.25">
      <c r="A6605" t="str">
        <f>"07-0937"</f>
        <v>07-0937</v>
      </c>
      <c r="D6605" s="8">
        <v>39428</v>
      </c>
      <c r="F6605" s="8">
        <v>39461</v>
      </c>
      <c r="G6605" s="8">
        <v>39430</v>
      </c>
      <c r="Y6605" s="8"/>
    </row>
    <row r="6606" spans="1:25" x14ac:dyDescent="0.25">
      <c r="A6606" t="str">
        <f>"07-0938"</f>
        <v>07-0938</v>
      </c>
      <c r="D6606" s="8">
        <v>39428</v>
      </c>
      <c r="F6606" s="8">
        <v>39428</v>
      </c>
      <c r="G6606" s="8">
        <v>39428</v>
      </c>
      <c r="Y6606" s="8"/>
    </row>
    <row r="6607" spans="1:25" x14ac:dyDescent="0.25">
      <c r="A6607" t="str">
        <f>"07-0939"</f>
        <v>07-0939</v>
      </c>
      <c r="D6607" s="8">
        <v>39428</v>
      </c>
      <c r="F6607" s="8">
        <v>39428</v>
      </c>
      <c r="G6607" s="8">
        <v>39428</v>
      </c>
      <c r="Y6607" s="8"/>
    </row>
    <row r="6608" spans="1:25" x14ac:dyDescent="0.25">
      <c r="A6608" t="str">
        <f>"07-0940"</f>
        <v>07-0940</v>
      </c>
      <c r="D6608" s="8">
        <v>39428</v>
      </c>
      <c r="F6608" s="8">
        <v>39428</v>
      </c>
      <c r="G6608" s="8">
        <v>39428</v>
      </c>
      <c r="Y6608" s="8"/>
    </row>
    <row r="6609" spans="1:25" x14ac:dyDescent="0.25">
      <c r="A6609" t="str">
        <f>"07-0933"</f>
        <v>07-0933</v>
      </c>
      <c r="D6609" s="8">
        <v>39427</v>
      </c>
      <c r="F6609" s="8">
        <v>39427</v>
      </c>
      <c r="G6609" s="8">
        <v>39427</v>
      </c>
      <c r="Y6609" s="8"/>
    </row>
    <row r="6610" spans="1:25" x14ac:dyDescent="0.25">
      <c r="A6610" t="str">
        <f>"07-0935"</f>
        <v>07-0935</v>
      </c>
      <c r="D6610" s="8">
        <v>39427</v>
      </c>
      <c r="F6610" s="8">
        <v>39427</v>
      </c>
      <c r="G6610" s="8">
        <v>39427</v>
      </c>
      <c r="Y6610" s="8"/>
    </row>
    <row r="6611" spans="1:25" x14ac:dyDescent="0.25">
      <c r="A6611" t="str">
        <f>"07-0926"</f>
        <v>07-0926</v>
      </c>
      <c r="D6611" s="8">
        <v>39426</v>
      </c>
      <c r="F6611" s="8">
        <v>39426</v>
      </c>
      <c r="G6611" s="8">
        <v>39426</v>
      </c>
      <c r="Y6611" s="8"/>
    </row>
    <row r="6612" spans="1:25" x14ac:dyDescent="0.25">
      <c r="A6612" t="str">
        <f>"07-0927"</f>
        <v>07-0927</v>
      </c>
      <c r="D6612" s="8">
        <v>39426</v>
      </c>
      <c r="F6612" s="8">
        <v>39518</v>
      </c>
      <c r="G6612" s="8">
        <v>39427</v>
      </c>
      <c r="Y6612" s="8"/>
    </row>
    <row r="6613" spans="1:25" x14ac:dyDescent="0.25">
      <c r="A6613" t="str">
        <f>"07-0928"</f>
        <v>07-0928</v>
      </c>
      <c r="D6613" s="8">
        <v>39426</v>
      </c>
      <c r="F6613" s="8">
        <v>39426</v>
      </c>
      <c r="G6613" s="8">
        <v>39426</v>
      </c>
      <c r="Y6613" s="8"/>
    </row>
    <row r="6614" spans="1:25" x14ac:dyDescent="0.25">
      <c r="A6614" t="str">
        <f>"07-0929"</f>
        <v>07-0929</v>
      </c>
      <c r="D6614" s="8">
        <v>39426</v>
      </c>
      <c r="F6614" s="8">
        <v>39426</v>
      </c>
      <c r="G6614" s="8">
        <v>39426</v>
      </c>
      <c r="Y6614" s="8"/>
    </row>
    <row r="6615" spans="1:25" x14ac:dyDescent="0.25">
      <c r="A6615" t="str">
        <f>"07-0930"</f>
        <v>07-0930</v>
      </c>
      <c r="D6615" s="8">
        <v>39426</v>
      </c>
      <c r="F6615" s="8">
        <v>39492</v>
      </c>
      <c r="G6615" s="8">
        <v>39428</v>
      </c>
      <c r="Y6615" s="8"/>
    </row>
    <row r="6616" spans="1:25" x14ac:dyDescent="0.25">
      <c r="A6616" t="str">
        <f>"07-0931"</f>
        <v>07-0931</v>
      </c>
      <c r="D6616" s="8">
        <v>39426</v>
      </c>
      <c r="F6616" s="8">
        <v>39667</v>
      </c>
      <c r="G6616" s="8">
        <v>39426</v>
      </c>
      <c r="Y6616" s="8"/>
    </row>
    <row r="6617" spans="1:25" x14ac:dyDescent="0.25">
      <c r="A6617" t="str">
        <f>"07-0932"</f>
        <v>07-0932</v>
      </c>
      <c r="D6617" s="8">
        <v>39426</v>
      </c>
      <c r="F6617" s="8">
        <v>39486</v>
      </c>
      <c r="G6617" s="8">
        <v>39426</v>
      </c>
      <c r="Y6617" s="8"/>
    </row>
    <row r="6618" spans="1:25" x14ac:dyDescent="0.25">
      <c r="A6618" t="str">
        <f>"07-0920"</f>
        <v>07-0920</v>
      </c>
      <c r="D6618" s="8">
        <v>39423</v>
      </c>
      <c r="F6618" s="8">
        <v>39423</v>
      </c>
      <c r="G6618" s="8">
        <v>39422</v>
      </c>
      <c r="Y6618" s="8"/>
    </row>
    <row r="6619" spans="1:25" x14ac:dyDescent="0.25">
      <c r="A6619" t="str">
        <f>"07-0921"</f>
        <v>07-0921</v>
      </c>
      <c r="D6619" s="8">
        <v>39423</v>
      </c>
      <c r="G6619" s="8">
        <v>39423</v>
      </c>
      <c r="Y6619" s="8"/>
    </row>
    <row r="6620" spans="1:25" x14ac:dyDescent="0.25">
      <c r="A6620" t="str">
        <f>"07-0922"</f>
        <v>07-0922</v>
      </c>
      <c r="D6620" s="8">
        <v>39423</v>
      </c>
      <c r="F6620" s="8">
        <v>39423</v>
      </c>
      <c r="G6620" s="8">
        <v>39423</v>
      </c>
      <c r="Y6620" s="8"/>
    </row>
    <row r="6621" spans="1:25" x14ac:dyDescent="0.25">
      <c r="A6621" t="str">
        <f>"07-0923"</f>
        <v>07-0923</v>
      </c>
      <c r="D6621" s="8">
        <v>39423</v>
      </c>
      <c r="F6621" s="8">
        <v>39435</v>
      </c>
      <c r="G6621" s="8">
        <v>39430</v>
      </c>
      <c r="Y6621" s="8"/>
    </row>
    <row r="6622" spans="1:25" x14ac:dyDescent="0.25">
      <c r="A6622" t="str">
        <f>"07-0924"</f>
        <v>07-0924</v>
      </c>
      <c r="D6622" s="8">
        <v>39423</v>
      </c>
      <c r="F6622" s="8">
        <v>39428</v>
      </c>
      <c r="G6622" s="8">
        <v>39426</v>
      </c>
      <c r="Y6622" s="8"/>
    </row>
    <row r="6623" spans="1:25" x14ac:dyDescent="0.25">
      <c r="A6623" t="str">
        <f>"07-0925"</f>
        <v>07-0925</v>
      </c>
      <c r="D6623" s="8">
        <v>39423</v>
      </c>
      <c r="F6623" s="8">
        <v>39423</v>
      </c>
      <c r="G6623" s="8">
        <v>39423</v>
      </c>
      <c r="Y6623" s="8"/>
    </row>
    <row r="6624" spans="1:25" x14ac:dyDescent="0.25">
      <c r="A6624" t="str">
        <f>"07-0917"</f>
        <v>07-0917</v>
      </c>
      <c r="D6624" s="8">
        <v>39422</v>
      </c>
      <c r="G6624" s="8">
        <v>39423</v>
      </c>
      <c r="Y6624" s="8"/>
    </row>
    <row r="6625" spans="1:25" x14ac:dyDescent="0.25">
      <c r="A6625" t="str">
        <f>"07-0918"</f>
        <v>07-0918</v>
      </c>
      <c r="D6625" s="8">
        <v>39422</v>
      </c>
      <c r="F6625" s="8">
        <v>39422</v>
      </c>
      <c r="G6625" s="8">
        <v>39421</v>
      </c>
      <c r="Y6625" s="8"/>
    </row>
    <row r="6626" spans="1:25" x14ac:dyDescent="0.25">
      <c r="A6626" t="str">
        <f>"07-0919"</f>
        <v>07-0919</v>
      </c>
      <c r="D6626" s="8">
        <v>39422</v>
      </c>
      <c r="F6626" s="8">
        <v>39422</v>
      </c>
      <c r="G6626" s="8">
        <v>39431</v>
      </c>
      <c r="Y6626" s="8"/>
    </row>
    <row r="6627" spans="1:25" x14ac:dyDescent="0.25">
      <c r="A6627" t="str">
        <f>"07-0910"</f>
        <v>07-0910</v>
      </c>
      <c r="D6627" s="8">
        <v>39421</v>
      </c>
      <c r="F6627" s="8">
        <v>39421</v>
      </c>
      <c r="G6627" s="8">
        <v>39431</v>
      </c>
      <c r="Y6627" s="8"/>
    </row>
    <row r="6628" spans="1:25" x14ac:dyDescent="0.25">
      <c r="A6628" t="str">
        <f>"07-0911"</f>
        <v>07-0911</v>
      </c>
      <c r="D6628" s="8">
        <v>39421</v>
      </c>
      <c r="F6628" s="8">
        <v>39421</v>
      </c>
      <c r="G6628" s="8">
        <v>39416</v>
      </c>
      <c r="Y6628" s="8"/>
    </row>
    <row r="6629" spans="1:25" x14ac:dyDescent="0.25">
      <c r="A6629" t="str">
        <f>"07-0912"</f>
        <v>07-0912</v>
      </c>
      <c r="D6629" s="8">
        <v>39421</v>
      </c>
      <c r="F6629" s="8">
        <v>39421</v>
      </c>
      <c r="G6629" s="8">
        <v>39421</v>
      </c>
      <c r="Y6629" s="8"/>
    </row>
    <row r="6630" spans="1:25" x14ac:dyDescent="0.25">
      <c r="A6630" t="str">
        <f>"07-0913"</f>
        <v>07-0913</v>
      </c>
      <c r="D6630" s="8">
        <v>39421</v>
      </c>
      <c r="F6630" s="8">
        <v>39421</v>
      </c>
      <c r="G6630" s="8">
        <v>39431</v>
      </c>
      <c r="Y6630" s="8"/>
    </row>
    <row r="6631" spans="1:25" x14ac:dyDescent="0.25">
      <c r="A6631" t="str">
        <f>"07-0914"</f>
        <v>07-0914</v>
      </c>
      <c r="D6631" s="8">
        <v>39421</v>
      </c>
      <c r="F6631" s="8">
        <v>39421</v>
      </c>
      <c r="G6631" s="8">
        <v>39431</v>
      </c>
      <c r="Y6631" s="8"/>
    </row>
    <row r="6632" spans="1:25" x14ac:dyDescent="0.25">
      <c r="A6632" t="str">
        <f>"07-0915"</f>
        <v>07-0915</v>
      </c>
      <c r="D6632" s="8">
        <v>39421</v>
      </c>
      <c r="F6632" s="8">
        <v>39421</v>
      </c>
      <c r="G6632" s="8">
        <v>39423</v>
      </c>
      <c r="Y6632" s="8"/>
    </row>
    <row r="6633" spans="1:25" x14ac:dyDescent="0.25">
      <c r="A6633" t="str">
        <f>"07-0916"</f>
        <v>07-0916</v>
      </c>
      <c r="D6633" s="8">
        <v>39421</v>
      </c>
      <c r="F6633" s="8">
        <v>39422</v>
      </c>
      <c r="G6633" s="8">
        <v>39423</v>
      </c>
      <c r="Y6633" s="8"/>
    </row>
    <row r="6634" spans="1:25" x14ac:dyDescent="0.25">
      <c r="A6634" t="str">
        <f>"07-0908"</f>
        <v>07-0908</v>
      </c>
      <c r="D6634" s="8">
        <v>39420</v>
      </c>
      <c r="F6634" s="8">
        <v>39421</v>
      </c>
      <c r="G6634" s="8">
        <v>39423</v>
      </c>
      <c r="Y6634" s="8"/>
    </row>
    <row r="6635" spans="1:25" x14ac:dyDescent="0.25">
      <c r="A6635" t="str">
        <f>"07-0909"</f>
        <v>07-0909</v>
      </c>
      <c r="D6635" s="8">
        <v>39420</v>
      </c>
      <c r="F6635" s="8">
        <v>39423</v>
      </c>
      <c r="G6635" s="8">
        <v>39420</v>
      </c>
      <c r="Y6635" s="8"/>
    </row>
    <row r="6636" spans="1:25" x14ac:dyDescent="0.25">
      <c r="A6636" t="str">
        <f>"07-0907"</f>
        <v>07-0907</v>
      </c>
      <c r="D6636" s="8">
        <v>39419</v>
      </c>
      <c r="F6636" s="8">
        <v>39419</v>
      </c>
      <c r="G6636" s="8">
        <v>39419</v>
      </c>
      <c r="Y6636" s="8"/>
    </row>
    <row r="6637" spans="1:25" x14ac:dyDescent="0.25">
      <c r="A6637" t="str">
        <f>"07-0886B"</f>
        <v>07-0886B</v>
      </c>
      <c r="D6637" s="8">
        <v>39416</v>
      </c>
      <c r="F6637" s="8">
        <v>39416</v>
      </c>
      <c r="G6637" s="8">
        <v>39416</v>
      </c>
      <c r="Y6637" s="8"/>
    </row>
    <row r="6638" spans="1:25" x14ac:dyDescent="0.25">
      <c r="A6638" t="str">
        <f>"07-0899"</f>
        <v>07-0899</v>
      </c>
      <c r="D6638" s="8">
        <v>39415</v>
      </c>
      <c r="F6638" s="8">
        <v>39415</v>
      </c>
      <c r="G6638" s="8">
        <v>39415</v>
      </c>
      <c r="Y6638" s="8"/>
    </row>
    <row r="6639" spans="1:25" x14ac:dyDescent="0.25">
      <c r="A6639" t="str">
        <f>"07-0900"</f>
        <v>07-0900</v>
      </c>
      <c r="D6639" s="8">
        <v>39415</v>
      </c>
      <c r="F6639" s="8">
        <v>39415</v>
      </c>
      <c r="G6639" s="8">
        <v>39415</v>
      </c>
      <c r="Y6639" s="8"/>
    </row>
    <row r="6640" spans="1:25" x14ac:dyDescent="0.25">
      <c r="A6640" t="str">
        <f>"07-0901"</f>
        <v>07-0901</v>
      </c>
      <c r="D6640" s="8">
        <v>39415</v>
      </c>
      <c r="F6640" s="8">
        <v>39415</v>
      </c>
      <c r="G6640" s="8">
        <v>39415</v>
      </c>
      <c r="Y6640" s="8"/>
    </row>
    <row r="6641" spans="1:25" x14ac:dyDescent="0.25">
      <c r="A6641" t="str">
        <f>"07-0902"</f>
        <v>07-0902</v>
      </c>
      <c r="D6641" s="8">
        <v>39415</v>
      </c>
      <c r="F6641" s="8">
        <v>39463</v>
      </c>
      <c r="G6641" s="8">
        <v>39415</v>
      </c>
      <c r="Y6641" s="8"/>
    </row>
    <row r="6642" spans="1:25" x14ac:dyDescent="0.25">
      <c r="A6642" t="str">
        <f>"07-0903"</f>
        <v>07-0903</v>
      </c>
      <c r="D6642" s="8">
        <v>39415</v>
      </c>
      <c r="F6642" s="8">
        <v>39415</v>
      </c>
      <c r="G6642" s="8">
        <v>39415</v>
      </c>
      <c r="Y6642" s="8"/>
    </row>
    <row r="6643" spans="1:25" x14ac:dyDescent="0.25">
      <c r="A6643" t="str">
        <f>"07-0904"</f>
        <v>07-0904</v>
      </c>
      <c r="D6643" s="8">
        <v>39415</v>
      </c>
      <c r="F6643" s="8">
        <v>39415</v>
      </c>
      <c r="G6643" s="8">
        <v>39415</v>
      </c>
      <c r="Y6643" s="8"/>
    </row>
    <row r="6644" spans="1:25" x14ac:dyDescent="0.25">
      <c r="A6644" t="str">
        <f>"07-0905"</f>
        <v>07-0905</v>
      </c>
      <c r="D6644" s="8">
        <v>39415</v>
      </c>
      <c r="F6644" s="8">
        <v>39415</v>
      </c>
      <c r="G6644" s="8">
        <v>39415</v>
      </c>
      <c r="Y6644" s="8"/>
    </row>
    <row r="6645" spans="1:25" x14ac:dyDescent="0.25">
      <c r="A6645" t="str">
        <f>"07-0906"</f>
        <v>07-0906</v>
      </c>
      <c r="D6645" s="8">
        <v>39415</v>
      </c>
      <c r="G6645" s="8">
        <v>39416</v>
      </c>
      <c r="Y6645" s="8"/>
    </row>
    <row r="6646" spans="1:25" x14ac:dyDescent="0.25">
      <c r="A6646" t="str">
        <f>"07-0893"</f>
        <v>07-0893</v>
      </c>
      <c r="D6646" s="8">
        <v>39413</v>
      </c>
      <c r="F6646" s="8">
        <v>39413</v>
      </c>
      <c r="G6646" s="8">
        <v>39414</v>
      </c>
      <c r="Y6646" s="8"/>
    </row>
    <row r="6647" spans="1:25" x14ac:dyDescent="0.25">
      <c r="A6647" t="str">
        <f>"07-0894"</f>
        <v>07-0894</v>
      </c>
      <c r="D6647" s="8">
        <v>39413</v>
      </c>
      <c r="F6647" s="8">
        <v>39413</v>
      </c>
      <c r="G6647" s="8">
        <v>39413</v>
      </c>
      <c r="Y6647" s="8"/>
    </row>
    <row r="6648" spans="1:25" x14ac:dyDescent="0.25">
      <c r="A6648" t="str">
        <f>"07-0895"</f>
        <v>07-0895</v>
      </c>
      <c r="D6648" s="8">
        <v>39413</v>
      </c>
      <c r="F6648" s="8">
        <v>39413</v>
      </c>
      <c r="G6648" s="8">
        <v>39413</v>
      </c>
      <c r="Y6648" s="8"/>
    </row>
    <row r="6649" spans="1:25" x14ac:dyDescent="0.25">
      <c r="A6649" t="str">
        <f>"07-0896"</f>
        <v>07-0896</v>
      </c>
      <c r="D6649" s="8">
        <v>39413</v>
      </c>
      <c r="F6649" s="8">
        <v>39420</v>
      </c>
      <c r="G6649" s="8">
        <v>39416</v>
      </c>
      <c r="Y6649" s="8"/>
    </row>
    <row r="6650" spans="1:25" x14ac:dyDescent="0.25">
      <c r="A6650" t="str">
        <f>"07-0897"</f>
        <v>07-0897</v>
      </c>
      <c r="D6650" s="8">
        <v>39413</v>
      </c>
      <c r="F6650" s="8">
        <v>39413</v>
      </c>
      <c r="G6650" s="8">
        <v>39413</v>
      </c>
      <c r="Y6650" s="8"/>
    </row>
    <row r="6651" spans="1:25" x14ac:dyDescent="0.25">
      <c r="A6651" t="str">
        <f>"07-0898"</f>
        <v>07-0898</v>
      </c>
      <c r="D6651" s="8">
        <v>39413</v>
      </c>
      <c r="F6651" s="8">
        <v>39420</v>
      </c>
      <c r="G6651" s="8">
        <v>39414</v>
      </c>
      <c r="Y6651" s="8"/>
    </row>
    <row r="6652" spans="1:25" x14ac:dyDescent="0.25">
      <c r="A6652" t="str">
        <f>"07-0890"</f>
        <v>07-0890</v>
      </c>
      <c r="D6652" s="8">
        <v>39412</v>
      </c>
      <c r="F6652" s="8">
        <v>39412</v>
      </c>
      <c r="G6652" s="8">
        <v>39412</v>
      </c>
      <c r="Y6652" s="8"/>
    </row>
    <row r="6653" spans="1:25" x14ac:dyDescent="0.25">
      <c r="A6653" t="str">
        <f>"07-0891"</f>
        <v>07-0891</v>
      </c>
      <c r="D6653" s="8">
        <v>39412</v>
      </c>
      <c r="F6653" s="8">
        <v>39413</v>
      </c>
      <c r="G6653" s="8">
        <v>39413</v>
      </c>
      <c r="Y6653" s="8"/>
    </row>
    <row r="6654" spans="1:25" x14ac:dyDescent="0.25">
      <c r="A6654" t="str">
        <f>"07-0892"</f>
        <v>07-0892</v>
      </c>
      <c r="D6654" s="8">
        <v>39412</v>
      </c>
      <c r="F6654" s="8">
        <v>39412</v>
      </c>
      <c r="G6654" s="8">
        <v>39412</v>
      </c>
      <c r="Y6654" s="8"/>
    </row>
    <row r="6655" spans="1:25" x14ac:dyDescent="0.25">
      <c r="A6655" t="str">
        <f>"07-0861B"</f>
        <v>07-0861B</v>
      </c>
      <c r="D6655" s="8">
        <v>39409</v>
      </c>
      <c r="F6655" s="8">
        <v>39409</v>
      </c>
      <c r="G6655" s="8">
        <v>39409</v>
      </c>
      <c r="Y6655" s="8"/>
    </row>
    <row r="6656" spans="1:25" x14ac:dyDescent="0.25">
      <c r="A6656" t="str">
        <f>"07-0886"</f>
        <v>07-0886</v>
      </c>
      <c r="D6656" s="8">
        <v>39409</v>
      </c>
      <c r="F6656" s="8">
        <v>39409</v>
      </c>
      <c r="G6656" s="8">
        <v>39409</v>
      </c>
      <c r="Y6656" s="8"/>
    </row>
    <row r="6657" spans="1:25" x14ac:dyDescent="0.25">
      <c r="A6657" t="str">
        <f>"07-0887"</f>
        <v>07-0887</v>
      </c>
      <c r="D6657" s="8">
        <v>39409</v>
      </c>
      <c r="F6657" s="8">
        <v>39409</v>
      </c>
      <c r="G6657" s="8">
        <v>39409</v>
      </c>
      <c r="Y6657" s="8"/>
    </row>
    <row r="6658" spans="1:25" x14ac:dyDescent="0.25">
      <c r="A6658" t="str">
        <f>"07-0888"</f>
        <v>07-0888</v>
      </c>
      <c r="D6658" s="8">
        <v>39409</v>
      </c>
      <c r="F6658" s="8">
        <v>39409</v>
      </c>
      <c r="G6658" s="8">
        <v>39409</v>
      </c>
      <c r="Y6658" s="8"/>
    </row>
    <row r="6659" spans="1:25" x14ac:dyDescent="0.25">
      <c r="A6659" t="str">
        <f>"07-0889"</f>
        <v>07-0889</v>
      </c>
      <c r="D6659" s="8">
        <v>39409</v>
      </c>
      <c r="F6659" s="8">
        <v>39412</v>
      </c>
      <c r="G6659" s="8">
        <v>39412</v>
      </c>
      <c r="Y6659" s="8"/>
    </row>
    <row r="6660" spans="1:25" x14ac:dyDescent="0.25">
      <c r="A6660" t="str">
        <f>"07-0885"</f>
        <v>07-0885</v>
      </c>
      <c r="D6660" s="8">
        <v>39408</v>
      </c>
      <c r="F6660" s="8">
        <v>39483</v>
      </c>
      <c r="G6660" s="8">
        <v>39416</v>
      </c>
      <c r="Y6660" s="8"/>
    </row>
    <row r="6661" spans="1:25" x14ac:dyDescent="0.25">
      <c r="A6661" t="str">
        <f>"07-0788C"</f>
        <v>07-0788C</v>
      </c>
      <c r="D6661" s="8">
        <v>39407</v>
      </c>
      <c r="F6661" s="8">
        <v>41774</v>
      </c>
      <c r="G6661" s="8">
        <v>39407</v>
      </c>
      <c r="Y6661" s="8"/>
    </row>
    <row r="6662" spans="1:25" x14ac:dyDescent="0.25">
      <c r="A6662" t="str">
        <f>"07-0878"</f>
        <v>07-0878</v>
      </c>
      <c r="D6662" s="8">
        <v>39407</v>
      </c>
      <c r="F6662" s="8">
        <v>39407</v>
      </c>
      <c r="G6662" s="8">
        <v>39407</v>
      </c>
      <c r="Y6662" s="8"/>
    </row>
    <row r="6663" spans="1:25" x14ac:dyDescent="0.25">
      <c r="A6663" t="str">
        <f>"07-0879"</f>
        <v>07-0879</v>
      </c>
      <c r="D6663" s="8">
        <v>39407</v>
      </c>
      <c r="F6663" s="8">
        <v>39407</v>
      </c>
      <c r="G6663" s="8">
        <v>39407</v>
      </c>
      <c r="Y6663" s="8"/>
    </row>
    <row r="6664" spans="1:25" x14ac:dyDescent="0.25">
      <c r="A6664" t="str">
        <f>"07-0880"</f>
        <v>07-0880</v>
      </c>
      <c r="D6664" s="8">
        <v>39407</v>
      </c>
      <c r="F6664" s="8">
        <v>39409</v>
      </c>
      <c r="G6664" s="8">
        <v>39412</v>
      </c>
      <c r="Y6664" s="8"/>
    </row>
    <row r="6665" spans="1:25" x14ac:dyDescent="0.25">
      <c r="A6665" t="str">
        <f>"07-0881"</f>
        <v>07-0881</v>
      </c>
      <c r="D6665" s="8">
        <v>39407</v>
      </c>
      <c r="F6665" s="8">
        <v>39407</v>
      </c>
      <c r="G6665" s="8">
        <v>39407</v>
      </c>
      <c r="Y6665" s="8"/>
    </row>
    <row r="6666" spans="1:25" x14ac:dyDescent="0.25">
      <c r="A6666" t="str">
        <f>"07-0882"</f>
        <v>07-0882</v>
      </c>
      <c r="D6666" s="8">
        <v>39407</v>
      </c>
      <c r="F6666" s="8">
        <v>39407</v>
      </c>
      <c r="G6666" s="8">
        <v>39407</v>
      </c>
      <c r="Y6666" s="8"/>
    </row>
    <row r="6667" spans="1:25" x14ac:dyDescent="0.25">
      <c r="A6667" t="str">
        <f>"07-0883"</f>
        <v>07-0883</v>
      </c>
      <c r="D6667" s="8">
        <v>39407</v>
      </c>
      <c r="F6667" s="8">
        <v>39407</v>
      </c>
      <c r="G6667" s="8">
        <v>39407</v>
      </c>
      <c r="Y6667" s="8"/>
    </row>
    <row r="6668" spans="1:25" x14ac:dyDescent="0.25">
      <c r="A6668" t="str">
        <f>"07-0884"</f>
        <v>07-0884</v>
      </c>
      <c r="D6668" s="8">
        <v>39407</v>
      </c>
      <c r="F6668" s="8">
        <v>39408</v>
      </c>
      <c r="G6668" s="8">
        <v>39408</v>
      </c>
      <c r="Y6668" s="8"/>
    </row>
    <row r="6669" spans="1:25" x14ac:dyDescent="0.25">
      <c r="A6669" t="str">
        <f>"07-0841C"</f>
        <v>07-0841C</v>
      </c>
      <c r="D6669" s="8">
        <v>39406</v>
      </c>
      <c r="F6669" s="8">
        <v>39406</v>
      </c>
      <c r="G6669" s="8">
        <v>39406</v>
      </c>
      <c r="Y6669" s="8"/>
    </row>
    <row r="6670" spans="1:25" x14ac:dyDescent="0.25">
      <c r="A6670" t="str">
        <f>"07-0836B"</f>
        <v>07-0836B</v>
      </c>
      <c r="D6670" s="8">
        <v>39405</v>
      </c>
      <c r="F6670" s="8">
        <v>39405</v>
      </c>
      <c r="G6670" s="8">
        <v>39405</v>
      </c>
      <c r="Y6670" s="8"/>
    </row>
    <row r="6671" spans="1:25" x14ac:dyDescent="0.25">
      <c r="A6671" t="str">
        <f>"07-0872"</f>
        <v>07-0872</v>
      </c>
      <c r="D6671" s="8">
        <v>39405</v>
      </c>
      <c r="F6671" s="8">
        <v>39405</v>
      </c>
      <c r="G6671" s="8">
        <v>39402</v>
      </c>
      <c r="Y6671" s="8"/>
    </row>
    <row r="6672" spans="1:25" x14ac:dyDescent="0.25">
      <c r="A6672" t="str">
        <f>"07-0873"</f>
        <v>07-0873</v>
      </c>
      <c r="D6672" s="8">
        <v>39405</v>
      </c>
      <c r="F6672" s="8">
        <v>39405</v>
      </c>
      <c r="G6672" s="8">
        <v>39405</v>
      </c>
      <c r="Y6672" s="8"/>
    </row>
    <row r="6673" spans="1:25" x14ac:dyDescent="0.25">
      <c r="A6673" t="str">
        <f>"07-0874"</f>
        <v>07-0874</v>
      </c>
      <c r="D6673" s="8">
        <v>39405</v>
      </c>
      <c r="F6673" s="8">
        <v>39405</v>
      </c>
      <c r="G6673" s="8">
        <v>39405</v>
      </c>
      <c r="Y6673" s="8"/>
    </row>
    <row r="6674" spans="1:25" x14ac:dyDescent="0.25">
      <c r="A6674" t="str">
        <f>"07-0875"</f>
        <v>07-0875</v>
      </c>
      <c r="D6674" s="8">
        <v>39405</v>
      </c>
      <c r="F6674" s="8">
        <v>39405</v>
      </c>
      <c r="G6674" s="8">
        <v>39405</v>
      </c>
      <c r="Y6674" s="8"/>
    </row>
    <row r="6675" spans="1:25" x14ac:dyDescent="0.25">
      <c r="A6675" t="str">
        <f>"07-0876"</f>
        <v>07-0876</v>
      </c>
      <c r="D6675" s="8">
        <v>39405</v>
      </c>
      <c r="F6675" s="8">
        <v>39577</v>
      </c>
      <c r="G6675" s="8">
        <v>39405</v>
      </c>
      <c r="Y6675" s="8"/>
    </row>
    <row r="6676" spans="1:25" x14ac:dyDescent="0.25">
      <c r="A6676" t="str">
        <f>"07-0877"</f>
        <v>07-0877</v>
      </c>
      <c r="D6676" s="8">
        <v>39405</v>
      </c>
      <c r="F6676" s="8">
        <v>39405</v>
      </c>
      <c r="G6676" s="8">
        <v>39405</v>
      </c>
      <c r="Y6676" s="8"/>
    </row>
    <row r="6677" spans="1:25" x14ac:dyDescent="0.25">
      <c r="A6677" t="str">
        <f>"07-0869"</f>
        <v>07-0869</v>
      </c>
      <c r="D6677" s="8">
        <v>39402</v>
      </c>
      <c r="F6677" s="8">
        <v>39402</v>
      </c>
      <c r="G6677" s="8">
        <v>39391</v>
      </c>
      <c r="Y6677" s="8"/>
    </row>
    <row r="6678" spans="1:25" x14ac:dyDescent="0.25">
      <c r="A6678" t="str">
        <f>"07-0870"</f>
        <v>07-0870</v>
      </c>
      <c r="D6678" s="8">
        <v>39402</v>
      </c>
      <c r="F6678" s="8">
        <v>39405</v>
      </c>
      <c r="G6678" s="8">
        <v>39408</v>
      </c>
      <c r="Y6678" s="8"/>
    </row>
    <row r="6679" spans="1:25" x14ac:dyDescent="0.25">
      <c r="A6679" t="str">
        <f>"07-0871"</f>
        <v>07-0871</v>
      </c>
      <c r="D6679" s="8">
        <v>39402</v>
      </c>
      <c r="F6679" s="8">
        <v>39402</v>
      </c>
      <c r="G6679" s="8">
        <v>39406</v>
      </c>
      <c r="Y6679" s="8"/>
    </row>
    <row r="6680" spans="1:25" x14ac:dyDescent="0.25">
      <c r="A6680" t="str">
        <f>"07-0863"</f>
        <v>07-0863</v>
      </c>
      <c r="D6680" s="8">
        <v>39401</v>
      </c>
      <c r="F6680" s="8">
        <v>39499</v>
      </c>
      <c r="G6680" s="8">
        <v>39402</v>
      </c>
      <c r="Y6680" s="8"/>
    </row>
    <row r="6681" spans="1:25" x14ac:dyDescent="0.25">
      <c r="A6681" t="str">
        <f>"07-0864"</f>
        <v>07-0864</v>
      </c>
      <c r="D6681" s="8">
        <v>39401</v>
      </c>
      <c r="F6681" s="8">
        <v>39401</v>
      </c>
      <c r="G6681" s="8">
        <v>39401</v>
      </c>
      <c r="Y6681" s="8"/>
    </row>
    <row r="6682" spans="1:25" x14ac:dyDescent="0.25">
      <c r="A6682" t="str">
        <f>"07-0865"</f>
        <v>07-0865</v>
      </c>
      <c r="D6682" s="8">
        <v>39401</v>
      </c>
      <c r="F6682" s="8">
        <v>39470</v>
      </c>
      <c r="G6682" s="8">
        <v>39401</v>
      </c>
      <c r="Y6682" s="8"/>
    </row>
    <row r="6683" spans="1:25" x14ac:dyDescent="0.25">
      <c r="A6683" t="str">
        <f>"07-0866"</f>
        <v>07-0866</v>
      </c>
      <c r="D6683" s="8">
        <v>39401</v>
      </c>
      <c r="F6683" s="8">
        <v>39401</v>
      </c>
      <c r="G6683" s="8">
        <v>39401</v>
      </c>
      <c r="Y6683" s="8"/>
    </row>
    <row r="6684" spans="1:25" x14ac:dyDescent="0.25">
      <c r="A6684" t="str">
        <f>"07-0867"</f>
        <v>07-0867</v>
      </c>
      <c r="D6684" s="8">
        <v>39401</v>
      </c>
      <c r="F6684" s="8">
        <v>39402</v>
      </c>
      <c r="G6684" s="8">
        <v>39402</v>
      </c>
      <c r="Y6684" s="8"/>
    </row>
    <row r="6685" spans="1:25" x14ac:dyDescent="0.25">
      <c r="A6685" t="str">
        <f>"07-0868"</f>
        <v>07-0868</v>
      </c>
      <c r="D6685" s="8">
        <v>39401</v>
      </c>
      <c r="F6685" s="8">
        <v>39401</v>
      </c>
      <c r="G6685" s="8">
        <v>39402</v>
      </c>
      <c r="Y6685" s="8"/>
    </row>
    <row r="6686" spans="1:25" x14ac:dyDescent="0.25">
      <c r="A6686" t="str">
        <f>"07-0841B"</f>
        <v>07-0841B</v>
      </c>
      <c r="D6686" s="8">
        <v>39400</v>
      </c>
      <c r="F6686" s="8">
        <v>39400</v>
      </c>
      <c r="G6686" s="8">
        <v>39400</v>
      </c>
      <c r="Y6686" s="8"/>
    </row>
    <row r="6687" spans="1:25" x14ac:dyDescent="0.25">
      <c r="A6687" t="str">
        <f>"07-0859"</f>
        <v>07-0859</v>
      </c>
      <c r="D6687" s="8">
        <v>39400</v>
      </c>
      <c r="F6687" s="8">
        <v>39405</v>
      </c>
      <c r="G6687" s="8">
        <v>39402</v>
      </c>
      <c r="Y6687" s="8"/>
    </row>
    <row r="6688" spans="1:25" x14ac:dyDescent="0.25">
      <c r="A6688" t="str">
        <f>"07-0860"</f>
        <v>07-0860</v>
      </c>
      <c r="D6688" s="8">
        <v>39400</v>
      </c>
      <c r="F6688" s="8">
        <v>39400</v>
      </c>
      <c r="G6688" s="8">
        <v>39400</v>
      </c>
      <c r="Y6688" s="8"/>
    </row>
    <row r="6689" spans="1:25" x14ac:dyDescent="0.25">
      <c r="A6689" t="str">
        <f>"07-0861"</f>
        <v>07-0861</v>
      </c>
      <c r="D6689" s="8">
        <v>39400</v>
      </c>
      <c r="F6689" s="8">
        <v>39409</v>
      </c>
      <c r="G6689" s="8">
        <v>39400</v>
      </c>
      <c r="Y6689" s="8"/>
    </row>
    <row r="6690" spans="1:25" x14ac:dyDescent="0.25">
      <c r="A6690" t="str">
        <f>"07-0862"</f>
        <v>07-0862</v>
      </c>
      <c r="D6690" s="8">
        <v>39400</v>
      </c>
      <c r="F6690" s="8">
        <v>39400</v>
      </c>
      <c r="G6690" s="8">
        <v>39402</v>
      </c>
      <c r="Y6690" s="8"/>
    </row>
    <row r="6691" spans="1:25" x14ac:dyDescent="0.25">
      <c r="A6691" t="str">
        <f>"07-0855"</f>
        <v>07-0855</v>
      </c>
      <c r="D6691" s="8">
        <v>39399</v>
      </c>
      <c r="F6691" s="8">
        <v>39399</v>
      </c>
      <c r="G6691" s="8">
        <v>39399</v>
      </c>
      <c r="Y6691" s="8"/>
    </row>
    <row r="6692" spans="1:25" x14ac:dyDescent="0.25">
      <c r="A6692" t="str">
        <f>"07-0856"</f>
        <v>07-0856</v>
      </c>
      <c r="D6692" s="8">
        <v>39399</v>
      </c>
      <c r="F6692" s="8">
        <v>39399</v>
      </c>
      <c r="G6692" s="8">
        <v>39399</v>
      </c>
      <c r="Y6692" s="8"/>
    </row>
    <row r="6693" spans="1:25" x14ac:dyDescent="0.25">
      <c r="A6693" t="str">
        <f>"07-0857"</f>
        <v>07-0857</v>
      </c>
      <c r="D6693" s="8">
        <v>39399</v>
      </c>
      <c r="F6693" s="8">
        <v>39399</v>
      </c>
      <c r="G6693" s="8">
        <v>39399</v>
      </c>
      <c r="Y6693" s="8"/>
    </row>
    <row r="6694" spans="1:25" x14ac:dyDescent="0.25">
      <c r="A6694" t="str">
        <f>"07-0858"</f>
        <v>07-0858</v>
      </c>
      <c r="D6694" s="8">
        <v>39399</v>
      </c>
      <c r="F6694" s="8">
        <v>39399</v>
      </c>
      <c r="G6694" s="8">
        <v>39399</v>
      </c>
      <c r="Y6694" s="8"/>
    </row>
    <row r="6695" spans="1:25" x14ac:dyDescent="0.25">
      <c r="A6695" t="str">
        <f>"07-0854"</f>
        <v>07-0854</v>
      </c>
      <c r="D6695" s="8">
        <v>39398</v>
      </c>
      <c r="F6695" s="8">
        <v>39398</v>
      </c>
      <c r="G6695" s="8">
        <v>39398</v>
      </c>
      <c r="Y6695" s="8"/>
    </row>
    <row r="6696" spans="1:25" x14ac:dyDescent="0.25">
      <c r="A6696" t="str">
        <f>"07-0852"</f>
        <v>07-0852</v>
      </c>
      <c r="D6696" s="8">
        <v>39395</v>
      </c>
      <c r="F6696" s="8">
        <v>39618</v>
      </c>
      <c r="G6696" s="8">
        <v>39395</v>
      </c>
      <c r="Y6696" s="8"/>
    </row>
    <row r="6697" spans="1:25" x14ac:dyDescent="0.25">
      <c r="A6697" t="str">
        <f>"07-0853"</f>
        <v>07-0853</v>
      </c>
      <c r="D6697" s="8">
        <v>39395</v>
      </c>
      <c r="F6697" s="8">
        <v>39395</v>
      </c>
      <c r="G6697" s="8">
        <v>39395</v>
      </c>
      <c r="Y6697" s="8"/>
    </row>
    <row r="6698" spans="1:25" x14ac:dyDescent="0.25">
      <c r="A6698" t="str">
        <f>"07-0851"</f>
        <v>07-0851</v>
      </c>
      <c r="D6698" s="8">
        <v>39393</v>
      </c>
      <c r="F6698" s="8">
        <v>39393</v>
      </c>
      <c r="G6698" s="8">
        <v>39393</v>
      </c>
      <c r="Y6698" s="8"/>
    </row>
    <row r="6699" spans="1:25" x14ac:dyDescent="0.25">
      <c r="A6699" t="str">
        <f>"07-0842"</f>
        <v>07-0842</v>
      </c>
      <c r="D6699" s="8">
        <v>39392</v>
      </c>
      <c r="F6699" s="8">
        <v>39979</v>
      </c>
      <c r="G6699" s="8">
        <v>39392</v>
      </c>
      <c r="Y6699" s="8"/>
    </row>
    <row r="6700" spans="1:25" x14ac:dyDescent="0.25">
      <c r="A6700" t="str">
        <f>"07-0843"</f>
        <v>07-0843</v>
      </c>
      <c r="D6700" s="8">
        <v>39392</v>
      </c>
      <c r="F6700" s="8">
        <v>39392</v>
      </c>
      <c r="G6700" s="8">
        <v>39392</v>
      </c>
      <c r="Y6700" s="8"/>
    </row>
    <row r="6701" spans="1:25" x14ac:dyDescent="0.25">
      <c r="A6701" t="str">
        <f>"07-0844"</f>
        <v>07-0844</v>
      </c>
      <c r="D6701" s="8">
        <v>39392</v>
      </c>
      <c r="F6701" s="8">
        <v>39392</v>
      </c>
      <c r="G6701" s="8">
        <v>39392</v>
      </c>
      <c r="Y6701" s="8"/>
    </row>
    <row r="6702" spans="1:25" x14ac:dyDescent="0.25">
      <c r="A6702" t="str">
        <f>"07-0845"</f>
        <v>07-0845</v>
      </c>
      <c r="D6702" s="8">
        <v>39392</v>
      </c>
      <c r="F6702" s="8">
        <v>39406</v>
      </c>
      <c r="G6702" s="8">
        <v>39401</v>
      </c>
      <c r="Y6702" s="8"/>
    </row>
    <row r="6703" spans="1:25" x14ac:dyDescent="0.25">
      <c r="A6703" t="str">
        <f>"07-0846"</f>
        <v>07-0846</v>
      </c>
      <c r="D6703" s="8">
        <v>39392</v>
      </c>
      <c r="F6703" s="8">
        <v>39407</v>
      </c>
      <c r="G6703" s="8">
        <v>39392</v>
      </c>
      <c r="Y6703" s="8"/>
    </row>
    <row r="6704" spans="1:25" x14ac:dyDescent="0.25">
      <c r="A6704" t="str">
        <f>"07-0847"</f>
        <v>07-0847</v>
      </c>
      <c r="D6704" s="8">
        <v>39392</v>
      </c>
      <c r="F6704" s="8">
        <v>39867</v>
      </c>
      <c r="G6704" s="8">
        <v>39392</v>
      </c>
      <c r="Y6704" s="8"/>
    </row>
    <row r="6705" spans="1:25" x14ac:dyDescent="0.25">
      <c r="A6705" t="str">
        <f>"07-0848"</f>
        <v>07-0848</v>
      </c>
      <c r="D6705" s="8">
        <v>39392</v>
      </c>
      <c r="F6705" s="8">
        <v>39392</v>
      </c>
      <c r="G6705" s="8">
        <v>39392</v>
      </c>
      <c r="Y6705" s="8"/>
    </row>
    <row r="6706" spans="1:25" x14ac:dyDescent="0.25">
      <c r="A6706" t="str">
        <f>"07-0849"</f>
        <v>07-0849</v>
      </c>
      <c r="D6706" s="8">
        <v>39392</v>
      </c>
      <c r="F6706" s="8">
        <v>39392</v>
      </c>
      <c r="G6706" s="8">
        <v>39392</v>
      </c>
      <c r="Y6706" s="8"/>
    </row>
    <row r="6707" spans="1:25" x14ac:dyDescent="0.25">
      <c r="A6707" t="str">
        <f>"07-0850"</f>
        <v>07-0850</v>
      </c>
      <c r="D6707" s="8">
        <v>39392</v>
      </c>
      <c r="F6707" s="8">
        <v>39423</v>
      </c>
      <c r="G6707" s="8">
        <v>39392</v>
      </c>
      <c r="Y6707" s="8"/>
    </row>
    <row r="6708" spans="1:25" x14ac:dyDescent="0.25">
      <c r="A6708" t="str">
        <f>"07-0836"</f>
        <v>07-0836</v>
      </c>
      <c r="D6708" s="8">
        <v>39388</v>
      </c>
      <c r="F6708" s="8">
        <v>39388</v>
      </c>
      <c r="G6708" s="8">
        <v>39396</v>
      </c>
      <c r="Y6708" s="8"/>
    </row>
    <row r="6709" spans="1:25" x14ac:dyDescent="0.25">
      <c r="A6709" t="str">
        <f>"07-0837"</f>
        <v>07-0837</v>
      </c>
      <c r="D6709" s="8">
        <v>39388</v>
      </c>
      <c r="F6709" s="8">
        <v>39388</v>
      </c>
      <c r="G6709" s="8">
        <v>39391</v>
      </c>
      <c r="Y6709" s="8"/>
    </row>
    <row r="6710" spans="1:25" x14ac:dyDescent="0.25">
      <c r="A6710" t="str">
        <f>"07-0838"</f>
        <v>07-0838</v>
      </c>
      <c r="D6710" s="8">
        <v>39388</v>
      </c>
      <c r="F6710" s="8">
        <v>39388</v>
      </c>
      <c r="G6710" s="8">
        <v>39388</v>
      </c>
      <c r="Y6710" s="8"/>
    </row>
    <row r="6711" spans="1:25" x14ac:dyDescent="0.25">
      <c r="A6711" t="str">
        <f>"07-0839"</f>
        <v>07-0839</v>
      </c>
      <c r="D6711" s="8">
        <v>39388</v>
      </c>
      <c r="F6711" s="8">
        <v>39388</v>
      </c>
      <c r="G6711" s="8">
        <v>39385</v>
      </c>
      <c r="Y6711" s="8"/>
    </row>
    <row r="6712" spans="1:25" x14ac:dyDescent="0.25">
      <c r="A6712" t="str">
        <f>"07-0840"</f>
        <v>07-0840</v>
      </c>
      <c r="D6712" s="8">
        <v>39388</v>
      </c>
      <c r="F6712" s="8">
        <v>39391</v>
      </c>
      <c r="G6712" s="8">
        <v>39388</v>
      </c>
      <c r="Y6712" s="8"/>
    </row>
    <row r="6713" spans="1:25" x14ac:dyDescent="0.25">
      <c r="A6713" t="str">
        <f>"07-0841"</f>
        <v>07-0841</v>
      </c>
      <c r="D6713" s="8">
        <v>39388</v>
      </c>
      <c r="F6713" s="8">
        <v>39399</v>
      </c>
      <c r="G6713" s="8">
        <v>39386</v>
      </c>
      <c r="Y6713" s="8"/>
    </row>
    <row r="6714" spans="1:25" x14ac:dyDescent="0.25">
      <c r="A6714" t="str">
        <f>"07-0832"</f>
        <v>07-0832</v>
      </c>
      <c r="D6714" s="8">
        <v>39386</v>
      </c>
      <c r="G6714" s="8">
        <v>39386</v>
      </c>
    </row>
    <row r="6715" spans="1:25" x14ac:dyDescent="0.25">
      <c r="A6715" t="str">
        <f>"07-0833"</f>
        <v>07-0833</v>
      </c>
      <c r="D6715" s="8">
        <v>39386</v>
      </c>
      <c r="F6715" s="8">
        <v>39401</v>
      </c>
      <c r="G6715" s="8">
        <v>39386</v>
      </c>
      <c r="Y6715" s="8"/>
    </row>
    <row r="6716" spans="1:25" x14ac:dyDescent="0.25">
      <c r="A6716" t="str">
        <f>"07-0834"</f>
        <v>07-0834</v>
      </c>
      <c r="D6716" s="8">
        <v>39386</v>
      </c>
      <c r="F6716" s="8">
        <v>39386</v>
      </c>
      <c r="G6716" s="8">
        <v>39386</v>
      </c>
      <c r="Y6716" s="8"/>
    </row>
    <row r="6717" spans="1:25" x14ac:dyDescent="0.25">
      <c r="A6717" t="str">
        <f>"07-0835"</f>
        <v>07-0835</v>
      </c>
      <c r="D6717" s="8">
        <v>39386</v>
      </c>
      <c r="F6717" s="8">
        <v>39386</v>
      </c>
      <c r="G6717" s="8">
        <v>39386</v>
      </c>
      <c r="Y6717" s="8"/>
    </row>
    <row r="6718" spans="1:25" x14ac:dyDescent="0.25">
      <c r="A6718" t="str">
        <f>"07-0831"</f>
        <v>07-0831</v>
      </c>
      <c r="D6718" s="8">
        <v>39385</v>
      </c>
      <c r="F6718" s="8">
        <v>39385</v>
      </c>
      <c r="G6718" s="8">
        <v>39385</v>
      </c>
      <c r="Y6718" s="8"/>
    </row>
    <row r="6719" spans="1:25" x14ac:dyDescent="0.25">
      <c r="A6719" t="str">
        <f>"07-0830"</f>
        <v>07-0830</v>
      </c>
      <c r="D6719" s="8">
        <v>39384</v>
      </c>
      <c r="F6719" s="8">
        <v>39384</v>
      </c>
      <c r="G6719" s="8">
        <v>39384</v>
      </c>
      <c r="Y6719" s="8"/>
    </row>
    <row r="6720" spans="1:25" x14ac:dyDescent="0.25">
      <c r="A6720" t="str">
        <f>"07-0788B"</f>
        <v>07-0788B</v>
      </c>
      <c r="D6720" s="8">
        <v>39381</v>
      </c>
      <c r="F6720" s="8">
        <v>39381</v>
      </c>
      <c r="G6720" s="8">
        <v>39381</v>
      </c>
      <c r="Y6720" s="8"/>
    </row>
    <row r="6721" spans="1:25" x14ac:dyDescent="0.25">
      <c r="A6721" t="str">
        <f>"07-0825"</f>
        <v>07-0825</v>
      </c>
      <c r="D6721" s="8">
        <v>39381</v>
      </c>
      <c r="F6721" s="8">
        <v>39381</v>
      </c>
      <c r="G6721" s="8">
        <v>39381</v>
      </c>
      <c r="Y6721" s="8"/>
    </row>
    <row r="6722" spans="1:25" x14ac:dyDescent="0.25">
      <c r="A6722" t="str">
        <f>"07-0825B"</f>
        <v>07-0825B</v>
      </c>
      <c r="D6722" s="8">
        <v>39381</v>
      </c>
      <c r="F6722" s="8">
        <v>41774</v>
      </c>
      <c r="G6722" s="8">
        <v>39381</v>
      </c>
      <c r="Y6722" s="8"/>
    </row>
    <row r="6723" spans="1:25" x14ac:dyDescent="0.25">
      <c r="A6723" t="str">
        <f>"07-0826"</f>
        <v>07-0826</v>
      </c>
      <c r="D6723" s="8">
        <v>39381</v>
      </c>
      <c r="F6723" s="8">
        <v>39381</v>
      </c>
      <c r="G6723" s="8">
        <v>39386</v>
      </c>
      <c r="Y6723" s="8"/>
    </row>
    <row r="6724" spans="1:25" x14ac:dyDescent="0.25">
      <c r="A6724" t="str">
        <f>"07-0827"</f>
        <v>07-0827</v>
      </c>
      <c r="D6724" s="8">
        <v>39381</v>
      </c>
      <c r="F6724" s="8">
        <v>39381</v>
      </c>
      <c r="G6724" s="8">
        <v>39381</v>
      </c>
      <c r="Y6724" s="8"/>
    </row>
    <row r="6725" spans="1:25" x14ac:dyDescent="0.25">
      <c r="A6725" t="str">
        <f>"07-0828"</f>
        <v>07-0828</v>
      </c>
      <c r="D6725" s="8">
        <v>39381</v>
      </c>
      <c r="F6725" s="8">
        <v>39381</v>
      </c>
      <c r="G6725" s="8">
        <v>39381</v>
      </c>
      <c r="Y6725" s="8"/>
    </row>
    <row r="6726" spans="1:25" x14ac:dyDescent="0.25">
      <c r="A6726" t="str">
        <f>"07-0829"</f>
        <v>07-0829</v>
      </c>
      <c r="D6726" s="8">
        <v>39381</v>
      </c>
      <c r="F6726" s="8">
        <v>39392</v>
      </c>
      <c r="G6726" s="8">
        <v>39381</v>
      </c>
      <c r="Y6726" s="8"/>
    </row>
    <row r="6727" spans="1:25" x14ac:dyDescent="0.25">
      <c r="A6727" t="str">
        <f>"07-0823"</f>
        <v>07-0823</v>
      </c>
      <c r="D6727" s="8">
        <v>39379</v>
      </c>
      <c r="F6727" s="8">
        <v>39379</v>
      </c>
      <c r="G6727" s="8">
        <v>39379</v>
      </c>
      <c r="Y6727" s="8"/>
    </row>
    <row r="6728" spans="1:25" x14ac:dyDescent="0.25">
      <c r="A6728" t="str">
        <f>"07-0824"</f>
        <v>07-0824</v>
      </c>
      <c r="D6728" s="8">
        <v>39379</v>
      </c>
      <c r="F6728" s="8">
        <v>39384</v>
      </c>
      <c r="G6728" s="8">
        <v>39379</v>
      </c>
      <c r="Y6728" s="8"/>
    </row>
    <row r="6729" spans="1:25" x14ac:dyDescent="0.25">
      <c r="A6729" t="str">
        <f>"07-0821"</f>
        <v>07-0821</v>
      </c>
      <c r="D6729" s="8">
        <v>39378</v>
      </c>
      <c r="F6729" s="8">
        <v>39379</v>
      </c>
      <c r="G6729" s="8">
        <v>39378</v>
      </c>
      <c r="Y6729" s="8"/>
    </row>
    <row r="6730" spans="1:25" x14ac:dyDescent="0.25">
      <c r="A6730" t="str">
        <f>"07-0822"</f>
        <v>07-0822</v>
      </c>
      <c r="D6730" s="8">
        <v>39378</v>
      </c>
      <c r="F6730" s="8">
        <v>39378</v>
      </c>
      <c r="G6730" s="8">
        <v>39378</v>
      </c>
      <c r="Y6730" s="8"/>
    </row>
    <row r="6731" spans="1:25" x14ac:dyDescent="0.25">
      <c r="A6731" t="str">
        <f>"07-0818"</f>
        <v>07-0818</v>
      </c>
      <c r="D6731" s="8">
        <v>39377</v>
      </c>
      <c r="F6731" s="8">
        <v>39379</v>
      </c>
      <c r="G6731" s="8">
        <v>39380</v>
      </c>
      <c r="Y6731" s="8"/>
    </row>
    <row r="6732" spans="1:25" x14ac:dyDescent="0.25">
      <c r="A6732" t="str">
        <f>"07-0819"</f>
        <v>07-0819</v>
      </c>
      <c r="D6732" s="8">
        <v>39377</v>
      </c>
      <c r="F6732" s="8">
        <v>39377</v>
      </c>
      <c r="G6732" s="8">
        <v>39377</v>
      </c>
      <c r="Y6732" s="8"/>
    </row>
    <row r="6733" spans="1:25" x14ac:dyDescent="0.25">
      <c r="A6733" t="str">
        <f>"07-0820"</f>
        <v>07-0820</v>
      </c>
      <c r="D6733" s="8">
        <v>39377</v>
      </c>
      <c r="F6733" s="8">
        <v>39377</v>
      </c>
      <c r="G6733" s="8">
        <v>39377</v>
      </c>
      <c r="Y6733" s="8"/>
    </row>
    <row r="6734" spans="1:25" x14ac:dyDescent="0.25">
      <c r="A6734" t="str">
        <f>"07-0804B"</f>
        <v>07-0804B</v>
      </c>
      <c r="D6734" s="8">
        <v>39374</v>
      </c>
      <c r="F6734" s="8">
        <v>39374</v>
      </c>
      <c r="G6734" s="8">
        <v>39374</v>
      </c>
      <c r="Y6734" s="8"/>
    </row>
    <row r="6735" spans="1:25" x14ac:dyDescent="0.25">
      <c r="A6735" t="str">
        <f>"07-0817"</f>
        <v>07-0817</v>
      </c>
      <c r="D6735" s="8">
        <v>39374</v>
      </c>
      <c r="F6735" s="8">
        <v>39377</v>
      </c>
      <c r="G6735" s="8">
        <v>39380</v>
      </c>
      <c r="Y6735" s="8"/>
    </row>
    <row r="6736" spans="1:25" x14ac:dyDescent="0.25">
      <c r="A6736" t="str">
        <f>"07-0814"</f>
        <v>07-0814</v>
      </c>
      <c r="D6736" s="8">
        <v>39373</v>
      </c>
      <c r="F6736" s="8">
        <v>39373</v>
      </c>
      <c r="G6736" s="8">
        <v>39382</v>
      </c>
      <c r="Y6736" s="8"/>
    </row>
    <row r="6737" spans="1:25" x14ac:dyDescent="0.25">
      <c r="A6737" t="str">
        <f>"07-0815"</f>
        <v>07-0815</v>
      </c>
      <c r="D6737" s="8">
        <v>39373</v>
      </c>
      <c r="F6737" s="8">
        <v>39373</v>
      </c>
      <c r="G6737" s="8">
        <v>39381</v>
      </c>
      <c r="Y6737" s="8"/>
    </row>
    <row r="6738" spans="1:25" x14ac:dyDescent="0.25">
      <c r="A6738" t="str">
        <f>"07-0816"</f>
        <v>07-0816</v>
      </c>
      <c r="D6738" s="8">
        <v>39373</v>
      </c>
      <c r="F6738" s="8">
        <v>39373</v>
      </c>
      <c r="G6738" s="8">
        <v>39373</v>
      </c>
      <c r="Y6738" s="8"/>
    </row>
    <row r="6739" spans="1:25" x14ac:dyDescent="0.25">
      <c r="A6739" t="str">
        <f>"07-0812"</f>
        <v>07-0812</v>
      </c>
      <c r="D6739" s="8">
        <v>39372</v>
      </c>
      <c r="F6739" s="8">
        <v>39372</v>
      </c>
      <c r="G6739" s="8">
        <v>39372</v>
      </c>
      <c r="Y6739" s="8"/>
    </row>
    <row r="6740" spans="1:25" x14ac:dyDescent="0.25">
      <c r="A6740" t="str">
        <f>"07-0813"</f>
        <v>07-0813</v>
      </c>
      <c r="D6740" s="8">
        <v>39372</v>
      </c>
      <c r="F6740" s="8">
        <v>39372</v>
      </c>
      <c r="G6740" s="8">
        <v>39372</v>
      </c>
      <c r="Y6740" s="8"/>
    </row>
    <row r="6741" spans="1:25" x14ac:dyDescent="0.25">
      <c r="A6741" t="str">
        <f>"07-0805"</f>
        <v>07-0805</v>
      </c>
      <c r="D6741" s="8">
        <v>39371</v>
      </c>
      <c r="F6741" s="8">
        <v>39373</v>
      </c>
      <c r="G6741" s="8">
        <v>39371</v>
      </c>
      <c r="Y6741" s="8"/>
    </row>
    <row r="6742" spans="1:25" x14ac:dyDescent="0.25">
      <c r="A6742" t="str">
        <f>"07-0806"</f>
        <v>07-0806</v>
      </c>
      <c r="D6742" s="8">
        <v>39371</v>
      </c>
      <c r="F6742" s="8">
        <v>39371</v>
      </c>
      <c r="G6742" s="8">
        <v>39371</v>
      </c>
      <c r="Y6742" s="8"/>
    </row>
    <row r="6743" spans="1:25" x14ac:dyDescent="0.25">
      <c r="A6743" t="str">
        <f>"07-0807"</f>
        <v>07-0807</v>
      </c>
      <c r="D6743" s="8">
        <v>39371</v>
      </c>
      <c r="F6743" s="8">
        <v>39371</v>
      </c>
      <c r="G6743" s="8">
        <v>39371</v>
      </c>
      <c r="Y6743" s="8"/>
    </row>
    <row r="6744" spans="1:25" x14ac:dyDescent="0.25">
      <c r="A6744" t="str">
        <f>"07-0808"</f>
        <v>07-0808</v>
      </c>
      <c r="D6744" s="8">
        <v>39371</v>
      </c>
      <c r="F6744" s="8">
        <v>39371</v>
      </c>
      <c r="G6744" s="8">
        <v>39370</v>
      </c>
      <c r="Y6744" s="8"/>
    </row>
    <row r="6745" spans="1:25" x14ac:dyDescent="0.25">
      <c r="A6745" t="str">
        <f>"07-0809"</f>
        <v>07-0809</v>
      </c>
      <c r="D6745" s="8">
        <v>39371</v>
      </c>
      <c r="F6745" s="8">
        <v>39371</v>
      </c>
      <c r="G6745" s="8">
        <v>39371</v>
      </c>
      <c r="Y6745" s="8"/>
    </row>
    <row r="6746" spans="1:25" x14ac:dyDescent="0.25">
      <c r="A6746" t="str">
        <f>"07-0810"</f>
        <v>07-0810</v>
      </c>
      <c r="D6746" s="8">
        <v>39371</v>
      </c>
      <c r="F6746" s="8">
        <v>39371</v>
      </c>
      <c r="G6746" s="8">
        <v>39371</v>
      </c>
      <c r="Y6746" s="8"/>
    </row>
    <row r="6747" spans="1:25" x14ac:dyDescent="0.25">
      <c r="A6747" t="str">
        <f>"07-0811"</f>
        <v>07-0811</v>
      </c>
      <c r="D6747" s="8">
        <v>39371</v>
      </c>
      <c r="F6747" s="8">
        <v>39371</v>
      </c>
      <c r="G6747" s="8">
        <v>39371</v>
      </c>
      <c r="Y6747" s="8"/>
    </row>
    <row r="6748" spans="1:25" x14ac:dyDescent="0.25">
      <c r="A6748" t="str">
        <f>"07-0801"</f>
        <v>07-0801</v>
      </c>
      <c r="D6748" s="8">
        <v>39370</v>
      </c>
      <c r="F6748" s="8">
        <v>39370</v>
      </c>
      <c r="G6748" s="8">
        <v>39372</v>
      </c>
      <c r="Y6748" s="8"/>
    </row>
    <row r="6749" spans="1:25" x14ac:dyDescent="0.25">
      <c r="A6749" t="str">
        <f>"07-0802"</f>
        <v>07-0802</v>
      </c>
      <c r="D6749" s="8">
        <v>39370</v>
      </c>
      <c r="F6749" s="8">
        <v>39370</v>
      </c>
      <c r="G6749" s="8">
        <v>39370</v>
      </c>
      <c r="Y6749" s="8"/>
    </row>
    <row r="6750" spans="1:25" x14ac:dyDescent="0.25">
      <c r="A6750" t="str">
        <f>"07-0803"</f>
        <v>07-0803</v>
      </c>
      <c r="D6750" s="8">
        <v>39370</v>
      </c>
      <c r="F6750" s="8">
        <v>39374</v>
      </c>
      <c r="G6750" s="8">
        <v>39370</v>
      </c>
      <c r="Y6750" s="8"/>
    </row>
    <row r="6751" spans="1:25" x14ac:dyDescent="0.25">
      <c r="A6751" t="str">
        <f>"07-0804"</f>
        <v>07-0804</v>
      </c>
      <c r="D6751" s="8">
        <v>39370</v>
      </c>
      <c r="F6751" s="8">
        <v>39370</v>
      </c>
      <c r="G6751" s="8">
        <v>39370</v>
      </c>
      <c r="Y6751" s="8"/>
    </row>
    <row r="6752" spans="1:25" x14ac:dyDescent="0.25">
      <c r="A6752" t="str">
        <f>"07-0799"</f>
        <v>07-0799</v>
      </c>
      <c r="D6752" s="8">
        <v>39367</v>
      </c>
      <c r="F6752" s="8">
        <v>39367</v>
      </c>
      <c r="G6752" s="8">
        <v>39367</v>
      </c>
      <c r="Y6752" s="8"/>
    </row>
    <row r="6753" spans="1:25" x14ac:dyDescent="0.25">
      <c r="A6753" t="str">
        <f>"07-0789"</f>
        <v>07-0789</v>
      </c>
      <c r="D6753" s="8">
        <v>39366</v>
      </c>
      <c r="F6753" s="8">
        <v>39366</v>
      </c>
      <c r="G6753" s="8">
        <v>39370</v>
      </c>
      <c r="Y6753" s="8"/>
    </row>
    <row r="6754" spans="1:25" x14ac:dyDescent="0.25">
      <c r="A6754" t="str">
        <f>"07-0790"</f>
        <v>07-0790</v>
      </c>
      <c r="D6754" s="8">
        <v>39366</v>
      </c>
      <c r="G6754" s="8">
        <v>39370</v>
      </c>
      <c r="Y6754" s="8"/>
    </row>
    <row r="6755" spans="1:25" x14ac:dyDescent="0.25">
      <c r="A6755" t="str">
        <f>"07-0791"</f>
        <v>07-0791</v>
      </c>
      <c r="D6755" s="8">
        <v>39366</v>
      </c>
      <c r="G6755" s="8">
        <v>39366</v>
      </c>
      <c r="Y6755" s="8"/>
    </row>
    <row r="6756" spans="1:25" x14ac:dyDescent="0.25">
      <c r="A6756" t="str">
        <f>"07-0792"</f>
        <v>07-0792</v>
      </c>
      <c r="D6756" s="8">
        <v>39366</v>
      </c>
      <c r="G6756" s="8">
        <v>39370</v>
      </c>
      <c r="Y6756" s="8"/>
    </row>
    <row r="6757" spans="1:25" x14ac:dyDescent="0.25">
      <c r="A6757" t="str">
        <f>"07-0793"</f>
        <v>07-0793</v>
      </c>
      <c r="D6757" s="8">
        <v>39366</v>
      </c>
      <c r="F6757" s="8">
        <v>39426</v>
      </c>
      <c r="G6757" s="8">
        <v>39366</v>
      </c>
      <c r="Y6757" s="8"/>
    </row>
    <row r="6758" spans="1:25" x14ac:dyDescent="0.25">
      <c r="A6758" t="str">
        <f>"07-0794"</f>
        <v>07-0794</v>
      </c>
      <c r="D6758" s="8">
        <v>39366</v>
      </c>
      <c r="F6758" s="8">
        <v>39366</v>
      </c>
      <c r="G6758" s="8">
        <v>39366</v>
      </c>
      <c r="Y6758" s="8"/>
    </row>
    <row r="6759" spans="1:25" x14ac:dyDescent="0.25">
      <c r="A6759" t="str">
        <f>"07-0795"</f>
        <v>07-0795</v>
      </c>
      <c r="D6759" s="8">
        <v>39366</v>
      </c>
      <c r="F6759" s="8">
        <v>39370</v>
      </c>
      <c r="G6759" s="8">
        <v>39370</v>
      </c>
      <c r="Y6759" s="8"/>
    </row>
    <row r="6760" spans="1:25" x14ac:dyDescent="0.25">
      <c r="A6760" t="str">
        <f>"07-0796"</f>
        <v>07-0796</v>
      </c>
      <c r="D6760" s="8">
        <v>39366</v>
      </c>
      <c r="F6760" s="8">
        <v>39366</v>
      </c>
      <c r="G6760" s="8">
        <v>39367</v>
      </c>
      <c r="Y6760" s="8"/>
    </row>
    <row r="6761" spans="1:25" x14ac:dyDescent="0.25">
      <c r="A6761" t="str">
        <f>"07-0797"</f>
        <v>07-0797</v>
      </c>
      <c r="D6761" s="8">
        <v>39366</v>
      </c>
      <c r="F6761" s="8">
        <v>39366</v>
      </c>
      <c r="G6761" s="8">
        <v>39367</v>
      </c>
      <c r="Y6761" s="8"/>
    </row>
    <row r="6762" spans="1:25" x14ac:dyDescent="0.25">
      <c r="A6762" t="str">
        <f>"07-0798"</f>
        <v>07-0798</v>
      </c>
      <c r="D6762" s="8">
        <v>39366</v>
      </c>
      <c r="F6762" s="8">
        <v>39373</v>
      </c>
      <c r="G6762" s="8">
        <v>39367</v>
      </c>
      <c r="Y6762" s="8"/>
    </row>
    <row r="6763" spans="1:25" x14ac:dyDescent="0.25">
      <c r="A6763" t="str">
        <f>"07-0785"</f>
        <v>07-0785</v>
      </c>
      <c r="D6763" s="8">
        <v>39365</v>
      </c>
      <c r="F6763" s="8">
        <v>39365</v>
      </c>
      <c r="G6763" s="8">
        <v>39365</v>
      </c>
      <c r="Y6763" s="8"/>
    </row>
    <row r="6764" spans="1:25" x14ac:dyDescent="0.25">
      <c r="A6764" t="str">
        <f>"07-0786"</f>
        <v>07-0786</v>
      </c>
      <c r="D6764" s="8">
        <v>39365</v>
      </c>
      <c r="F6764" s="8">
        <v>39365</v>
      </c>
      <c r="G6764" s="8">
        <v>39365</v>
      </c>
      <c r="Y6764" s="8"/>
    </row>
    <row r="6765" spans="1:25" x14ac:dyDescent="0.25">
      <c r="A6765" t="str">
        <f>"07-0787"</f>
        <v>07-0787</v>
      </c>
      <c r="D6765" s="8">
        <v>39365</v>
      </c>
      <c r="F6765" s="8">
        <v>39365</v>
      </c>
      <c r="G6765" s="8">
        <v>39365</v>
      </c>
      <c r="Y6765" s="8"/>
    </row>
    <row r="6766" spans="1:25" x14ac:dyDescent="0.25">
      <c r="A6766" t="str">
        <f>"07-0788"</f>
        <v>07-0788</v>
      </c>
      <c r="D6766" s="8">
        <v>39365</v>
      </c>
      <c r="F6766" s="8">
        <v>41774</v>
      </c>
      <c r="G6766" s="8">
        <v>39367</v>
      </c>
      <c r="Y6766" s="8"/>
    </row>
    <row r="6767" spans="1:25" x14ac:dyDescent="0.25">
      <c r="A6767" t="str">
        <f>"07-0755B"</f>
        <v>07-0755B</v>
      </c>
      <c r="D6767" s="8">
        <v>39364</v>
      </c>
      <c r="F6767" s="8">
        <v>39365</v>
      </c>
      <c r="G6767" s="8">
        <v>39366</v>
      </c>
      <c r="Y6767" s="8"/>
    </row>
    <row r="6768" spans="1:25" x14ac:dyDescent="0.25">
      <c r="A6768" t="str">
        <f>"07-0783"</f>
        <v>07-0783</v>
      </c>
      <c r="D6768" s="8">
        <v>39364</v>
      </c>
      <c r="F6768" s="8">
        <v>39364</v>
      </c>
      <c r="G6768" s="8">
        <v>39364</v>
      </c>
      <c r="Y6768" s="8"/>
    </row>
    <row r="6769" spans="1:25" x14ac:dyDescent="0.25">
      <c r="A6769" t="str">
        <f>"07-0784"</f>
        <v>07-0784</v>
      </c>
      <c r="D6769" s="8">
        <v>39364</v>
      </c>
      <c r="F6769" s="8">
        <v>39364</v>
      </c>
      <c r="G6769" s="8">
        <v>39364</v>
      </c>
      <c r="Y6769" s="8"/>
    </row>
    <row r="6770" spans="1:25" x14ac:dyDescent="0.25">
      <c r="A6770" t="str">
        <f>"07-0780"</f>
        <v>07-0780</v>
      </c>
      <c r="D6770" s="8">
        <v>39363</v>
      </c>
      <c r="F6770" s="8">
        <v>39363</v>
      </c>
      <c r="G6770" s="8">
        <v>39363</v>
      </c>
      <c r="Y6770" s="8"/>
    </row>
    <row r="6771" spans="1:25" x14ac:dyDescent="0.25">
      <c r="A6771" t="str">
        <f>"07-0781"</f>
        <v>07-0781</v>
      </c>
      <c r="D6771" s="8">
        <v>39363</v>
      </c>
      <c r="F6771" s="8">
        <v>39363</v>
      </c>
      <c r="G6771" s="8">
        <v>39367</v>
      </c>
      <c r="Y6771" s="8"/>
    </row>
    <row r="6772" spans="1:25" x14ac:dyDescent="0.25">
      <c r="A6772" t="str">
        <f>"07-0782"</f>
        <v>07-0782</v>
      </c>
      <c r="D6772" s="8">
        <v>39363</v>
      </c>
      <c r="F6772" s="8">
        <v>39363</v>
      </c>
      <c r="G6772" s="8">
        <v>39363</v>
      </c>
      <c r="Y6772" s="8"/>
    </row>
    <row r="6773" spans="1:25" x14ac:dyDescent="0.25">
      <c r="A6773" t="str">
        <f>"07-0604"</f>
        <v>07-0604</v>
      </c>
      <c r="D6773" s="8">
        <v>39360</v>
      </c>
      <c r="F6773" s="8">
        <v>39360</v>
      </c>
      <c r="G6773" s="8">
        <v>39360</v>
      </c>
      <c r="Y6773" s="8"/>
    </row>
    <row r="6774" spans="1:25" x14ac:dyDescent="0.25">
      <c r="A6774" t="str">
        <f>"07-0778"</f>
        <v>07-0778</v>
      </c>
      <c r="D6774" s="8">
        <v>39360</v>
      </c>
      <c r="F6774" s="8">
        <v>40043</v>
      </c>
      <c r="G6774" s="8">
        <v>39360</v>
      </c>
      <c r="Y6774" s="8"/>
    </row>
    <row r="6775" spans="1:25" x14ac:dyDescent="0.25">
      <c r="A6775" t="str">
        <f>"07-0779"</f>
        <v>07-0779</v>
      </c>
      <c r="D6775" s="8">
        <v>39360</v>
      </c>
      <c r="F6775" s="8">
        <v>39394</v>
      </c>
      <c r="G6775" s="8">
        <v>39363</v>
      </c>
      <c r="Y6775" s="8"/>
    </row>
    <row r="6776" spans="1:25" x14ac:dyDescent="0.25">
      <c r="A6776" t="str">
        <f>"07-0776"</f>
        <v>07-0776</v>
      </c>
      <c r="D6776" s="8">
        <v>39359</v>
      </c>
      <c r="F6776" s="8">
        <v>39359</v>
      </c>
      <c r="G6776" s="8">
        <v>39359</v>
      </c>
      <c r="Y6776" s="8"/>
    </row>
    <row r="6777" spans="1:25" x14ac:dyDescent="0.25">
      <c r="A6777" t="str">
        <f>"07-0777"</f>
        <v>07-0777</v>
      </c>
      <c r="D6777" s="8">
        <v>39359</v>
      </c>
      <c r="F6777" s="8">
        <v>39359</v>
      </c>
      <c r="G6777" s="8">
        <v>39360</v>
      </c>
      <c r="Y6777" s="8"/>
    </row>
    <row r="6778" spans="1:25" x14ac:dyDescent="0.25">
      <c r="A6778" t="str">
        <f>"07-0771"</f>
        <v>07-0771</v>
      </c>
      <c r="D6778" s="8">
        <v>39358</v>
      </c>
      <c r="F6778" s="8">
        <v>39358</v>
      </c>
      <c r="G6778" s="8">
        <v>39358</v>
      </c>
      <c r="Y6778" s="8"/>
    </row>
    <row r="6779" spans="1:25" x14ac:dyDescent="0.25">
      <c r="A6779" t="str">
        <f>"07-0772"</f>
        <v>07-0772</v>
      </c>
      <c r="D6779" s="8">
        <v>39358</v>
      </c>
      <c r="F6779" s="8">
        <v>39358</v>
      </c>
      <c r="G6779" s="8">
        <v>39358</v>
      </c>
      <c r="Y6779" s="8"/>
    </row>
    <row r="6780" spans="1:25" x14ac:dyDescent="0.25">
      <c r="A6780" t="str">
        <f>"07-0773"</f>
        <v>07-0773</v>
      </c>
      <c r="D6780" s="8">
        <v>39358</v>
      </c>
      <c r="F6780" s="8">
        <v>39359</v>
      </c>
      <c r="G6780" s="8">
        <v>39363</v>
      </c>
      <c r="Y6780" s="8"/>
    </row>
    <row r="6781" spans="1:25" x14ac:dyDescent="0.25">
      <c r="A6781" t="str">
        <f>"07-0774"</f>
        <v>07-0774</v>
      </c>
      <c r="D6781" s="8">
        <v>39358</v>
      </c>
      <c r="F6781" s="8">
        <v>39358</v>
      </c>
      <c r="G6781" s="8">
        <v>39358</v>
      </c>
      <c r="Y6781" s="8"/>
    </row>
    <row r="6782" spans="1:25" x14ac:dyDescent="0.25">
      <c r="A6782" t="str">
        <f>"07-0775"</f>
        <v>07-0775</v>
      </c>
      <c r="D6782" s="8">
        <v>39358</v>
      </c>
      <c r="F6782" s="8">
        <v>39358</v>
      </c>
      <c r="G6782" s="8">
        <v>39358</v>
      </c>
      <c r="Y6782" s="8"/>
    </row>
    <row r="6783" spans="1:25" x14ac:dyDescent="0.25">
      <c r="A6783" t="str">
        <f>"07-0625A"</f>
        <v>07-0625A</v>
      </c>
      <c r="D6783" s="8">
        <v>39357</v>
      </c>
      <c r="F6783" s="8">
        <v>39357</v>
      </c>
      <c r="G6783" s="8">
        <v>39358</v>
      </c>
      <c r="Y6783" s="8"/>
    </row>
    <row r="6784" spans="1:25" x14ac:dyDescent="0.25">
      <c r="A6784" t="str">
        <f>"07-0770"</f>
        <v>07-0770</v>
      </c>
      <c r="D6784" s="8">
        <v>39357</v>
      </c>
      <c r="F6784" s="8">
        <v>39357</v>
      </c>
      <c r="G6784" s="8">
        <v>39358</v>
      </c>
      <c r="Y6784" s="8"/>
    </row>
    <row r="6785" spans="1:25" x14ac:dyDescent="0.25">
      <c r="A6785" t="str">
        <f>"07-0763"</f>
        <v>07-0763</v>
      </c>
      <c r="D6785" s="8">
        <v>39356</v>
      </c>
      <c r="F6785" s="8">
        <v>39356</v>
      </c>
      <c r="G6785" s="8">
        <v>39356</v>
      </c>
      <c r="Y6785" s="8"/>
    </row>
    <row r="6786" spans="1:25" x14ac:dyDescent="0.25">
      <c r="A6786" t="str">
        <f>"07-0764"</f>
        <v>07-0764</v>
      </c>
      <c r="D6786" s="8">
        <v>39356</v>
      </c>
      <c r="F6786" s="8">
        <v>39356</v>
      </c>
      <c r="G6786" s="8">
        <v>39357</v>
      </c>
      <c r="Y6786" s="8"/>
    </row>
    <row r="6787" spans="1:25" x14ac:dyDescent="0.25">
      <c r="A6787" t="str">
        <f>"07-0765"</f>
        <v>07-0765</v>
      </c>
      <c r="D6787" s="8">
        <v>39356</v>
      </c>
      <c r="F6787" s="8">
        <v>39356</v>
      </c>
      <c r="G6787" s="8">
        <v>39360</v>
      </c>
      <c r="Y6787" s="8"/>
    </row>
    <row r="6788" spans="1:25" x14ac:dyDescent="0.25">
      <c r="A6788" t="str">
        <f>"07-0766"</f>
        <v>07-0766</v>
      </c>
      <c r="D6788" s="8">
        <v>39356</v>
      </c>
      <c r="F6788" s="8">
        <v>39356</v>
      </c>
      <c r="G6788" s="8">
        <v>39360</v>
      </c>
      <c r="Y6788" s="8"/>
    </row>
    <row r="6789" spans="1:25" x14ac:dyDescent="0.25">
      <c r="A6789" t="str">
        <f>"07-0767"</f>
        <v>07-0767</v>
      </c>
      <c r="D6789" s="8">
        <v>39356</v>
      </c>
      <c r="F6789" s="8">
        <v>39373</v>
      </c>
      <c r="G6789" s="8">
        <v>39363</v>
      </c>
      <c r="Y6789" s="8"/>
    </row>
    <row r="6790" spans="1:25" x14ac:dyDescent="0.25">
      <c r="A6790" t="str">
        <f>"07-0768"</f>
        <v>07-0768</v>
      </c>
      <c r="D6790" s="8">
        <v>39356</v>
      </c>
      <c r="F6790" s="8">
        <v>39610</v>
      </c>
      <c r="G6790" s="8">
        <v>39363</v>
      </c>
      <c r="Y6790" s="8"/>
    </row>
    <row r="6791" spans="1:25" x14ac:dyDescent="0.25">
      <c r="A6791" t="str">
        <f>"07-0769"</f>
        <v>07-0769</v>
      </c>
      <c r="D6791" s="8">
        <v>39356</v>
      </c>
      <c r="F6791" s="8">
        <v>39610</v>
      </c>
      <c r="G6791" s="8">
        <v>39363</v>
      </c>
      <c r="Y6791" s="8"/>
    </row>
    <row r="6792" spans="1:25" x14ac:dyDescent="0.25">
      <c r="A6792" t="str">
        <f>"07-0668C"</f>
        <v>07-0668C</v>
      </c>
      <c r="D6792" s="8">
        <v>39353</v>
      </c>
      <c r="F6792" s="8">
        <v>39353</v>
      </c>
      <c r="G6792" s="8">
        <v>39353</v>
      </c>
      <c r="Y6792" s="8"/>
    </row>
    <row r="6793" spans="1:25" x14ac:dyDescent="0.25">
      <c r="A6793" t="str">
        <f>"07-0762"</f>
        <v>07-0762</v>
      </c>
      <c r="D6793" s="8">
        <v>39353</v>
      </c>
      <c r="F6793" s="8">
        <v>39353</v>
      </c>
      <c r="G6793" s="8">
        <v>39353</v>
      </c>
      <c r="Y6793" s="8"/>
    </row>
    <row r="6794" spans="1:25" x14ac:dyDescent="0.25">
      <c r="A6794" t="str">
        <f>"07-0699"</f>
        <v>07-0699</v>
      </c>
      <c r="D6794" s="8">
        <v>39352</v>
      </c>
      <c r="F6794" s="8">
        <v>39352</v>
      </c>
      <c r="G6794" s="8">
        <v>39352</v>
      </c>
      <c r="Y6794" s="8"/>
    </row>
    <row r="6795" spans="1:25" x14ac:dyDescent="0.25">
      <c r="A6795" t="str">
        <f>"07-0758"</f>
        <v>07-0758</v>
      </c>
      <c r="D6795" s="8">
        <v>39352</v>
      </c>
      <c r="F6795" s="8">
        <v>39352</v>
      </c>
      <c r="G6795" s="8">
        <v>39352</v>
      </c>
      <c r="Y6795" s="8"/>
    </row>
    <row r="6796" spans="1:25" x14ac:dyDescent="0.25">
      <c r="A6796" t="str">
        <f>"07-0759"</f>
        <v>07-0759</v>
      </c>
      <c r="D6796" s="8">
        <v>39352</v>
      </c>
      <c r="F6796" s="8">
        <v>39352</v>
      </c>
      <c r="G6796" s="8">
        <v>39360</v>
      </c>
      <c r="Y6796" s="8"/>
    </row>
    <row r="6797" spans="1:25" x14ac:dyDescent="0.25">
      <c r="A6797" t="str">
        <f>"07-0760"</f>
        <v>07-0760</v>
      </c>
      <c r="D6797" s="8">
        <v>39352</v>
      </c>
      <c r="F6797" s="8">
        <v>39352</v>
      </c>
      <c r="G6797" s="8">
        <v>39352</v>
      </c>
      <c r="Y6797" s="8"/>
    </row>
    <row r="6798" spans="1:25" x14ac:dyDescent="0.25">
      <c r="A6798" t="str">
        <f>"07-0761"</f>
        <v>07-0761</v>
      </c>
      <c r="D6798" s="8">
        <v>39352</v>
      </c>
      <c r="F6798" s="8">
        <v>39352</v>
      </c>
      <c r="G6798" s="8">
        <v>39352</v>
      </c>
      <c r="Y6798" s="8"/>
    </row>
    <row r="6799" spans="1:25" x14ac:dyDescent="0.25">
      <c r="A6799" t="str">
        <f>"07-0755"</f>
        <v>07-0755</v>
      </c>
      <c r="D6799" s="8">
        <v>39351</v>
      </c>
      <c r="F6799" s="8">
        <v>39356</v>
      </c>
      <c r="G6799" s="8">
        <v>39353</v>
      </c>
      <c r="Y6799" s="8"/>
    </row>
    <row r="6800" spans="1:25" x14ac:dyDescent="0.25">
      <c r="A6800" t="str">
        <f>"07-0756"</f>
        <v>07-0756</v>
      </c>
      <c r="D6800" s="8">
        <v>39351</v>
      </c>
      <c r="F6800" s="8">
        <v>39356</v>
      </c>
      <c r="G6800" s="8">
        <v>39353</v>
      </c>
      <c r="Y6800" s="8"/>
    </row>
    <row r="6801" spans="1:25" x14ac:dyDescent="0.25">
      <c r="A6801" t="str">
        <f>"07-0757"</f>
        <v>07-0757</v>
      </c>
      <c r="D6801" s="8">
        <v>39351</v>
      </c>
      <c r="G6801" s="8">
        <v>39364</v>
      </c>
    </row>
    <row r="6802" spans="1:25" x14ac:dyDescent="0.25">
      <c r="A6802" t="str">
        <f>"07-0752"</f>
        <v>07-0752</v>
      </c>
      <c r="D6802" s="8">
        <v>39350</v>
      </c>
      <c r="F6802" s="8">
        <v>39351</v>
      </c>
      <c r="G6802" s="8">
        <v>39346</v>
      </c>
      <c r="Y6802" s="8"/>
    </row>
    <row r="6803" spans="1:25" x14ac:dyDescent="0.25">
      <c r="A6803" t="str">
        <f>"07-0753"</f>
        <v>07-0753</v>
      </c>
      <c r="D6803" s="8">
        <v>39350</v>
      </c>
      <c r="F6803" s="8">
        <v>39352</v>
      </c>
      <c r="G6803" s="8">
        <v>39351</v>
      </c>
      <c r="Y6803" s="8"/>
    </row>
    <row r="6804" spans="1:25" x14ac:dyDescent="0.25">
      <c r="A6804" t="str">
        <f>"07-0754"</f>
        <v>07-0754</v>
      </c>
      <c r="D6804" s="8">
        <v>39350</v>
      </c>
      <c r="F6804" s="8">
        <v>39350</v>
      </c>
      <c r="G6804" s="8">
        <v>39350</v>
      </c>
      <c r="Y6804" s="8"/>
    </row>
    <row r="6805" spans="1:25" x14ac:dyDescent="0.25">
      <c r="A6805" t="str">
        <f>"07-0750"</f>
        <v>07-0750</v>
      </c>
      <c r="D6805" s="8">
        <v>39349</v>
      </c>
      <c r="F6805" s="8">
        <v>39349</v>
      </c>
      <c r="G6805" s="8">
        <v>39349</v>
      </c>
      <c r="Y6805" s="8"/>
    </row>
    <row r="6806" spans="1:25" x14ac:dyDescent="0.25">
      <c r="A6806" t="str">
        <f>"07-0751"</f>
        <v>07-0751</v>
      </c>
      <c r="D6806" s="8">
        <v>39349</v>
      </c>
      <c r="F6806" s="8">
        <v>39349</v>
      </c>
      <c r="G6806" s="8">
        <v>39349</v>
      </c>
      <c r="Y6806" s="8"/>
    </row>
    <row r="6807" spans="1:25" x14ac:dyDescent="0.25">
      <c r="A6807" t="str">
        <f>"07-0675"</f>
        <v>07-0675</v>
      </c>
      <c r="D6807" s="8">
        <v>39346</v>
      </c>
      <c r="F6807" s="8">
        <v>39349</v>
      </c>
      <c r="G6807" s="8">
        <v>39332</v>
      </c>
      <c r="Y6807" s="8"/>
    </row>
    <row r="6808" spans="1:25" x14ac:dyDescent="0.25">
      <c r="A6808" t="str">
        <f>"07-0739"</f>
        <v>07-0739</v>
      </c>
      <c r="D6808" s="8">
        <v>39346</v>
      </c>
      <c r="F6808" s="8">
        <v>39945</v>
      </c>
      <c r="G6808" s="8">
        <v>39346</v>
      </c>
      <c r="Y6808" s="8"/>
    </row>
    <row r="6809" spans="1:25" x14ac:dyDescent="0.25">
      <c r="A6809" t="str">
        <f>"07-0740"</f>
        <v>07-0740</v>
      </c>
      <c r="D6809" s="8">
        <v>39346</v>
      </c>
      <c r="F6809" s="8">
        <v>39346</v>
      </c>
      <c r="G6809" s="8">
        <v>39346</v>
      </c>
      <c r="Y6809" s="8"/>
    </row>
    <row r="6810" spans="1:25" x14ac:dyDescent="0.25">
      <c r="A6810" t="str">
        <f>"07-0741"</f>
        <v>07-0741</v>
      </c>
      <c r="D6810" s="8">
        <v>39346</v>
      </c>
      <c r="F6810" s="8">
        <v>39346</v>
      </c>
      <c r="G6810" s="8">
        <v>39346</v>
      </c>
      <c r="Y6810" s="8"/>
    </row>
    <row r="6811" spans="1:25" x14ac:dyDescent="0.25">
      <c r="A6811" t="str">
        <f>"07-0742"</f>
        <v>07-0742</v>
      </c>
      <c r="D6811" s="8">
        <v>39346</v>
      </c>
      <c r="F6811" s="8">
        <v>39346</v>
      </c>
      <c r="G6811" s="8">
        <v>39346</v>
      </c>
      <c r="Y6811" s="8"/>
    </row>
    <row r="6812" spans="1:25" x14ac:dyDescent="0.25">
      <c r="A6812" t="str">
        <f>"07-0743"</f>
        <v>07-0743</v>
      </c>
      <c r="D6812" s="8">
        <v>39346</v>
      </c>
      <c r="F6812" s="8">
        <v>39351</v>
      </c>
      <c r="G6812" s="8">
        <v>39351</v>
      </c>
      <c r="Y6812" s="8"/>
    </row>
    <row r="6813" spans="1:25" x14ac:dyDescent="0.25">
      <c r="A6813" t="str">
        <f>"07-0744"</f>
        <v>07-0744</v>
      </c>
      <c r="D6813" s="8">
        <v>39346</v>
      </c>
      <c r="F6813" s="8">
        <v>39346</v>
      </c>
      <c r="G6813" s="8">
        <v>39346</v>
      </c>
      <c r="Y6813" s="8"/>
    </row>
    <row r="6814" spans="1:25" x14ac:dyDescent="0.25">
      <c r="A6814" t="str">
        <f>"07-0745"</f>
        <v>07-0745</v>
      </c>
      <c r="D6814" s="8">
        <v>39346</v>
      </c>
      <c r="F6814" s="8">
        <v>39346</v>
      </c>
      <c r="G6814" s="8">
        <v>39346</v>
      </c>
      <c r="Y6814" s="8"/>
    </row>
    <row r="6815" spans="1:25" x14ac:dyDescent="0.25">
      <c r="A6815" t="str">
        <f>"07-0746"</f>
        <v>07-0746</v>
      </c>
      <c r="D6815" s="8">
        <v>39346</v>
      </c>
      <c r="F6815" s="8">
        <v>39346</v>
      </c>
      <c r="G6815" s="8">
        <v>39346</v>
      </c>
      <c r="Y6815" s="8"/>
    </row>
    <row r="6816" spans="1:25" x14ac:dyDescent="0.25">
      <c r="A6816" t="str">
        <f>"07-0747"</f>
        <v>07-0747</v>
      </c>
      <c r="D6816" s="8">
        <v>39346</v>
      </c>
      <c r="F6816" s="8">
        <v>39349</v>
      </c>
      <c r="G6816" s="8">
        <v>39351</v>
      </c>
      <c r="Y6816" s="8"/>
    </row>
    <row r="6817" spans="1:25" x14ac:dyDescent="0.25">
      <c r="A6817" t="str">
        <f>"07-0748"</f>
        <v>07-0748</v>
      </c>
      <c r="D6817" s="8">
        <v>39346</v>
      </c>
      <c r="F6817" s="8">
        <v>39349</v>
      </c>
      <c r="G6817" s="8">
        <v>39351</v>
      </c>
      <c r="Y6817" s="8"/>
    </row>
    <row r="6818" spans="1:25" x14ac:dyDescent="0.25">
      <c r="A6818" t="str">
        <f>"07-0749"</f>
        <v>07-0749</v>
      </c>
      <c r="D6818" s="8">
        <v>39346</v>
      </c>
      <c r="F6818" s="8">
        <v>39349</v>
      </c>
      <c r="G6818" s="8">
        <v>39351</v>
      </c>
      <c r="Y6818" s="8"/>
    </row>
    <row r="6819" spans="1:25" x14ac:dyDescent="0.25">
      <c r="A6819" t="str">
        <f>"07-0716B"</f>
        <v>07-0716B</v>
      </c>
      <c r="D6819" s="8">
        <v>39345</v>
      </c>
      <c r="F6819" s="8">
        <v>39731</v>
      </c>
      <c r="G6819" s="8">
        <v>39345</v>
      </c>
      <c r="Y6819" s="8"/>
    </row>
    <row r="6820" spans="1:25" x14ac:dyDescent="0.25">
      <c r="A6820" t="str">
        <f>"07-0732"</f>
        <v>07-0732</v>
      </c>
      <c r="D6820" s="8">
        <v>39345</v>
      </c>
      <c r="F6820" s="8">
        <v>39345</v>
      </c>
      <c r="G6820" s="8">
        <v>39345</v>
      </c>
      <c r="Y6820" s="8"/>
    </row>
    <row r="6821" spans="1:25" x14ac:dyDescent="0.25">
      <c r="A6821" t="str">
        <f>"07-0733"</f>
        <v>07-0733</v>
      </c>
      <c r="D6821" s="8">
        <v>39345</v>
      </c>
      <c r="F6821" s="8">
        <v>39345</v>
      </c>
      <c r="G6821" s="8">
        <v>39346</v>
      </c>
      <c r="Y6821" s="8"/>
    </row>
    <row r="6822" spans="1:25" x14ac:dyDescent="0.25">
      <c r="A6822" t="str">
        <f>"07-0734"</f>
        <v>07-0734</v>
      </c>
      <c r="D6822" s="8">
        <v>39345</v>
      </c>
      <c r="F6822" s="8">
        <v>39345</v>
      </c>
      <c r="G6822" s="8">
        <v>39345</v>
      </c>
      <c r="Y6822" s="8"/>
    </row>
    <row r="6823" spans="1:25" x14ac:dyDescent="0.25">
      <c r="A6823" t="str">
        <f>"07-0735"</f>
        <v>07-0735</v>
      </c>
      <c r="D6823" s="8">
        <v>39345</v>
      </c>
      <c r="F6823" s="8">
        <v>39345</v>
      </c>
      <c r="G6823" s="8">
        <v>39345</v>
      </c>
      <c r="Y6823" s="8"/>
    </row>
    <row r="6824" spans="1:25" x14ac:dyDescent="0.25">
      <c r="A6824" t="str">
        <f>"07-0736"</f>
        <v>07-0736</v>
      </c>
      <c r="D6824" s="8">
        <v>39345</v>
      </c>
      <c r="F6824" s="8">
        <v>39345</v>
      </c>
      <c r="G6824" s="8">
        <v>39345</v>
      </c>
      <c r="Y6824" s="8"/>
    </row>
    <row r="6825" spans="1:25" x14ac:dyDescent="0.25">
      <c r="A6825" t="str">
        <f>"07-0737"</f>
        <v>07-0737</v>
      </c>
      <c r="D6825" s="8">
        <v>39345</v>
      </c>
      <c r="F6825" s="8">
        <v>39351</v>
      </c>
      <c r="G6825" s="8">
        <v>39349</v>
      </c>
      <c r="Y6825" s="8"/>
    </row>
    <row r="6826" spans="1:25" x14ac:dyDescent="0.25">
      <c r="A6826" t="str">
        <f>"07-0738"</f>
        <v>07-0738</v>
      </c>
      <c r="D6826" s="8">
        <v>39345</v>
      </c>
      <c r="F6826" s="8">
        <v>39349</v>
      </c>
      <c r="G6826" s="8">
        <v>39345</v>
      </c>
      <c r="Y6826" s="8"/>
    </row>
    <row r="6827" spans="1:25" x14ac:dyDescent="0.25">
      <c r="A6827" t="str">
        <f>"07-0722"</f>
        <v>07-0722</v>
      </c>
      <c r="D6827" s="8">
        <v>39344</v>
      </c>
      <c r="F6827" s="8">
        <v>39344</v>
      </c>
      <c r="G6827" s="8">
        <v>39344</v>
      </c>
      <c r="Y6827" s="8"/>
    </row>
    <row r="6828" spans="1:25" x14ac:dyDescent="0.25">
      <c r="A6828" t="str">
        <f>"07-0724"</f>
        <v>07-0724</v>
      </c>
      <c r="D6828" s="8">
        <v>39344</v>
      </c>
      <c r="F6828" s="8">
        <v>39408</v>
      </c>
      <c r="G6828" s="8">
        <v>39344</v>
      </c>
      <c r="Y6828" s="8"/>
    </row>
    <row r="6829" spans="1:25" x14ac:dyDescent="0.25">
      <c r="A6829" t="str">
        <f>"07-0725"</f>
        <v>07-0725</v>
      </c>
      <c r="D6829" s="8">
        <v>39344</v>
      </c>
      <c r="F6829" s="8">
        <v>39344</v>
      </c>
      <c r="G6829" s="8">
        <v>39344</v>
      </c>
      <c r="Y6829" s="8"/>
    </row>
    <row r="6830" spans="1:25" x14ac:dyDescent="0.25">
      <c r="A6830" t="str">
        <f>"07-0726"</f>
        <v>07-0726</v>
      </c>
      <c r="D6830" s="8">
        <v>39344</v>
      </c>
      <c r="F6830" s="8">
        <v>39346</v>
      </c>
      <c r="G6830" s="8">
        <v>39349</v>
      </c>
      <c r="Y6830" s="8"/>
    </row>
    <row r="6831" spans="1:25" x14ac:dyDescent="0.25">
      <c r="A6831" t="str">
        <f>"07-0727"</f>
        <v>07-0727</v>
      </c>
      <c r="D6831" s="8">
        <v>39344</v>
      </c>
      <c r="F6831" s="8">
        <v>39358</v>
      </c>
      <c r="G6831" s="8">
        <v>39287</v>
      </c>
      <c r="Y6831" s="8"/>
    </row>
    <row r="6832" spans="1:25" x14ac:dyDescent="0.25">
      <c r="A6832" t="str">
        <f>"07-0728"</f>
        <v>07-0728</v>
      </c>
      <c r="D6832" s="8">
        <v>39344</v>
      </c>
      <c r="F6832" s="8">
        <v>39357</v>
      </c>
      <c r="G6832" s="8">
        <v>39353</v>
      </c>
      <c r="Y6832" s="8"/>
    </row>
    <row r="6833" spans="1:25" x14ac:dyDescent="0.25">
      <c r="A6833" t="str">
        <f>"07-0729"</f>
        <v>07-0729</v>
      </c>
      <c r="D6833" s="8">
        <v>39344</v>
      </c>
      <c r="F6833" s="8">
        <v>39346</v>
      </c>
      <c r="G6833" s="8">
        <v>39345</v>
      </c>
      <c r="Y6833" s="8"/>
    </row>
    <row r="6834" spans="1:25" x14ac:dyDescent="0.25">
      <c r="A6834" t="str">
        <f>"07-0730"</f>
        <v>07-0730</v>
      </c>
      <c r="D6834" s="8">
        <v>39344</v>
      </c>
      <c r="F6834" s="8">
        <v>39350</v>
      </c>
      <c r="G6834" s="8">
        <v>39344</v>
      </c>
      <c r="Y6834" s="8"/>
    </row>
    <row r="6835" spans="1:25" x14ac:dyDescent="0.25">
      <c r="A6835" t="str">
        <f>"07-0731"</f>
        <v>07-0731</v>
      </c>
      <c r="D6835" s="8">
        <v>39344</v>
      </c>
      <c r="F6835" s="8">
        <v>39764</v>
      </c>
      <c r="G6835" s="8">
        <v>39344</v>
      </c>
      <c r="Y6835" s="8"/>
    </row>
    <row r="6836" spans="1:25" x14ac:dyDescent="0.25">
      <c r="A6836" t="str">
        <f>"07-701"</f>
        <v>07-701</v>
      </c>
      <c r="D6836" s="8">
        <v>39344</v>
      </c>
      <c r="F6836" s="8">
        <v>39532</v>
      </c>
      <c r="G6836" s="8">
        <v>39344</v>
      </c>
      <c r="Y6836" s="8"/>
    </row>
    <row r="6837" spans="1:25" x14ac:dyDescent="0.25">
      <c r="A6837" t="str">
        <f>"07-0682"</f>
        <v>07-0682</v>
      </c>
      <c r="D6837" s="8">
        <v>39343</v>
      </c>
      <c r="F6837" s="8">
        <v>39406</v>
      </c>
      <c r="G6837" s="8">
        <v>39353</v>
      </c>
      <c r="Y6837" s="8"/>
    </row>
    <row r="6838" spans="1:25" x14ac:dyDescent="0.25">
      <c r="A6838" t="str">
        <f>"07-0707B"</f>
        <v>07-0707B</v>
      </c>
      <c r="D6838" s="8">
        <v>39343</v>
      </c>
      <c r="F6838" s="8">
        <v>39343</v>
      </c>
      <c r="G6838" s="8">
        <v>39343</v>
      </c>
      <c r="Y6838" s="8"/>
    </row>
    <row r="6839" spans="1:25" x14ac:dyDescent="0.25">
      <c r="A6839" t="str">
        <f>"07-0714"</f>
        <v>07-0714</v>
      </c>
      <c r="D6839" s="8">
        <v>39343</v>
      </c>
      <c r="F6839" s="8">
        <v>39343</v>
      </c>
      <c r="G6839" s="8">
        <v>39342</v>
      </c>
      <c r="Y6839" s="8"/>
    </row>
    <row r="6840" spans="1:25" x14ac:dyDescent="0.25">
      <c r="A6840" t="str">
        <f>"07-0716"</f>
        <v>07-0716</v>
      </c>
      <c r="D6840" s="8">
        <v>39343</v>
      </c>
      <c r="F6840" s="8">
        <v>39343</v>
      </c>
      <c r="G6840" s="8">
        <v>39343</v>
      </c>
      <c r="Y6840" s="8"/>
    </row>
    <row r="6841" spans="1:25" x14ac:dyDescent="0.25">
      <c r="A6841" t="str">
        <f>"07-0717"</f>
        <v>07-0717</v>
      </c>
      <c r="D6841" s="8">
        <v>39343</v>
      </c>
      <c r="F6841" s="8">
        <v>39343</v>
      </c>
      <c r="G6841" s="8">
        <v>39350</v>
      </c>
      <c r="Y6841" s="8"/>
    </row>
    <row r="6842" spans="1:25" x14ac:dyDescent="0.25">
      <c r="A6842" t="str">
        <f>"07-0718"</f>
        <v>07-0718</v>
      </c>
      <c r="D6842" s="8">
        <v>39343</v>
      </c>
      <c r="F6842" s="8">
        <v>39343</v>
      </c>
      <c r="G6842" s="8">
        <v>39343</v>
      </c>
      <c r="Y6842" s="8"/>
    </row>
    <row r="6843" spans="1:25" x14ac:dyDescent="0.25">
      <c r="A6843" t="str">
        <f>"07-0719"</f>
        <v>07-0719</v>
      </c>
      <c r="D6843" s="8">
        <v>39343</v>
      </c>
      <c r="F6843" s="8">
        <v>39343</v>
      </c>
      <c r="G6843" s="8">
        <v>39343</v>
      </c>
      <c r="Y6843" s="8"/>
    </row>
    <row r="6844" spans="1:25" x14ac:dyDescent="0.25">
      <c r="A6844" t="str">
        <f>"07-0720"</f>
        <v>07-0720</v>
      </c>
      <c r="D6844" s="8">
        <v>39343</v>
      </c>
      <c r="F6844" s="8">
        <v>39343</v>
      </c>
      <c r="G6844" s="8">
        <v>39671</v>
      </c>
      <c r="Y6844" s="8"/>
    </row>
    <row r="6845" spans="1:25" x14ac:dyDescent="0.25">
      <c r="A6845" t="str">
        <f>"07-0721"</f>
        <v>07-0721</v>
      </c>
      <c r="D6845" s="8">
        <v>39343</v>
      </c>
      <c r="F6845" s="8">
        <v>39343</v>
      </c>
      <c r="G6845" s="8">
        <v>39343</v>
      </c>
      <c r="Y6845" s="8"/>
    </row>
    <row r="6846" spans="1:25" x14ac:dyDescent="0.25">
      <c r="A6846" t="str">
        <f>"07-0723"</f>
        <v>07-0723</v>
      </c>
      <c r="D6846" s="8">
        <v>39343</v>
      </c>
      <c r="F6846" s="8">
        <v>39343</v>
      </c>
      <c r="G6846" s="8">
        <v>39343</v>
      </c>
      <c r="Y6846" s="8"/>
    </row>
    <row r="6847" spans="1:25" x14ac:dyDescent="0.25">
      <c r="A6847" t="str">
        <f>"07-0576"</f>
        <v>07-0576</v>
      </c>
      <c r="D6847" s="8">
        <v>39342</v>
      </c>
      <c r="F6847" s="8">
        <v>39342</v>
      </c>
      <c r="G6847" s="8">
        <v>39342</v>
      </c>
      <c r="Y6847" s="8"/>
    </row>
    <row r="6848" spans="1:25" x14ac:dyDescent="0.25">
      <c r="A6848" t="str">
        <f>"07-0653"</f>
        <v>07-0653</v>
      </c>
      <c r="D6848" s="8">
        <v>39342</v>
      </c>
      <c r="F6848" s="8">
        <v>39342</v>
      </c>
      <c r="G6848" s="8">
        <v>39342</v>
      </c>
      <c r="Y6848" s="8"/>
    </row>
    <row r="6849" spans="1:25" x14ac:dyDescent="0.25">
      <c r="A6849" t="str">
        <f>"07-0681"</f>
        <v>07-0681</v>
      </c>
      <c r="D6849" s="8">
        <v>39342</v>
      </c>
      <c r="F6849" s="8">
        <v>39350</v>
      </c>
      <c r="G6849" s="8">
        <v>39353</v>
      </c>
      <c r="Y6849" s="8"/>
    </row>
    <row r="6850" spans="1:25" x14ac:dyDescent="0.25">
      <c r="A6850" t="str">
        <f>"07-0708"</f>
        <v>07-0708</v>
      </c>
      <c r="D6850" s="8">
        <v>39342</v>
      </c>
      <c r="F6850" s="8">
        <v>39342</v>
      </c>
      <c r="G6850" s="8">
        <v>39343</v>
      </c>
      <c r="Y6850" s="8"/>
    </row>
    <row r="6851" spans="1:25" x14ac:dyDescent="0.25">
      <c r="A6851" t="str">
        <f>"07-0709"</f>
        <v>07-0709</v>
      </c>
      <c r="D6851" s="8">
        <v>39342</v>
      </c>
      <c r="F6851" s="8">
        <v>39345</v>
      </c>
      <c r="G6851" s="8">
        <v>39343</v>
      </c>
      <c r="Y6851" s="8"/>
    </row>
    <row r="6852" spans="1:25" x14ac:dyDescent="0.25">
      <c r="A6852" t="str">
        <f>"07-0710"</f>
        <v>07-0710</v>
      </c>
      <c r="D6852" s="8">
        <v>39342</v>
      </c>
      <c r="F6852" s="8">
        <v>39345</v>
      </c>
      <c r="G6852" s="8">
        <v>39344</v>
      </c>
      <c r="Y6852" s="8"/>
    </row>
    <row r="6853" spans="1:25" x14ac:dyDescent="0.25">
      <c r="A6853" t="str">
        <f>"07-0711"</f>
        <v>07-0711</v>
      </c>
      <c r="D6853" s="8">
        <v>39342</v>
      </c>
      <c r="F6853" s="8">
        <v>39345</v>
      </c>
      <c r="G6853" s="8">
        <v>39343</v>
      </c>
      <c r="Y6853" s="8"/>
    </row>
    <row r="6854" spans="1:25" x14ac:dyDescent="0.25">
      <c r="A6854" t="str">
        <f>"07-0712"</f>
        <v>07-0712</v>
      </c>
      <c r="D6854" s="8">
        <v>39342</v>
      </c>
      <c r="F6854" s="8">
        <v>39345</v>
      </c>
      <c r="G6854" s="8">
        <v>39346</v>
      </c>
      <c r="Y6854" s="8"/>
    </row>
    <row r="6855" spans="1:25" x14ac:dyDescent="0.25">
      <c r="A6855" t="str">
        <f>"07-0713"</f>
        <v>07-0713</v>
      </c>
      <c r="D6855" s="8">
        <v>39342</v>
      </c>
      <c r="F6855" s="8">
        <v>41774</v>
      </c>
      <c r="G6855" s="8">
        <v>39342</v>
      </c>
      <c r="Y6855" s="8"/>
    </row>
    <row r="6856" spans="1:25" x14ac:dyDescent="0.25">
      <c r="A6856" t="str">
        <f>"07-0622"</f>
        <v>07-0622</v>
      </c>
      <c r="D6856" s="8">
        <v>39339</v>
      </c>
      <c r="F6856" s="8">
        <v>39339</v>
      </c>
      <c r="G6856" s="8">
        <v>39314</v>
      </c>
      <c r="Y6856" s="8"/>
    </row>
    <row r="6857" spans="1:25" x14ac:dyDescent="0.25">
      <c r="A6857" t="str">
        <f>"07-0704"</f>
        <v>07-0704</v>
      </c>
      <c r="D6857" s="8">
        <v>39339</v>
      </c>
      <c r="F6857" s="8">
        <v>39339</v>
      </c>
      <c r="G6857" s="8">
        <v>39339</v>
      </c>
      <c r="Y6857" s="8"/>
    </row>
    <row r="6858" spans="1:25" x14ac:dyDescent="0.25">
      <c r="A6858" t="str">
        <f>"07-0705"</f>
        <v>07-0705</v>
      </c>
      <c r="D6858" s="8">
        <v>39339</v>
      </c>
      <c r="F6858" s="8">
        <v>39339</v>
      </c>
      <c r="G6858" s="8">
        <v>39339</v>
      </c>
      <c r="Y6858" s="8"/>
    </row>
    <row r="6859" spans="1:25" x14ac:dyDescent="0.25">
      <c r="A6859" t="str">
        <f>"07-0706"</f>
        <v>07-0706</v>
      </c>
      <c r="D6859" s="8">
        <v>39339</v>
      </c>
      <c r="F6859" s="8">
        <v>39339</v>
      </c>
      <c r="G6859" s="8">
        <v>39339</v>
      </c>
      <c r="Y6859" s="8"/>
    </row>
    <row r="6860" spans="1:25" x14ac:dyDescent="0.25">
      <c r="A6860" t="str">
        <f>"07-0707"</f>
        <v>07-0707</v>
      </c>
      <c r="D6860" s="8">
        <v>39339</v>
      </c>
      <c r="F6860" s="8">
        <v>39339</v>
      </c>
      <c r="G6860" s="8">
        <v>39339</v>
      </c>
      <c r="Y6860" s="8"/>
    </row>
    <row r="6861" spans="1:25" x14ac:dyDescent="0.25">
      <c r="A6861" t="str">
        <f>"07-0701"</f>
        <v>07-0701</v>
      </c>
      <c r="D6861" s="8">
        <v>39338</v>
      </c>
      <c r="F6861" s="8">
        <v>39338</v>
      </c>
      <c r="G6861" s="8">
        <v>39340</v>
      </c>
      <c r="Y6861" s="8"/>
    </row>
    <row r="6862" spans="1:25" x14ac:dyDescent="0.25">
      <c r="A6862" t="str">
        <f>"07-0702"</f>
        <v>07-0702</v>
      </c>
      <c r="D6862" s="8">
        <v>39338</v>
      </c>
      <c r="F6862" s="8">
        <v>39343</v>
      </c>
      <c r="G6862" s="8">
        <v>39339</v>
      </c>
      <c r="Y6862" s="8"/>
    </row>
    <row r="6863" spans="1:25" x14ac:dyDescent="0.25">
      <c r="A6863" t="str">
        <f>"07-0703"</f>
        <v>07-0703</v>
      </c>
      <c r="D6863" s="8">
        <v>39338</v>
      </c>
      <c r="F6863" s="8">
        <v>39343</v>
      </c>
      <c r="G6863" s="8">
        <v>39338</v>
      </c>
      <c r="Y6863" s="8"/>
    </row>
    <row r="6864" spans="1:25" x14ac:dyDescent="0.25">
      <c r="A6864" t="str">
        <f>"07-0700"</f>
        <v>07-0700</v>
      </c>
      <c r="D6864" s="8">
        <v>39337</v>
      </c>
      <c r="F6864" s="8">
        <v>39342</v>
      </c>
      <c r="G6864" s="8">
        <v>39344</v>
      </c>
      <c r="Y6864" s="8"/>
    </row>
    <row r="6865" spans="1:25" x14ac:dyDescent="0.25">
      <c r="A6865" t="str">
        <f>"07-0006"</f>
        <v>07-0006</v>
      </c>
      <c r="D6865" s="8">
        <v>39289</v>
      </c>
      <c r="F6865" s="8">
        <v>39289</v>
      </c>
      <c r="G6865" s="8">
        <v>39289</v>
      </c>
      <c r="Y6865" s="8"/>
    </row>
    <row r="6866" spans="1:25" x14ac:dyDescent="0.25">
      <c r="A6866" t="str">
        <f>"07-0006"</f>
        <v>07-0006</v>
      </c>
      <c r="D6866" s="8">
        <v>39289</v>
      </c>
      <c r="F6866" s="8">
        <v>39289</v>
      </c>
      <c r="G6866" s="8">
        <v>39289</v>
      </c>
      <c r="Y6866" s="8"/>
    </row>
  </sheetData>
  <sortState ref="A2:Z6866">
    <sortCondition descending="1"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Mai 2015</vt:lpstr>
      <vt:lpstr>en_tete_devis</vt:lpstr>
      <vt:lpstr>'Mai 2015'!Criteres</vt:lpstr>
      <vt:lpstr>'Mai 2015'!Extraire</vt:lpstr>
      <vt:lpstr>'Mai 2015'!Zone_d_impression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cp:lastPrinted>2015-05-27T12:32:49Z</cp:lastPrinted>
  <dcterms:created xsi:type="dcterms:W3CDTF">2015-05-20T13:08:44Z</dcterms:created>
  <dcterms:modified xsi:type="dcterms:W3CDTF">2015-05-30T19:27:51Z</dcterms:modified>
</cp:coreProperties>
</file>