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ilipe\Desktop\macro\"/>
    </mc:Choice>
  </mc:AlternateContent>
  <bookViews>
    <workbookView xWindow="0" yWindow="0" windowWidth="19176" windowHeight="7188"/>
  </bookViews>
  <sheets>
    <sheet name="ITTCDEC_06163035" sheetId="1" r:id="rId1"/>
  </sheets>
  <calcPr calcId="152511"/>
</workbook>
</file>

<file path=xl/calcChain.xml><?xml version="1.0" encoding="utf-8"?>
<calcChain xmlns="http://schemas.openxmlformats.org/spreadsheetml/2006/main">
  <c r="A2" i="1" l="1"/>
  <c r="B2" i="1"/>
  <c r="C2" i="1"/>
  <c r="D2" i="1"/>
  <c r="E2" i="1"/>
  <c r="G2" i="1"/>
  <c r="H2" i="1"/>
  <c r="K2" i="1"/>
  <c r="O2" i="1"/>
  <c r="P2" i="1"/>
  <c r="Q2" i="1"/>
  <c r="S2" i="1"/>
  <c r="T2" i="1"/>
  <c r="U2" i="1"/>
  <c r="X2" i="1"/>
  <c r="Y2" i="1"/>
  <c r="AA2" i="1"/>
  <c r="AC2" i="1"/>
  <c r="AD2" i="1"/>
  <c r="AE2" i="1"/>
  <c r="AF2" i="1"/>
  <c r="AG2" i="1"/>
  <c r="AH2" i="1"/>
  <c r="AN2" i="1"/>
  <c r="AO2" i="1"/>
  <c r="AP2" i="1"/>
  <c r="BJ2" i="1"/>
  <c r="BK2" i="1"/>
  <c r="A3" i="1"/>
  <c r="B3" i="1"/>
  <c r="C3" i="1"/>
  <c r="D3" i="1"/>
  <c r="E3" i="1"/>
  <c r="G3" i="1"/>
  <c r="H3" i="1"/>
  <c r="K3" i="1"/>
  <c r="O3" i="1"/>
  <c r="P3" i="1"/>
  <c r="Q3" i="1"/>
  <c r="S3" i="1"/>
  <c r="T3" i="1"/>
  <c r="U3" i="1"/>
  <c r="X3" i="1"/>
  <c r="Y3" i="1"/>
  <c r="AA3" i="1"/>
  <c r="AC3" i="1"/>
  <c r="AD3" i="1"/>
  <c r="AE3" i="1"/>
  <c r="AF3" i="1"/>
  <c r="AG3" i="1"/>
  <c r="AH3" i="1"/>
  <c r="AN3" i="1"/>
  <c r="AO3" i="1"/>
  <c r="AP3" i="1"/>
  <c r="BJ3" i="1"/>
  <c r="BK3" i="1"/>
  <c r="A4" i="1"/>
  <c r="B4" i="1"/>
  <c r="C4" i="1"/>
  <c r="D4" i="1"/>
  <c r="E4" i="1"/>
  <c r="G4" i="1"/>
  <c r="H4" i="1"/>
  <c r="K4" i="1"/>
  <c r="O4" i="1"/>
  <c r="P4" i="1"/>
  <c r="Q4" i="1"/>
  <c r="S4" i="1"/>
  <c r="T4" i="1"/>
  <c r="U4" i="1"/>
  <c r="X4" i="1"/>
  <c r="Y4" i="1"/>
  <c r="AA4" i="1"/>
  <c r="AC4" i="1"/>
  <c r="AD4" i="1"/>
  <c r="AE4" i="1"/>
  <c r="AF4" i="1"/>
  <c r="AG4" i="1"/>
  <c r="AH4" i="1"/>
  <c r="AN4" i="1"/>
  <c r="AO4" i="1"/>
  <c r="AP4" i="1"/>
  <c r="BJ4" i="1"/>
  <c r="BK4" i="1"/>
  <c r="A5" i="1"/>
  <c r="B5" i="1"/>
  <c r="C5" i="1"/>
  <c r="D5" i="1"/>
  <c r="E5" i="1"/>
  <c r="G5" i="1"/>
  <c r="H5" i="1"/>
  <c r="K5" i="1"/>
  <c r="O5" i="1"/>
  <c r="P5" i="1"/>
  <c r="Q5" i="1"/>
  <c r="S5" i="1"/>
  <c r="T5" i="1"/>
  <c r="U5" i="1"/>
  <c r="X5" i="1"/>
  <c r="Y5" i="1"/>
  <c r="AA5" i="1"/>
  <c r="AC5" i="1"/>
  <c r="AD5" i="1"/>
  <c r="AE5" i="1"/>
  <c r="AF5" i="1"/>
  <c r="AG5" i="1"/>
  <c r="AH5" i="1"/>
  <c r="AN5" i="1"/>
  <c r="AO5" i="1"/>
  <c r="AP5" i="1"/>
  <c r="BJ5" i="1"/>
  <c r="BK5" i="1"/>
  <c r="A6" i="1"/>
  <c r="B6" i="1"/>
  <c r="C6" i="1"/>
  <c r="D6" i="1"/>
  <c r="E6" i="1"/>
  <c r="G6" i="1"/>
  <c r="H6" i="1"/>
  <c r="K6" i="1"/>
  <c r="O6" i="1"/>
  <c r="P6" i="1"/>
  <c r="Q6" i="1"/>
  <c r="S6" i="1"/>
  <c r="T6" i="1"/>
  <c r="U6" i="1"/>
  <c r="X6" i="1"/>
  <c r="Y6" i="1"/>
  <c r="AA6" i="1"/>
  <c r="AC6" i="1"/>
  <c r="AD6" i="1"/>
  <c r="AE6" i="1"/>
  <c r="AF6" i="1"/>
  <c r="AG6" i="1"/>
  <c r="AH6" i="1"/>
  <c r="AN6" i="1"/>
  <c r="AO6" i="1"/>
  <c r="AP6" i="1"/>
  <c r="BJ6" i="1"/>
  <c r="BK6" i="1"/>
  <c r="A7" i="1"/>
  <c r="B7" i="1"/>
  <c r="C7" i="1"/>
  <c r="D7" i="1"/>
  <c r="E7" i="1"/>
  <c r="G7" i="1"/>
  <c r="H7" i="1"/>
  <c r="K7" i="1"/>
  <c r="O7" i="1"/>
  <c r="P7" i="1"/>
  <c r="Q7" i="1"/>
  <c r="S7" i="1"/>
  <c r="T7" i="1"/>
  <c r="U7" i="1"/>
  <c r="X7" i="1"/>
  <c r="Y7" i="1"/>
  <c r="AA7" i="1"/>
  <c r="AC7" i="1"/>
  <c r="AD7" i="1"/>
  <c r="AE7" i="1"/>
  <c r="AF7" i="1"/>
  <c r="AG7" i="1"/>
  <c r="AH7" i="1"/>
  <c r="AN7" i="1"/>
  <c r="AO7" i="1"/>
  <c r="AP7" i="1"/>
  <c r="BJ7" i="1"/>
  <c r="BK7" i="1"/>
  <c r="A8" i="1"/>
  <c r="B8" i="1"/>
  <c r="C8" i="1"/>
  <c r="D8" i="1"/>
  <c r="E8" i="1"/>
  <c r="G8" i="1"/>
  <c r="H8" i="1"/>
  <c r="K8" i="1"/>
  <c r="O8" i="1"/>
  <c r="P8" i="1"/>
  <c r="Q8" i="1"/>
  <c r="S8" i="1"/>
  <c r="T8" i="1"/>
  <c r="U8" i="1"/>
  <c r="X8" i="1"/>
  <c r="Y8" i="1"/>
  <c r="AA8" i="1"/>
  <c r="AC8" i="1"/>
  <c r="AD8" i="1"/>
  <c r="AE8" i="1"/>
  <c r="AF8" i="1"/>
  <c r="AG8" i="1"/>
  <c r="AH8" i="1"/>
  <c r="AN8" i="1"/>
  <c r="AO8" i="1"/>
  <c r="AP8" i="1"/>
  <c r="BJ8" i="1"/>
  <c r="BK8" i="1"/>
  <c r="A9" i="1"/>
  <c r="B9" i="1"/>
  <c r="C9" i="1"/>
  <c r="D9" i="1"/>
  <c r="E9" i="1"/>
  <c r="G9" i="1"/>
  <c r="H9" i="1"/>
  <c r="K9" i="1"/>
  <c r="O9" i="1"/>
  <c r="P9" i="1"/>
  <c r="Q9" i="1"/>
  <c r="S9" i="1"/>
  <c r="T9" i="1"/>
  <c r="U9" i="1"/>
  <c r="X9" i="1"/>
  <c r="Y9" i="1"/>
  <c r="AA9" i="1"/>
  <c r="AC9" i="1"/>
  <c r="AD9" i="1"/>
  <c r="AE9" i="1"/>
  <c r="AF9" i="1"/>
  <c r="AG9" i="1"/>
  <c r="AH9" i="1"/>
  <c r="AN9" i="1"/>
  <c r="AO9" i="1"/>
  <c r="AP9" i="1"/>
  <c r="BJ9" i="1"/>
  <c r="BK9" i="1"/>
  <c r="A10" i="1"/>
  <c r="B10" i="1"/>
  <c r="C10" i="1"/>
  <c r="D10" i="1"/>
  <c r="E10" i="1"/>
  <c r="G10" i="1"/>
  <c r="H10" i="1"/>
  <c r="K10" i="1"/>
  <c r="O10" i="1"/>
  <c r="P10" i="1"/>
  <c r="Q10" i="1"/>
  <c r="S10" i="1"/>
  <c r="T10" i="1"/>
  <c r="U10" i="1"/>
  <c r="X10" i="1"/>
  <c r="Y10" i="1"/>
  <c r="AA10" i="1"/>
  <c r="AC10" i="1"/>
  <c r="AD10" i="1"/>
  <c r="AE10" i="1"/>
  <c r="AF10" i="1"/>
  <c r="AG10" i="1"/>
  <c r="AH10" i="1"/>
  <c r="AN10" i="1"/>
  <c r="AO10" i="1"/>
  <c r="AP10" i="1"/>
  <c r="BJ10" i="1"/>
  <c r="BK10" i="1"/>
  <c r="A11" i="1"/>
  <c r="B11" i="1"/>
  <c r="C11" i="1"/>
  <c r="D11" i="1"/>
  <c r="E11" i="1"/>
  <c r="G11" i="1"/>
  <c r="H11" i="1"/>
  <c r="K11" i="1"/>
  <c r="O11" i="1"/>
  <c r="P11" i="1"/>
  <c r="Q11" i="1"/>
  <c r="S11" i="1"/>
  <c r="T11" i="1"/>
  <c r="U11" i="1"/>
  <c r="X11" i="1"/>
  <c r="Y11" i="1"/>
  <c r="AA11" i="1"/>
  <c r="AC11" i="1"/>
  <c r="AD11" i="1"/>
  <c r="AE11" i="1"/>
  <c r="AF11" i="1"/>
  <c r="AG11" i="1"/>
  <c r="AH11" i="1"/>
  <c r="AN11" i="1"/>
  <c r="AO11" i="1"/>
  <c r="AP11" i="1"/>
  <c r="BJ11" i="1"/>
  <c r="BK11" i="1"/>
  <c r="A12" i="1"/>
  <c r="B12" i="1"/>
  <c r="C12" i="1"/>
  <c r="D12" i="1"/>
  <c r="E12" i="1"/>
  <c r="G12" i="1"/>
  <c r="H12" i="1"/>
  <c r="K12" i="1"/>
  <c r="O12" i="1"/>
  <c r="P12" i="1"/>
  <c r="Q12" i="1"/>
  <c r="S12" i="1"/>
  <c r="T12" i="1"/>
  <c r="U12" i="1"/>
  <c r="X12" i="1"/>
  <c r="Y12" i="1"/>
  <c r="AA12" i="1"/>
  <c r="AC12" i="1"/>
  <c r="AD12" i="1"/>
  <c r="AE12" i="1"/>
  <c r="AF12" i="1"/>
  <c r="AG12" i="1"/>
  <c r="AH12" i="1"/>
  <c r="AN12" i="1"/>
  <c r="AO12" i="1"/>
  <c r="AP12" i="1"/>
  <c r="BJ12" i="1"/>
  <c r="BK12" i="1"/>
  <c r="A13" i="1"/>
  <c r="B13" i="1"/>
  <c r="C13" i="1"/>
  <c r="D13" i="1"/>
  <c r="E13" i="1"/>
  <c r="G13" i="1"/>
  <c r="H13" i="1"/>
  <c r="K13" i="1"/>
  <c r="O13" i="1"/>
  <c r="P13" i="1"/>
  <c r="Q13" i="1"/>
  <c r="S13" i="1"/>
  <c r="T13" i="1"/>
  <c r="U13" i="1"/>
  <c r="X13" i="1"/>
  <c r="Y13" i="1"/>
  <c r="AA13" i="1"/>
  <c r="AC13" i="1"/>
  <c r="AD13" i="1"/>
  <c r="AE13" i="1"/>
  <c r="AF13" i="1"/>
  <c r="AG13" i="1"/>
  <c r="AH13" i="1"/>
  <c r="AN13" i="1"/>
  <c r="AO13" i="1"/>
  <c r="AP13" i="1"/>
  <c r="BJ13" i="1"/>
  <c r="BK13" i="1"/>
  <c r="A14" i="1"/>
  <c r="B14" i="1"/>
  <c r="C14" i="1"/>
  <c r="D14" i="1"/>
  <c r="E14" i="1"/>
  <c r="G14" i="1"/>
  <c r="H14" i="1"/>
  <c r="K14" i="1"/>
  <c r="O14" i="1"/>
  <c r="P14" i="1"/>
  <c r="Q14" i="1"/>
  <c r="S14" i="1"/>
  <c r="T14" i="1"/>
  <c r="U14" i="1"/>
  <c r="X14" i="1"/>
  <c r="Y14" i="1"/>
  <c r="AA14" i="1"/>
  <c r="AC14" i="1"/>
  <c r="AD14" i="1"/>
  <c r="AE14" i="1"/>
  <c r="AF14" i="1"/>
  <c r="AG14" i="1"/>
  <c r="AH14" i="1"/>
  <c r="AN14" i="1"/>
  <c r="AO14" i="1"/>
  <c r="AP14" i="1"/>
  <c r="BJ14" i="1"/>
  <c r="BK14" i="1"/>
  <c r="A15" i="1"/>
  <c r="B15" i="1"/>
  <c r="C15" i="1"/>
  <c r="D15" i="1"/>
  <c r="E15" i="1"/>
  <c r="G15" i="1"/>
  <c r="H15" i="1"/>
  <c r="K15" i="1"/>
  <c r="O15" i="1"/>
  <c r="P15" i="1"/>
  <c r="Q15" i="1"/>
  <c r="S15" i="1"/>
  <c r="T15" i="1"/>
  <c r="U15" i="1"/>
  <c r="X15" i="1"/>
  <c r="Y15" i="1"/>
  <c r="AA15" i="1"/>
  <c r="AC15" i="1"/>
  <c r="AD15" i="1"/>
  <c r="AE15" i="1"/>
  <c r="AF15" i="1"/>
  <c r="AG15" i="1"/>
  <c r="AH15" i="1"/>
  <c r="AN15" i="1"/>
  <c r="AO15" i="1"/>
  <c r="AP15" i="1"/>
  <c r="BJ15" i="1"/>
  <c r="BK15" i="1"/>
  <c r="A16" i="1"/>
  <c r="B16" i="1"/>
  <c r="C16" i="1"/>
  <c r="D16" i="1"/>
  <c r="E16" i="1"/>
  <c r="G16" i="1"/>
  <c r="H16" i="1"/>
  <c r="K16" i="1"/>
  <c r="O16" i="1"/>
  <c r="P16" i="1"/>
  <c r="Q16" i="1"/>
  <c r="S16" i="1"/>
  <c r="T16" i="1"/>
  <c r="U16" i="1"/>
  <c r="X16" i="1"/>
  <c r="Y16" i="1"/>
  <c r="AA16" i="1"/>
  <c r="AC16" i="1"/>
  <c r="AD16" i="1"/>
  <c r="AE16" i="1"/>
  <c r="AF16" i="1"/>
  <c r="AG16" i="1"/>
  <c r="AH16" i="1"/>
  <c r="AN16" i="1"/>
  <c r="AO16" i="1"/>
  <c r="AP16" i="1"/>
  <c r="BJ16" i="1"/>
  <c r="BK16" i="1"/>
  <c r="A17" i="1"/>
  <c r="B17" i="1"/>
  <c r="C17" i="1"/>
  <c r="D17" i="1"/>
  <c r="E17" i="1"/>
  <c r="G17" i="1"/>
  <c r="H17" i="1"/>
  <c r="K17" i="1"/>
  <c r="O17" i="1"/>
  <c r="P17" i="1"/>
  <c r="Q17" i="1"/>
  <c r="S17" i="1"/>
  <c r="T17" i="1"/>
  <c r="U17" i="1"/>
  <c r="X17" i="1"/>
  <c r="Y17" i="1"/>
  <c r="AA17" i="1"/>
  <c r="AC17" i="1"/>
  <c r="AD17" i="1"/>
  <c r="AE17" i="1"/>
  <c r="AF17" i="1"/>
  <c r="AG17" i="1"/>
  <c r="AH17" i="1"/>
  <c r="AN17" i="1"/>
  <c r="AO17" i="1"/>
  <c r="AP17" i="1"/>
  <c r="BJ17" i="1"/>
  <c r="BK17" i="1"/>
  <c r="A18" i="1"/>
  <c r="B18" i="1"/>
  <c r="C18" i="1"/>
  <c r="D18" i="1"/>
  <c r="E18" i="1"/>
  <c r="G18" i="1"/>
  <c r="H18" i="1"/>
  <c r="K18" i="1"/>
  <c r="O18" i="1"/>
  <c r="P18" i="1"/>
  <c r="Q18" i="1"/>
  <c r="S18" i="1"/>
  <c r="T18" i="1"/>
  <c r="U18" i="1"/>
  <c r="X18" i="1"/>
  <c r="Y18" i="1"/>
  <c r="AA18" i="1"/>
  <c r="AC18" i="1"/>
  <c r="AD18" i="1"/>
  <c r="AE18" i="1"/>
  <c r="AF18" i="1"/>
  <c r="AG18" i="1"/>
  <c r="AH18" i="1"/>
  <c r="AN18" i="1"/>
  <c r="AO18" i="1"/>
  <c r="AP18" i="1"/>
  <c r="BJ18" i="1"/>
  <c r="BK18" i="1"/>
  <c r="A19" i="1"/>
  <c r="B19" i="1"/>
  <c r="C19" i="1"/>
  <c r="D19" i="1"/>
  <c r="E19" i="1"/>
  <c r="G19" i="1"/>
  <c r="H19" i="1"/>
  <c r="K19" i="1"/>
  <c r="O19" i="1"/>
  <c r="P19" i="1"/>
  <c r="Q19" i="1"/>
  <c r="S19" i="1"/>
  <c r="T19" i="1"/>
  <c r="U19" i="1"/>
  <c r="X19" i="1"/>
  <c r="Y19" i="1"/>
  <c r="AA19" i="1"/>
  <c r="AC19" i="1"/>
  <c r="AD19" i="1"/>
  <c r="AE19" i="1"/>
  <c r="AF19" i="1"/>
  <c r="AG19" i="1"/>
  <c r="AH19" i="1"/>
  <c r="AN19" i="1"/>
  <c r="AO19" i="1"/>
  <c r="AP19" i="1"/>
  <c r="BJ19" i="1"/>
  <c r="BK19" i="1"/>
  <c r="A20" i="1"/>
  <c r="B20" i="1"/>
  <c r="C20" i="1"/>
  <c r="D20" i="1"/>
  <c r="E20" i="1"/>
  <c r="G20" i="1"/>
  <c r="H20" i="1"/>
  <c r="K20" i="1"/>
  <c r="O20" i="1"/>
  <c r="P20" i="1"/>
  <c r="Q20" i="1"/>
  <c r="S20" i="1"/>
  <c r="T20" i="1"/>
  <c r="U20" i="1"/>
  <c r="X20" i="1"/>
  <c r="Y20" i="1"/>
  <c r="AA20" i="1"/>
  <c r="AC20" i="1"/>
  <c r="AD20" i="1"/>
  <c r="AE20" i="1"/>
  <c r="AF20" i="1"/>
  <c r="AG20" i="1"/>
  <c r="AH20" i="1"/>
  <c r="AN20" i="1"/>
  <c r="AO20" i="1"/>
  <c r="AP20" i="1"/>
  <c r="BJ20" i="1"/>
  <c r="BK20" i="1"/>
  <c r="A21" i="1"/>
  <c r="B21" i="1"/>
  <c r="C21" i="1"/>
  <c r="D21" i="1"/>
  <c r="E21" i="1"/>
  <c r="G21" i="1"/>
  <c r="H21" i="1"/>
  <c r="K21" i="1"/>
  <c r="O21" i="1"/>
  <c r="P21" i="1"/>
  <c r="Q21" i="1"/>
  <c r="S21" i="1"/>
  <c r="T21" i="1"/>
  <c r="U21" i="1"/>
  <c r="X21" i="1"/>
  <c r="Y21" i="1"/>
  <c r="AA21" i="1"/>
  <c r="AC21" i="1"/>
  <c r="AD21" i="1"/>
  <c r="AE21" i="1"/>
  <c r="AF21" i="1"/>
  <c r="AG21" i="1"/>
  <c r="AH21" i="1"/>
  <c r="AN21" i="1"/>
  <c r="AO21" i="1"/>
  <c r="AP21" i="1"/>
  <c r="BJ21" i="1"/>
  <c r="BK21" i="1"/>
  <c r="A22" i="1"/>
  <c r="B22" i="1"/>
  <c r="C22" i="1"/>
  <c r="D22" i="1"/>
  <c r="E22" i="1"/>
  <c r="G22" i="1"/>
  <c r="H22" i="1"/>
  <c r="K22" i="1"/>
  <c r="O22" i="1"/>
  <c r="P22" i="1"/>
  <c r="Q22" i="1"/>
  <c r="S22" i="1"/>
  <c r="T22" i="1"/>
  <c r="U22" i="1"/>
  <c r="X22" i="1"/>
  <c r="Y22" i="1"/>
  <c r="AA22" i="1"/>
  <c r="AC22" i="1"/>
  <c r="AD22" i="1"/>
  <c r="AE22" i="1"/>
  <c r="AF22" i="1"/>
  <c r="AG22" i="1"/>
  <c r="AH22" i="1"/>
  <c r="AN22" i="1"/>
  <c r="AO22" i="1"/>
  <c r="AP22" i="1"/>
  <c r="BJ22" i="1"/>
  <c r="BK22" i="1"/>
  <c r="A23" i="1"/>
  <c r="B23" i="1"/>
  <c r="C23" i="1"/>
  <c r="D23" i="1"/>
  <c r="E23" i="1"/>
  <c r="G23" i="1"/>
  <c r="H23" i="1"/>
  <c r="K23" i="1"/>
  <c r="O23" i="1"/>
  <c r="P23" i="1"/>
  <c r="Q23" i="1"/>
  <c r="S23" i="1"/>
  <c r="T23" i="1"/>
  <c r="U23" i="1"/>
  <c r="X23" i="1"/>
  <c r="Y23" i="1"/>
  <c r="AA23" i="1"/>
  <c r="AC23" i="1"/>
  <c r="AD23" i="1"/>
  <c r="AE23" i="1"/>
  <c r="AF23" i="1"/>
  <c r="AG23" i="1"/>
  <c r="AH23" i="1"/>
  <c r="AN23" i="1"/>
  <c r="AO23" i="1"/>
  <c r="AP23" i="1"/>
  <c r="BJ23" i="1"/>
  <c r="BK23" i="1"/>
  <c r="A24" i="1"/>
  <c r="B24" i="1"/>
  <c r="C24" i="1"/>
  <c r="D24" i="1"/>
  <c r="E24" i="1"/>
  <c r="G24" i="1"/>
  <c r="H24" i="1"/>
  <c r="K24" i="1"/>
  <c r="O24" i="1"/>
  <c r="P24" i="1"/>
  <c r="Q24" i="1"/>
  <c r="S24" i="1"/>
  <c r="T24" i="1"/>
  <c r="U24" i="1"/>
  <c r="X24" i="1"/>
  <c r="Y24" i="1"/>
  <c r="AA24" i="1"/>
  <c r="AC24" i="1"/>
  <c r="AD24" i="1"/>
  <c r="AE24" i="1"/>
  <c r="AF24" i="1"/>
  <c r="AG24" i="1"/>
  <c r="AH24" i="1"/>
  <c r="AN24" i="1"/>
  <c r="AO24" i="1"/>
  <c r="AP24" i="1"/>
  <c r="BJ24" i="1"/>
  <c r="BK24" i="1"/>
  <c r="A25" i="1"/>
  <c r="B25" i="1"/>
  <c r="C25" i="1"/>
  <c r="D25" i="1"/>
  <c r="E25" i="1"/>
  <c r="G25" i="1"/>
  <c r="H25" i="1"/>
  <c r="K25" i="1"/>
  <c r="O25" i="1"/>
  <c r="P25" i="1"/>
  <c r="Q25" i="1"/>
  <c r="S25" i="1"/>
  <c r="T25" i="1"/>
  <c r="U25" i="1"/>
  <c r="X25" i="1"/>
  <c r="Y25" i="1"/>
  <c r="AA25" i="1"/>
  <c r="AC25" i="1"/>
  <c r="AD25" i="1"/>
  <c r="AE25" i="1"/>
  <c r="AF25" i="1"/>
  <c r="AG25" i="1"/>
  <c r="AH25" i="1"/>
  <c r="AN25" i="1"/>
  <c r="AO25" i="1"/>
  <c r="AP25" i="1"/>
  <c r="BJ25" i="1"/>
  <c r="BK25" i="1"/>
  <c r="A26" i="1"/>
  <c r="B26" i="1"/>
  <c r="C26" i="1"/>
  <c r="D26" i="1"/>
  <c r="E26" i="1"/>
  <c r="G26" i="1"/>
  <c r="H26" i="1"/>
  <c r="K26" i="1"/>
  <c r="O26" i="1"/>
  <c r="P26" i="1"/>
  <c r="Q26" i="1"/>
  <c r="S26" i="1"/>
  <c r="T26" i="1"/>
  <c r="U26" i="1"/>
  <c r="X26" i="1"/>
  <c r="Y26" i="1"/>
  <c r="AA26" i="1"/>
  <c r="AC26" i="1"/>
  <c r="AD26" i="1"/>
  <c r="AE26" i="1"/>
  <c r="AF26" i="1"/>
  <c r="AG26" i="1"/>
  <c r="AH26" i="1"/>
  <c r="AN26" i="1"/>
  <c r="AO26" i="1"/>
  <c r="AP26" i="1"/>
  <c r="BJ26" i="1"/>
  <c r="BK26" i="1"/>
  <c r="A27" i="1"/>
  <c r="B27" i="1"/>
  <c r="C27" i="1"/>
  <c r="D27" i="1"/>
  <c r="E27" i="1"/>
  <c r="G27" i="1"/>
  <c r="H27" i="1"/>
  <c r="K27" i="1"/>
  <c r="O27" i="1"/>
  <c r="P27" i="1"/>
  <c r="Q27" i="1"/>
  <c r="S27" i="1"/>
  <c r="T27" i="1"/>
  <c r="U27" i="1"/>
  <c r="X27" i="1"/>
  <c r="Y27" i="1"/>
  <c r="AA27" i="1"/>
  <c r="AC27" i="1"/>
  <c r="AD27" i="1"/>
  <c r="AE27" i="1"/>
  <c r="AF27" i="1"/>
  <c r="AG27" i="1"/>
  <c r="AH27" i="1"/>
  <c r="AN27" i="1"/>
  <c r="AO27" i="1"/>
  <c r="AP27" i="1"/>
  <c r="BJ27" i="1"/>
  <c r="BK27" i="1"/>
  <c r="A28" i="1"/>
  <c r="B28" i="1"/>
  <c r="C28" i="1"/>
  <c r="D28" i="1"/>
  <c r="E28" i="1"/>
  <c r="G28" i="1"/>
  <c r="H28" i="1"/>
  <c r="K28" i="1"/>
  <c r="O28" i="1"/>
  <c r="P28" i="1"/>
  <c r="Q28" i="1"/>
  <c r="S28" i="1"/>
  <c r="T28" i="1"/>
  <c r="U28" i="1"/>
  <c r="X28" i="1"/>
  <c r="Y28" i="1"/>
  <c r="AA28" i="1"/>
  <c r="AC28" i="1"/>
  <c r="AD28" i="1"/>
  <c r="AE28" i="1"/>
  <c r="AF28" i="1"/>
  <c r="AG28" i="1"/>
  <c r="AH28" i="1"/>
  <c r="AN28" i="1"/>
  <c r="AO28" i="1"/>
  <c r="AP28" i="1"/>
  <c r="BJ28" i="1"/>
  <c r="BK28" i="1"/>
  <c r="A29" i="1"/>
  <c r="B29" i="1"/>
  <c r="C29" i="1"/>
  <c r="D29" i="1"/>
  <c r="E29" i="1"/>
  <c r="G29" i="1"/>
  <c r="H29" i="1"/>
  <c r="K29" i="1"/>
  <c r="O29" i="1"/>
  <c r="P29" i="1"/>
  <c r="Q29" i="1"/>
  <c r="S29" i="1"/>
  <c r="T29" i="1"/>
  <c r="U29" i="1"/>
  <c r="X29" i="1"/>
  <c r="Y29" i="1"/>
  <c r="AA29" i="1"/>
  <c r="AC29" i="1"/>
  <c r="AD29" i="1"/>
  <c r="AE29" i="1"/>
  <c r="AF29" i="1"/>
  <c r="AG29" i="1"/>
  <c r="AH29" i="1"/>
  <c r="AN29" i="1"/>
  <c r="AO29" i="1"/>
  <c r="AP29" i="1"/>
  <c r="BJ29" i="1"/>
  <c r="BK29" i="1"/>
  <c r="A30" i="1"/>
  <c r="B30" i="1"/>
  <c r="C30" i="1"/>
  <c r="D30" i="1"/>
  <c r="E30" i="1"/>
  <c r="G30" i="1"/>
  <c r="H30" i="1"/>
  <c r="K30" i="1"/>
  <c r="O30" i="1"/>
  <c r="P30" i="1"/>
  <c r="Q30" i="1"/>
  <c r="S30" i="1"/>
  <c r="T30" i="1"/>
  <c r="U30" i="1"/>
  <c r="X30" i="1"/>
  <c r="Y30" i="1"/>
  <c r="AA30" i="1"/>
  <c r="AC30" i="1"/>
  <c r="AD30" i="1"/>
  <c r="AE30" i="1"/>
  <c r="AF30" i="1"/>
  <c r="AG30" i="1"/>
  <c r="AH30" i="1"/>
  <c r="AN30" i="1"/>
  <c r="AO30" i="1"/>
  <c r="AP30" i="1"/>
  <c r="BJ30" i="1"/>
  <c r="BK30" i="1"/>
  <c r="A31" i="1"/>
  <c r="B31" i="1"/>
  <c r="C31" i="1"/>
  <c r="D31" i="1"/>
  <c r="E31" i="1"/>
  <c r="G31" i="1"/>
  <c r="H31" i="1"/>
  <c r="K31" i="1"/>
  <c r="O31" i="1"/>
  <c r="P31" i="1"/>
  <c r="Q31" i="1"/>
  <c r="S31" i="1"/>
  <c r="T31" i="1"/>
  <c r="U31" i="1"/>
  <c r="X31" i="1"/>
  <c r="Y31" i="1"/>
  <c r="AA31" i="1"/>
  <c r="AC31" i="1"/>
  <c r="AD31" i="1"/>
  <c r="AE31" i="1"/>
  <c r="AF31" i="1"/>
  <c r="AG31" i="1"/>
  <c r="AH31" i="1"/>
  <c r="AN31" i="1"/>
  <c r="AO31" i="1"/>
  <c r="AP31" i="1"/>
  <c r="BJ31" i="1"/>
  <c r="BK31" i="1"/>
  <c r="A32" i="1"/>
  <c r="B32" i="1"/>
  <c r="C32" i="1"/>
  <c r="D32" i="1"/>
  <c r="E32" i="1"/>
  <c r="G32" i="1"/>
  <c r="H32" i="1"/>
  <c r="K32" i="1"/>
  <c r="O32" i="1"/>
  <c r="P32" i="1"/>
  <c r="Q32" i="1"/>
  <c r="S32" i="1"/>
  <c r="T32" i="1"/>
  <c r="U32" i="1"/>
  <c r="X32" i="1"/>
  <c r="Y32" i="1"/>
  <c r="AA32" i="1"/>
  <c r="AC32" i="1"/>
  <c r="AD32" i="1"/>
  <c r="AE32" i="1"/>
  <c r="AF32" i="1"/>
  <c r="AG32" i="1"/>
  <c r="AH32" i="1"/>
  <c r="AN32" i="1"/>
  <c r="AO32" i="1"/>
  <c r="AP32" i="1"/>
  <c r="BJ32" i="1"/>
  <c r="BK32" i="1"/>
  <c r="A33" i="1"/>
  <c r="B33" i="1"/>
  <c r="C33" i="1"/>
  <c r="D33" i="1"/>
  <c r="E33" i="1"/>
  <c r="G33" i="1"/>
  <c r="H33" i="1"/>
  <c r="K33" i="1"/>
  <c r="O33" i="1"/>
  <c r="P33" i="1"/>
  <c r="Q33" i="1"/>
  <c r="S33" i="1"/>
  <c r="T33" i="1"/>
  <c r="U33" i="1"/>
  <c r="X33" i="1"/>
  <c r="Y33" i="1"/>
  <c r="AA33" i="1"/>
  <c r="AC33" i="1"/>
  <c r="AD33" i="1"/>
  <c r="AE33" i="1"/>
  <c r="AF33" i="1"/>
  <c r="AG33" i="1"/>
  <c r="AH33" i="1"/>
  <c r="AN33" i="1"/>
  <c r="AO33" i="1"/>
  <c r="AP33" i="1"/>
  <c r="BJ33" i="1"/>
  <c r="BK33" i="1"/>
  <c r="A34" i="1"/>
  <c r="B34" i="1"/>
  <c r="C34" i="1"/>
  <c r="D34" i="1"/>
  <c r="E34" i="1"/>
  <c r="G34" i="1"/>
  <c r="H34" i="1"/>
  <c r="K34" i="1"/>
  <c r="O34" i="1"/>
  <c r="P34" i="1"/>
  <c r="Q34" i="1"/>
  <c r="S34" i="1"/>
  <c r="T34" i="1"/>
  <c r="U34" i="1"/>
  <c r="X34" i="1"/>
  <c r="Y34" i="1"/>
  <c r="AA34" i="1"/>
  <c r="AC34" i="1"/>
  <c r="AD34" i="1"/>
  <c r="AE34" i="1"/>
  <c r="AF34" i="1"/>
  <c r="AG34" i="1"/>
  <c r="AH34" i="1"/>
  <c r="AN34" i="1"/>
  <c r="AO34" i="1"/>
  <c r="AP34" i="1"/>
  <c r="BJ34" i="1"/>
  <c r="BK34" i="1"/>
  <c r="A35" i="1"/>
  <c r="B35" i="1"/>
  <c r="C35" i="1"/>
  <c r="D35" i="1"/>
  <c r="E35" i="1"/>
  <c r="G35" i="1"/>
  <c r="H35" i="1"/>
  <c r="K35" i="1"/>
  <c r="O35" i="1"/>
  <c r="P35" i="1"/>
  <c r="Q35" i="1"/>
  <c r="S35" i="1"/>
  <c r="T35" i="1"/>
  <c r="U35" i="1"/>
  <c r="X35" i="1"/>
  <c r="Y35" i="1"/>
  <c r="AA35" i="1"/>
  <c r="AC35" i="1"/>
  <c r="AD35" i="1"/>
  <c r="AE35" i="1"/>
  <c r="AF35" i="1"/>
  <c r="AG35" i="1"/>
  <c r="AH35" i="1"/>
  <c r="AN35" i="1"/>
  <c r="AO35" i="1"/>
  <c r="AP35" i="1"/>
  <c r="BJ35" i="1"/>
  <c r="BK35" i="1"/>
  <c r="A36" i="1"/>
  <c r="B36" i="1"/>
  <c r="C36" i="1"/>
  <c r="D36" i="1"/>
  <c r="E36" i="1"/>
  <c r="G36" i="1"/>
  <c r="H36" i="1"/>
  <c r="K36" i="1"/>
  <c r="O36" i="1"/>
  <c r="P36" i="1"/>
  <c r="Q36" i="1"/>
  <c r="S36" i="1"/>
  <c r="T36" i="1"/>
  <c r="U36" i="1"/>
  <c r="X36" i="1"/>
  <c r="Y36" i="1"/>
  <c r="AA36" i="1"/>
  <c r="AC36" i="1"/>
  <c r="AD36" i="1"/>
  <c r="AE36" i="1"/>
  <c r="AF36" i="1"/>
  <c r="AG36" i="1"/>
  <c r="AH36" i="1"/>
  <c r="AN36" i="1"/>
  <c r="AO36" i="1"/>
  <c r="AP36" i="1"/>
  <c r="BJ36" i="1"/>
  <c r="BK36" i="1"/>
  <c r="A37" i="1"/>
  <c r="B37" i="1"/>
  <c r="C37" i="1"/>
  <c r="D37" i="1"/>
  <c r="E37" i="1"/>
  <c r="G37" i="1"/>
  <c r="H37" i="1"/>
  <c r="K37" i="1"/>
  <c r="O37" i="1"/>
  <c r="P37" i="1"/>
  <c r="Q37" i="1"/>
  <c r="S37" i="1"/>
  <c r="T37" i="1"/>
  <c r="U37" i="1"/>
  <c r="X37" i="1"/>
  <c r="Y37" i="1"/>
  <c r="AA37" i="1"/>
  <c r="AC37" i="1"/>
  <c r="AD37" i="1"/>
  <c r="AE37" i="1"/>
  <c r="AF37" i="1"/>
  <c r="AG37" i="1"/>
  <c r="AH37" i="1"/>
  <c r="AN37" i="1"/>
  <c r="AO37" i="1"/>
  <c r="AP37" i="1"/>
  <c r="BJ37" i="1"/>
  <c r="BK37" i="1"/>
  <c r="A38" i="1"/>
  <c r="B38" i="1"/>
  <c r="C38" i="1"/>
  <c r="D38" i="1"/>
  <c r="E38" i="1"/>
  <c r="G38" i="1"/>
  <c r="H38" i="1"/>
  <c r="K38" i="1"/>
  <c r="O38" i="1"/>
  <c r="P38" i="1"/>
  <c r="Q38" i="1"/>
  <c r="S38" i="1"/>
  <c r="T38" i="1"/>
  <c r="U38" i="1"/>
  <c r="X38" i="1"/>
  <c r="Y38" i="1"/>
  <c r="AA38" i="1"/>
  <c r="AC38" i="1"/>
  <c r="AD38" i="1"/>
  <c r="AE38" i="1"/>
  <c r="AF38" i="1"/>
  <c r="AG38" i="1"/>
  <c r="AH38" i="1"/>
  <c r="AN38" i="1"/>
  <c r="AO38" i="1"/>
  <c r="AP38" i="1"/>
  <c r="BJ38" i="1"/>
  <c r="BK38" i="1"/>
  <c r="A39" i="1"/>
  <c r="B39" i="1"/>
  <c r="C39" i="1"/>
  <c r="D39" i="1"/>
  <c r="E39" i="1"/>
  <c r="G39" i="1"/>
  <c r="H39" i="1"/>
  <c r="K39" i="1"/>
  <c r="O39" i="1"/>
  <c r="P39" i="1"/>
  <c r="Q39" i="1"/>
  <c r="S39" i="1"/>
  <c r="T39" i="1"/>
  <c r="U39" i="1"/>
  <c r="X39" i="1"/>
  <c r="Y39" i="1"/>
  <c r="AA39" i="1"/>
  <c r="AC39" i="1"/>
  <c r="AD39" i="1"/>
  <c r="AE39" i="1"/>
  <c r="AF39" i="1"/>
  <c r="AG39" i="1"/>
  <c r="AH39" i="1"/>
  <c r="AN39" i="1"/>
  <c r="AO39" i="1"/>
  <c r="AP39" i="1"/>
  <c r="BJ39" i="1"/>
  <c r="BK39" i="1"/>
  <c r="A40" i="1"/>
  <c r="B40" i="1"/>
  <c r="C40" i="1"/>
  <c r="D40" i="1"/>
  <c r="E40" i="1"/>
  <c r="G40" i="1"/>
  <c r="H40" i="1"/>
  <c r="K40" i="1"/>
  <c r="O40" i="1"/>
  <c r="P40" i="1"/>
  <c r="Q40" i="1"/>
  <c r="S40" i="1"/>
  <c r="T40" i="1"/>
  <c r="U40" i="1"/>
  <c r="X40" i="1"/>
  <c r="Y40" i="1"/>
  <c r="AA40" i="1"/>
  <c r="AC40" i="1"/>
  <c r="AD40" i="1"/>
  <c r="AE40" i="1"/>
  <c r="AF40" i="1"/>
  <c r="AG40" i="1"/>
  <c r="AH40" i="1"/>
  <c r="AN40" i="1"/>
  <c r="AO40" i="1"/>
  <c r="AP40" i="1"/>
  <c r="BJ40" i="1"/>
  <c r="BK40" i="1"/>
  <c r="A41" i="1"/>
  <c r="B41" i="1"/>
  <c r="C41" i="1"/>
  <c r="D41" i="1"/>
  <c r="E41" i="1"/>
  <c r="G41" i="1"/>
  <c r="H41" i="1"/>
  <c r="K41" i="1"/>
  <c r="O41" i="1"/>
  <c r="P41" i="1"/>
  <c r="Q41" i="1"/>
  <c r="S41" i="1"/>
  <c r="T41" i="1"/>
  <c r="U41" i="1"/>
  <c r="X41" i="1"/>
  <c r="Y41" i="1"/>
  <c r="AA41" i="1"/>
  <c r="AC41" i="1"/>
  <c r="AD41" i="1"/>
  <c r="AE41" i="1"/>
  <c r="AF41" i="1"/>
  <c r="AG41" i="1"/>
  <c r="AH41" i="1"/>
  <c r="AN41" i="1"/>
  <c r="AO41" i="1"/>
  <c r="AP41" i="1"/>
  <c r="BJ41" i="1"/>
  <c r="BK41" i="1"/>
  <c r="A42" i="1"/>
  <c r="B42" i="1"/>
  <c r="C42" i="1"/>
  <c r="D42" i="1"/>
  <c r="E42" i="1"/>
  <c r="G42" i="1"/>
  <c r="H42" i="1"/>
  <c r="K42" i="1"/>
  <c r="O42" i="1"/>
  <c r="P42" i="1"/>
  <c r="Q42" i="1"/>
  <c r="S42" i="1"/>
  <c r="T42" i="1"/>
  <c r="U42" i="1"/>
  <c r="X42" i="1"/>
  <c r="Y42" i="1"/>
  <c r="AA42" i="1"/>
  <c r="AC42" i="1"/>
  <c r="AD42" i="1"/>
  <c r="AE42" i="1"/>
  <c r="AF42" i="1"/>
  <c r="AG42" i="1"/>
  <c r="AH42" i="1"/>
  <c r="AN42" i="1"/>
  <c r="AO42" i="1"/>
  <c r="AP42" i="1"/>
  <c r="BJ42" i="1"/>
  <c r="BK42" i="1"/>
  <c r="A43" i="1"/>
  <c r="B43" i="1"/>
  <c r="C43" i="1"/>
  <c r="D43" i="1"/>
  <c r="E43" i="1"/>
  <c r="G43" i="1"/>
  <c r="H43" i="1"/>
  <c r="K43" i="1"/>
  <c r="O43" i="1"/>
  <c r="P43" i="1"/>
  <c r="Q43" i="1"/>
  <c r="S43" i="1"/>
  <c r="T43" i="1"/>
  <c r="U43" i="1"/>
  <c r="X43" i="1"/>
  <c r="Y43" i="1"/>
  <c r="AA43" i="1"/>
  <c r="AC43" i="1"/>
  <c r="AD43" i="1"/>
  <c r="AE43" i="1"/>
  <c r="AF43" i="1"/>
  <c r="AG43" i="1"/>
  <c r="AH43" i="1"/>
  <c r="AN43" i="1"/>
  <c r="AO43" i="1"/>
  <c r="AP43" i="1"/>
  <c r="BJ43" i="1"/>
  <c r="BK43" i="1"/>
  <c r="A44" i="1"/>
  <c r="B44" i="1"/>
  <c r="C44" i="1"/>
  <c r="D44" i="1"/>
  <c r="E44" i="1"/>
  <c r="G44" i="1"/>
  <c r="H44" i="1"/>
  <c r="K44" i="1"/>
  <c r="O44" i="1"/>
  <c r="P44" i="1"/>
  <c r="Q44" i="1"/>
  <c r="S44" i="1"/>
  <c r="T44" i="1"/>
  <c r="U44" i="1"/>
  <c r="X44" i="1"/>
  <c r="Y44" i="1"/>
  <c r="AA44" i="1"/>
  <c r="AC44" i="1"/>
  <c r="AD44" i="1"/>
  <c r="AE44" i="1"/>
  <c r="AF44" i="1"/>
  <c r="AG44" i="1"/>
  <c r="AH44" i="1"/>
  <c r="AN44" i="1"/>
  <c r="AO44" i="1"/>
  <c r="AP44" i="1"/>
  <c r="BJ44" i="1"/>
  <c r="BK44" i="1"/>
  <c r="A45" i="1"/>
  <c r="B45" i="1"/>
  <c r="C45" i="1"/>
  <c r="D45" i="1"/>
  <c r="E45" i="1"/>
  <c r="G45" i="1"/>
  <c r="H45" i="1"/>
  <c r="K45" i="1"/>
  <c r="O45" i="1"/>
  <c r="P45" i="1"/>
  <c r="Q45" i="1"/>
  <c r="S45" i="1"/>
  <c r="T45" i="1"/>
  <c r="U45" i="1"/>
  <c r="X45" i="1"/>
  <c r="Y45" i="1"/>
  <c r="AA45" i="1"/>
  <c r="AC45" i="1"/>
  <c r="AD45" i="1"/>
  <c r="AE45" i="1"/>
  <c r="AF45" i="1"/>
  <c r="AG45" i="1"/>
  <c r="AH45" i="1"/>
  <c r="AN45" i="1"/>
  <c r="AO45" i="1"/>
  <c r="AP45" i="1"/>
  <c r="BJ45" i="1"/>
  <c r="BK45" i="1"/>
  <c r="A46" i="1"/>
  <c r="B46" i="1"/>
  <c r="C46" i="1"/>
  <c r="D46" i="1"/>
  <c r="E46" i="1"/>
  <c r="G46" i="1"/>
  <c r="H46" i="1"/>
  <c r="K46" i="1"/>
  <c r="O46" i="1"/>
  <c r="P46" i="1"/>
  <c r="Q46" i="1"/>
  <c r="S46" i="1"/>
  <c r="T46" i="1"/>
  <c r="U46" i="1"/>
  <c r="X46" i="1"/>
  <c r="Y46" i="1"/>
  <c r="AA46" i="1"/>
  <c r="AC46" i="1"/>
  <c r="AD46" i="1"/>
  <c r="AE46" i="1"/>
  <c r="AF46" i="1"/>
  <c r="AG46" i="1"/>
  <c r="AH46" i="1"/>
  <c r="AN46" i="1"/>
  <c r="AO46" i="1"/>
  <c r="AP46" i="1"/>
  <c r="BJ46" i="1"/>
  <c r="BK46" i="1"/>
  <c r="A47" i="1"/>
  <c r="B47" i="1"/>
  <c r="C47" i="1"/>
  <c r="D47" i="1"/>
  <c r="E47" i="1"/>
  <c r="G47" i="1"/>
  <c r="H47" i="1"/>
  <c r="K47" i="1"/>
  <c r="O47" i="1"/>
  <c r="P47" i="1"/>
  <c r="Q47" i="1"/>
  <c r="S47" i="1"/>
  <c r="T47" i="1"/>
  <c r="U47" i="1"/>
  <c r="X47" i="1"/>
  <c r="Y47" i="1"/>
  <c r="AA47" i="1"/>
  <c r="AC47" i="1"/>
  <c r="AD47" i="1"/>
  <c r="AE47" i="1"/>
  <c r="AF47" i="1"/>
  <c r="AG47" i="1"/>
  <c r="AH47" i="1"/>
  <c r="AN47" i="1"/>
  <c r="AO47" i="1"/>
  <c r="AP47" i="1"/>
  <c r="BJ47" i="1"/>
  <c r="BK47" i="1"/>
  <c r="A48" i="1"/>
  <c r="B48" i="1"/>
  <c r="C48" i="1"/>
  <c r="D48" i="1"/>
  <c r="E48" i="1"/>
  <c r="G48" i="1"/>
  <c r="H48" i="1"/>
  <c r="K48" i="1"/>
  <c r="O48" i="1"/>
  <c r="P48" i="1"/>
  <c r="Q48" i="1"/>
  <c r="S48" i="1"/>
  <c r="T48" i="1"/>
  <c r="U48" i="1"/>
  <c r="X48" i="1"/>
  <c r="Y48" i="1"/>
  <c r="AA48" i="1"/>
  <c r="AC48" i="1"/>
  <c r="AD48" i="1"/>
  <c r="AE48" i="1"/>
  <c r="AF48" i="1"/>
  <c r="AG48" i="1"/>
  <c r="AH48" i="1"/>
  <c r="AN48" i="1"/>
  <c r="AO48" i="1"/>
  <c r="AP48" i="1"/>
  <c r="BJ48" i="1"/>
  <c r="BK48" i="1"/>
  <c r="A49" i="1"/>
  <c r="B49" i="1"/>
  <c r="C49" i="1"/>
  <c r="D49" i="1"/>
  <c r="E49" i="1"/>
  <c r="G49" i="1"/>
  <c r="H49" i="1"/>
  <c r="K49" i="1"/>
  <c r="O49" i="1"/>
  <c r="P49" i="1"/>
  <c r="Q49" i="1"/>
  <c r="S49" i="1"/>
  <c r="T49" i="1"/>
  <c r="U49" i="1"/>
  <c r="X49" i="1"/>
  <c r="Y49" i="1"/>
  <c r="AA49" i="1"/>
  <c r="AC49" i="1"/>
  <c r="AD49" i="1"/>
  <c r="AE49" i="1"/>
  <c r="AF49" i="1"/>
  <c r="AG49" i="1"/>
  <c r="AH49" i="1"/>
  <c r="AN49" i="1"/>
  <c r="AO49" i="1"/>
  <c r="AP49" i="1"/>
  <c r="BJ49" i="1"/>
  <c r="BK49" i="1"/>
  <c r="A50" i="1"/>
  <c r="B50" i="1"/>
  <c r="C50" i="1"/>
  <c r="D50" i="1"/>
  <c r="E50" i="1"/>
  <c r="G50" i="1"/>
  <c r="H50" i="1"/>
  <c r="K50" i="1"/>
  <c r="O50" i="1"/>
  <c r="P50" i="1"/>
  <c r="Q50" i="1"/>
  <c r="S50" i="1"/>
  <c r="T50" i="1"/>
  <c r="U50" i="1"/>
  <c r="X50" i="1"/>
  <c r="Y50" i="1"/>
  <c r="AA50" i="1"/>
  <c r="AC50" i="1"/>
  <c r="AD50" i="1"/>
  <c r="AE50" i="1"/>
  <c r="AF50" i="1"/>
  <c r="AG50" i="1"/>
  <c r="AH50" i="1"/>
  <c r="AN50" i="1"/>
  <c r="AO50" i="1"/>
  <c r="AP50" i="1"/>
  <c r="BJ50" i="1"/>
  <c r="BK50" i="1"/>
  <c r="A51" i="1"/>
  <c r="B51" i="1"/>
  <c r="C51" i="1"/>
  <c r="D51" i="1"/>
  <c r="E51" i="1"/>
  <c r="G51" i="1"/>
  <c r="H51" i="1"/>
  <c r="K51" i="1"/>
  <c r="O51" i="1"/>
  <c r="P51" i="1"/>
  <c r="Q51" i="1"/>
  <c r="S51" i="1"/>
  <c r="T51" i="1"/>
  <c r="U51" i="1"/>
  <c r="X51" i="1"/>
  <c r="Y51" i="1"/>
  <c r="AA51" i="1"/>
  <c r="AC51" i="1"/>
  <c r="AD51" i="1"/>
  <c r="AE51" i="1"/>
  <c r="AF51" i="1"/>
  <c r="AG51" i="1"/>
  <c r="AH51" i="1"/>
  <c r="AN51" i="1"/>
  <c r="AO51" i="1"/>
  <c r="AP51" i="1"/>
  <c r="BJ51" i="1"/>
  <c r="BK51" i="1"/>
  <c r="A52" i="1"/>
  <c r="B52" i="1"/>
  <c r="C52" i="1"/>
  <c r="D52" i="1"/>
  <c r="E52" i="1"/>
  <c r="G52" i="1"/>
  <c r="H52" i="1"/>
  <c r="K52" i="1"/>
  <c r="O52" i="1"/>
  <c r="P52" i="1"/>
  <c r="Q52" i="1"/>
  <c r="S52" i="1"/>
  <c r="T52" i="1"/>
  <c r="U52" i="1"/>
  <c r="X52" i="1"/>
  <c r="Y52" i="1"/>
  <c r="AA52" i="1"/>
  <c r="AC52" i="1"/>
  <c r="AD52" i="1"/>
  <c r="AE52" i="1"/>
  <c r="AF52" i="1"/>
  <c r="AG52" i="1"/>
  <c r="AH52" i="1"/>
  <c r="AN52" i="1"/>
  <c r="AO52" i="1"/>
  <c r="AP52" i="1"/>
  <c r="BJ52" i="1"/>
  <c r="BK52" i="1"/>
  <c r="A53" i="1"/>
  <c r="B53" i="1"/>
  <c r="C53" i="1"/>
  <c r="D53" i="1"/>
  <c r="E53" i="1"/>
  <c r="G53" i="1"/>
  <c r="H53" i="1"/>
  <c r="K53" i="1"/>
  <c r="O53" i="1"/>
  <c r="P53" i="1"/>
  <c r="Q53" i="1"/>
  <c r="S53" i="1"/>
  <c r="T53" i="1"/>
  <c r="U53" i="1"/>
  <c r="X53" i="1"/>
  <c r="Y53" i="1"/>
  <c r="AA53" i="1"/>
  <c r="AC53" i="1"/>
  <c r="AD53" i="1"/>
  <c r="AE53" i="1"/>
  <c r="AF53" i="1"/>
  <c r="AG53" i="1"/>
  <c r="AH53" i="1"/>
  <c r="AN53" i="1"/>
  <c r="AO53" i="1"/>
  <c r="AP53" i="1"/>
  <c r="BJ53" i="1"/>
  <c r="BK53" i="1"/>
  <c r="A54" i="1"/>
  <c r="B54" i="1"/>
  <c r="C54" i="1"/>
  <c r="D54" i="1"/>
  <c r="E54" i="1"/>
  <c r="G54" i="1"/>
  <c r="H54" i="1"/>
  <c r="K54" i="1"/>
  <c r="O54" i="1"/>
  <c r="P54" i="1"/>
  <c r="Q54" i="1"/>
  <c r="S54" i="1"/>
  <c r="T54" i="1"/>
  <c r="U54" i="1"/>
  <c r="X54" i="1"/>
  <c r="Y54" i="1"/>
  <c r="AA54" i="1"/>
  <c r="AC54" i="1"/>
  <c r="AD54" i="1"/>
  <c r="AE54" i="1"/>
  <c r="AF54" i="1"/>
  <c r="AG54" i="1"/>
  <c r="AH54" i="1"/>
  <c r="AN54" i="1"/>
  <c r="AO54" i="1"/>
  <c r="AP54" i="1"/>
  <c r="BJ54" i="1"/>
  <c r="BK54" i="1"/>
  <c r="A55" i="1"/>
  <c r="B55" i="1"/>
  <c r="C55" i="1"/>
  <c r="D55" i="1"/>
  <c r="E55" i="1"/>
  <c r="G55" i="1"/>
  <c r="H55" i="1"/>
  <c r="K55" i="1"/>
  <c r="O55" i="1"/>
  <c r="P55" i="1"/>
  <c r="Q55" i="1"/>
  <c r="S55" i="1"/>
  <c r="T55" i="1"/>
  <c r="U55" i="1"/>
  <c r="X55" i="1"/>
  <c r="Y55" i="1"/>
  <c r="AA55" i="1"/>
  <c r="AC55" i="1"/>
  <c r="AD55" i="1"/>
  <c r="AE55" i="1"/>
  <c r="AF55" i="1"/>
  <c r="AG55" i="1"/>
  <c r="AH55" i="1"/>
  <c r="AN55" i="1"/>
  <c r="AO55" i="1"/>
  <c r="AP55" i="1"/>
  <c r="BJ55" i="1"/>
  <c r="BK55" i="1"/>
  <c r="A56" i="1"/>
  <c r="B56" i="1"/>
  <c r="C56" i="1"/>
  <c r="D56" i="1"/>
  <c r="E56" i="1"/>
  <c r="G56" i="1"/>
  <c r="H56" i="1"/>
  <c r="K56" i="1"/>
  <c r="O56" i="1"/>
  <c r="P56" i="1"/>
  <c r="Q56" i="1"/>
  <c r="S56" i="1"/>
  <c r="T56" i="1"/>
  <c r="U56" i="1"/>
  <c r="X56" i="1"/>
  <c r="Y56" i="1"/>
  <c r="AA56" i="1"/>
  <c r="AC56" i="1"/>
  <c r="AD56" i="1"/>
  <c r="AE56" i="1"/>
  <c r="AF56" i="1"/>
  <c r="AG56" i="1"/>
  <c r="AH56" i="1"/>
  <c r="AN56" i="1"/>
  <c r="AO56" i="1"/>
  <c r="AP56" i="1"/>
  <c r="BJ56" i="1"/>
  <c r="BK56" i="1"/>
  <c r="A57" i="1"/>
  <c r="B57" i="1"/>
  <c r="C57" i="1"/>
  <c r="D57" i="1"/>
  <c r="E57" i="1"/>
  <c r="G57" i="1"/>
  <c r="H57" i="1"/>
  <c r="K57" i="1"/>
  <c r="O57" i="1"/>
  <c r="P57" i="1"/>
  <c r="Q57" i="1"/>
  <c r="S57" i="1"/>
  <c r="T57" i="1"/>
  <c r="U57" i="1"/>
  <c r="X57" i="1"/>
  <c r="Y57" i="1"/>
  <c r="AA57" i="1"/>
  <c r="AC57" i="1"/>
  <c r="AD57" i="1"/>
  <c r="AE57" i="1"/>
  <c r="AF57" i="1"/>
  <c r="AG57" i="1"/>
  <c r="AH57" i="1"/>
  <c r="AN57" i="1"/>
  <c r="AO57" i="1"/>
  <c r="AP57" i="1"/>
  <c r="BJ57" i="1"/>
  <c r="BK57" i="1"/>
  <c r="A58" i="1"/>
  <c r="B58" i="1"/>
  <c r="C58" i="1"/>
  <c r="D58" i="1"/>
  <c r="E58" i="1"/>
  <c r="G58" i="1"/>
  <c r="H58" i="1"/>
  <c r="K58" i="1"/>
  <c r="O58" i="1"/>
  <c r="P58" i="1"/>
  <c r="Q58" i="1"/>
  <c r="S58" i="1"/>
  <c r="T58" i="1"/>
  <c r="U58" i="1"/>
  <c r="X58" i="1"/>
  <c r="Y58" i="1"/>
  <c r="AA58" i="1"/>
  <c r="AC58" i="1"/>
  <c r="AD58" i="1"/>
  <c r="AE58" i="1"/>
  <c r="AF58" i="1"/>
  <c r="AG58" i="1"/>
  <c r="AH58" i="1"/>
  <c r="AN58" i="1"/>
  <c r="AO58" i="1"/>
  <c r="AP58" i="1"/>
  <c r="BJ58" i="1"/>
  <c r="BK58" i="1"/>
  <c r="A59" i="1"/>
  <c r="B59" i="1"/>
  <c r="C59" i="1"/>
  <c r="D59" i="1"/>
  <c r="E59" i="1"/>
  <c r="G59" i="1"/>
  <c r="H59" i="1"/>
  <c r="K59" i="1"/>
  <c r="O59" i="1"/>
  <c r="P59" i="1"/>
  <c r="Q59" i="1"/>
  <c r="S59" i="1"/>
  <c r="T59" i="1"/>
  <c r="U59" i="1"/>
  <c r="X59" i="1"/>
  <c r="Y59" i="1"/>
  <c r="AA59" i="1"/>
  <c r="AC59" i="1"/>
  <c r="AD59" i="1"/>
  <c r="AE59" i="1"/>
  <c r="AF59" i="1"/>
  <c r="AG59" i="1"/>
  <c r="AH59" i="1"/>
  <c r="AN59" i="1"/>
  <c r="AO59" i="1"/>
  <c r="AP59" i="1"/>
  <c r="BJ59" i="1"/>
  <c r="BK59" i="1"/>
  <c r="A60" i="1"/>
  <c r="B60" i="1"/>
  <c r="C60" i="1"/>
  <c r="D60" i="1"/>
  <c r="E60" i="1"/>
  <c r="G60" i="1"/>
  <c r="H60" i="1"/>
  <c r="K60" i="1"/>
  <c r="O60" i="1"/>
  <c r="P60" i="1"/>
  <c r="Q60" i="1"/>
  <c r="S60" i="1"/>
  <c r="T60" i="1"/>
  <c r="U60" i="1"/>
  <c r="X60" i="1"/>
  <c r="Y60" i="1"/>
  <c r="AA60" i="1"/>
  <c r="AC60" i="1"/>
  <c r="AD60" i="1"/>
  <c r="AE60" i="1"/>
  <c r="AF60" i="1"/>
  <c r="AG60" i="1"/>
  <c r="AH60" i="1"/>
  <c r="AN60" i="1"/>
  <c r="AO60" i="1"/>
  <c r="AP60" i="1"/>
  <c r="BJ60" i="1"/>
  <c r="BK60" i="1"/>
  <c r="A61" i="1"/>
  <c r="B61" i="1"/>
  <c r="C61" i="1"/>
  <c r="D61" i="1"/>
  <c r="E61" i="1"/>
  <c r="G61" i="1"/>
  <c r="H61" i="1"/>
  <c r="K61" i="1"/>
  <c r="O61" i="1"/>
  <c r="P61" i="1"/>
  <c r="Q61" i="1"/>
  <c r="S61" i="1"/>
  <c r="T61" i="1"/>
  <c r="U61" i="1"/>
  <c r="X61" i="1"/>
  <c r="Y61" i="1"/>
  <c r="AA61" i="1"/>
  <c r="AC61" i="1"/>
  <c r="AD61" i="1"/>
  <c r="AE61" i="1"/>
  <c r="AF61" i="1"/>
  <c r="AG61" i="1"/>
  <c r="AH61" i="1"/>
  <c r="AN61" i="1"/>
  <c r="AO61" i="1"/>
  <c r="AP61" i="1"/>
  <c r="BJ61" i="1"/>
  <c r="BK61" i="1"/>
  <c r="A62" i="1"/>
  <c r="B62" i="1"/>
  <c r="C62" i="1"/>
  <c r="D62" i="1"/>
  <c r="E62" i="1"/>
  <c r="G62" i="1"/>
  <c r="H62" i="1"/>
  <c r="K62" i="1"/>
  <c r="O62" i="1"/>
  <c r="P62" i="1"/>
  <c r="Q62" i="1"/>
  <c r="S62" i="1"/>
  <c r="T62" i="1"/>
  <c r="U62" i="1"/>
  <c r="X62" i="1"/>
  <c r="Y62" i="1"/>
  <c r="AA62" i="1"/>
  <c r="AC62" i="1"/>
  <c r="AD62" i="1"/>
  <c r="AE62" i="1"/>
  <c r="AF62" i="1"/>
  <c r="AG62" i="1"/>
  <c r="AH62" i="1"/>
  <c r="AN62" i="1"/>
  <c r="AO62" i="1"/>
  <c r="AP62" i="1"/>
  <c r="BJ62" i="1"/>
  <c r="BK62" i="1"/>
  <c r="A63" i="1"/>
  <c r="B63" i="1"/>
  <c r="C63" i="1"/>
  <c r="D63" i="1"/>
  <c r="E63" i="1"/>
  <c r="G63" i="1"/>
  <c r="H63" i="1"/>
  <c r="K63" i="1"/>
  <c r="O63" i="1"/>
  <c r="P63" i="1"/>
  <c r="Q63" i="1"/>
  <c r="S63" i="1"/>
  <c r="T63" i="1"/>
  <c r="U63" i="1"/>
  <c r="X63" i="1"/>
  <c r="Y63" i="1"/>
  <c r="AA63" i="1"/>
  <c r="AC63" i="1"/>
  <c r="AD63" i="1"/>
  <c r="AE63" i="1"/>
  <c r="AF63" i="1"/>
  <c r="AG63" i="1"/>
  <c r="AH63" i="1"/>
  <c r="AN63" i="1"/>
  <c r="AO63" i="1"/>
  <c r="AP63" i="1"/>
  <c r="BJ63" i="1"/>
  <c r="BK63" i="1"/>
  <c r="A64" i="1"/>
  <c r="B64" i="1"/>
  <c r="C64" i="1"/>
  <c r="D64" i="1"/>
  <c r="E64" i="1"/>
  <c r="G64" i="1"/>
  <c r="H64" i="1"/>
  <c r="K64" i="1"/>
  <c r="O64" i="1"/>
  <c r="P64" i="1"/>
  <c r="Q64" i="1"/>
  <c r="S64" i="1"/>
  <c r="T64" i="1"/>
  <c r="U64" i="1"/>
  <c r="X64" i="1"/>
  <c r="Y64" i="1"/>
  <c r="AA64" i="1"/>
  <c r="AC64" i="1"/>
  <c r="AD64" i="1"/>
  <c r="AE64" i="1"/>
  <c r="AF64" i="1"/>
  <c r="AG64" i="1"/>
  <c r="AH64" i="1"/>
  <c r="AN64" i="1"/>
  <c r="AO64" i="1"/>
  <c r="AP64" i="1"/>
  <c r="BJ64" i="1"/>
  <c r="BK64" i="1"/>
  <c r="A65" i="1"/>
  <c r="B65" i="1"/>
  <c r="C65" i="1"/>
  <c r="D65" i="1"/>
  <c r="E65" i="1"/>
  <c r="G65" i="1"/>
  <c r="H65" i="1"/>
  <c r="K65" i="1"/>
  <c r="O65" i="1"/>
  <c r="P65" i="1"/>
  <c r="Q65" i="1"/>
  <c r="S65" i="1"/>
  <c r="T65" i="1"/>
  <c r="U65" i="1"/>
  <c r="X65" i="1"/>
  <c r="Y65" i="1"/>
  <c r="AA65" i="1"/>
  <c r="AC65" i="1"/>
  <c r="AD65" i="1"/>
  <c r="AE65" i="1"/>
  <c r="AF65" i="1"/>
  <c r="AG65" i="1"/>
  <c r="AH65" i="1"/>
  <c r="AN65" i="1"/>
  <c r="AO65" i="1"/>
  <c r="AP65" i="1"/>
  <c r="BJ65" i="1"/>
  <c r="BK65" i="1"/>
  <c r="A66" i="1"/>
  <c r="B66" i="1"/>
  <c r="C66" i="1"/>
  <c r="D66" i="1"/>
  <c r="E66" i="1"/>
  <c r="G66" i="1"/>
  <c r="H66" i="1"/>
  <c r="K66" i="1"/>
  <c r="O66" i="1"/>
  <c r="P66" i="1"/>
  <c r="Q66" i="1"/>
  <c r="S66" i="1"/>
  <c r="T66" i="1"/>
  <c r="U66" i="1"/>
  <c r="X66" i="1"/>
  <c r="Y66" i="1"/>
  <c r="AA66" i="1"/>
  <c r="AC66" i="1"/>
  <c r="AD66" i="1"/>
  <c r="AE66" i="1"/>
  <c r="AF66" i="1"/>
  <c r="AG66" i="1"/>
  <c r="AH66" i="1"/>
  <c r="AN66" i="1"/>
  <c r="AO66" i="1"/>
  <c r="AP66" i="1"/>
  <c r="BJ66" i="1"/>
  <c r="BK66" i="1"/>
  <c r="A67" i="1"/>
  <c r="B67" i="1"/>
  <c r="C67" i="1"/>
  <c r="D67" i="1"/>
  <c r="E67" i="1"/>
  <c r="G67" i="1"/>
  <c r="H67" i="1"/>
  <c r="K67" i="1"/>
  <c r="O67" i="1"/>
  <c r="P67" i="1"/>
  <c r="Q67" i="1"/>
  <c r="S67" i="1"/>
  <c r="T67" i="1"/>
  <c r="U67" i="1"/>
  <c r="X67" i="1"/>
  <c r="Y67" i="1"/>
  <c r="AA67" i="1"/>
  <c r="AC67" i="1"/>
  <c r="AD67" i="1"/>
  <c r="AE67" i="1"/>
  <c r="AF67" i="1"/>
  <c r="AG67" i="1"/>
  <c r="AH67" i="1"/>
  <c r="AN67" i="1"/>
  <c r="AO67" i="1"/>
  <c r="AP67" i="1"/>
  <c r="BJ67" i="1"/>
  <c r="BK67" i="1"/>
  <c r="A68" i="1"/>
  <c r="B68" i="1"/>
  <c r="C68" i="1"/>
  <c r="D68" i="1"/>
  <c r="E68" i="1"/>
  <c r="G68" i="1"/>
  <c r="H68" i="1"/>
  <c r="K68" i="1"/>
  <c r="O68" i="1"/>
  <c r="P68" i="1"/>
  <c r="Q68" i="1"/>
  <c r="S68" i="1"/>
  <c r="T68" i="1"/>
  <c r="U68" i="1"/>
  <c r="X68" i="1"/>
  <c r="Y68" i="1"/>
  <c r="AA68" i="1"/>
  <c r="AC68" i="1"/>
  <c r="AD68" i="1"/>
  <c r="AE68" i="1"/>
  <c r="AF68" i="1"/>
  <c r="AG68" i="1"/>
  <c r="AH68" i="1"/>
  <c r="AN68" i="1"/>
  <c r="AO68" i="1"/>
  <c r="AP68" i="1"/>
  <c r="BJ68" i="1"/>
  <c r="BK68" i="1"/>
  <c r="A69" i="1"/>
  <c r="B69" i="1"/>
  <c r="C69" i="1"/>
  <c r="D69" i="1"/>
  <c r="E69" i="1"/>
  <c r="G69" i="1"/>
  <c r="H69" i="1"/>
  <c r="K69" i="1"/>
  <c r="O69" i="1"/>
  <c r="P69" i="1"/>
  <c r="Q69" i="1"/>
  <c r="S69" i="1"/>
  <c r="T69" i="1"/>
  <c r="U69" i="1"/>
  <c r="X69" i="1"/>
  <c r="Y69" i="1"/>
  <c r="AA69" i="1"/>
  <c r="AC69" i="1"/>
  <c r="AD69" i="1"/>
  <c r="AE69" i="1"/>
  <c r="AF69" i="1"/>
  <c r="AG69" i="1"/>
  <c r="AH69" i="1"/>
  <c r="AN69" i="1"/>
  <c r="AO69" i="1"/>
  <c r="AP69" i="1"/>
  <c r="BJ69" i="1"/>
  <c r="BK69" i="1"/>
  <c r="A70" i="1"/>
  <c r="B70" i="1"/>
  <c r="C70" i="1"/>
  <c r="D70" i="1"/>
  <c r="E70" i="1"/>
  <c r="G70" i="1"/>
  <c r="H70" i="1"/>
  <c r="K70" i="1"/>
  <c r="O70" i="1"/>
  <c r="P70" i="1"/>
  <c r="Q70" i="1"/>
  <c r="S70" i="1"/>
  <c r="T70" i="1"/>
  <c r="U70" i="1"/>
  <c r="X70" i="1"/>
  <c r="Y70" i="1"/>
  <c r="AA70" i="1"/>
  <c r="AC70" i="1"/>
  <c r="AD70" i="1"/>
  <c r="AE70" i="1"/>
  <c r="AF70" i="1"/>
  <c r="AG70" i="1"/>
  <c r="AH70" i="1"/>
  <c r="AN70" i="1"/>
  <c r="AO70" i="1"/>
  <c r="AP70" i="1"/>
  <c r="BJ70" i="1"/>
  <c r="BK70" i="1"/>
  <c r="A71" i="1"/>
  <c r="B71" i="1"/>
  <c r="C71" i="1"/>
  <c r="D71" i="1"/>
  <c r="E71" i="1"/>
  <c r="G71" i="1"/>
  <c r="H71" i="1"/>
  <c r="K71" i="1"/>
  <c r="O71" i="1"/>
  <c r="P71" i="1"/>
  <c r="Q71" i="1"/>
  <c r="S71" i="1"/>
  <c r="T71" i="1"/>
  <c r="U71" i="1"/>
  <c r="X71" i="1"/>
  <c r="Y71" i="1"/>
  <c r="AA71" i="1"/>
  <c r="AC71" i="1"/>
  <c r="AD71" i="1"/>
  <c r="AE71" i="1"/>
  <c r="AF71" i="1"/>
  <c r="AG71" i="1"/>
  <c r="AH71" i="1"/>
  <c r="AN71" i="1"/>
  <c r="AO71" i="1"/>
  <c r="AP71" i="1"/>
  <c r="BJ71" i="1"/>
  <c r="BK71" i="1"/>
  <c r="A72" i="1"/>
  <c r="B72" i="1"/>
  <c r="C72" i="1"/>
  <c r="D72" i="1"/>
  <c r="E72" i="1"/>
  <c r="G72" i="1"/>
  <c r="H72" i="1"/>
  <c r="K72" i="1"/>
  <c r="O72" i="1"/>
  <c r="P72" i="1"/>
  <c r="Q72" i="1"/>
  <c r="S72" i="1"/>
  <c r="T72" i="1"/>
  <c r="U72" i="1"/>
  <c r="X72" i="1"/>
  <c r="Y72" i="1"/>
  <c r="AA72" i="1"/>
  <c r="AC72" i="1"/>
  <c r="AD72" i="1"/>
  <c r="AE72" i="1"/>
  <c r="AF72" i="1"/>
  <c r="AG72" i="1"/>
  <c r="AH72" i="1"/>
  <c r="AN72" i="1"/>
  <c r="AO72" i="1"/>
  <c r="AP72" i="1"/>
  <c r="BJ72" i="1"/>
  <c r="BK72" i="1"/>
  <c r="A73" i="1"/>
  <c r="B73" i="1"/>
  <c r="C73" i="1"/>
  <c r="D73" i="1"/>
  <c r="E73" i="1"/>
  <c r="G73" i="1"/>
  <c r="H73" i="1"/>
  <c r="K73" i="1"/>
  <c r="O73" i="1"/>
  <c r="P73" i="1"/>
  <c r="Q73" i="1"/>
  <c r="S73" i="1"/>
  <c r="T73" i="1"/>
  <c r="U73" i="1"/>
  <c r="X73" i="1"/>
  <c r="Y73" i="1"/>
  <c r="AA73" i="1"/>
  <c r="AC73" i="1"/>
  <c r="AD73" i="1"/>
  <c r="AE73" i="1"/>
  <c r="AF73" i="1"/>
  <c r="AG73" i="1"/>
  <c r="AH73" i="1"/>
  <c r="AN73" i="1"/>
  <c r="AO73" i="1"/>
  <c r="AP73" i="1"/>
  <c r="BJ73" i="1"/>
  <c r="BK73" i="1"/>
  <c r="A74" i="1"/>
  <c r="B74" i="1"/>
  <c r="C74" i="1"/>
  <c r="D74" i="1"/>
  <c r="E74" i="1"/>
  <c r="G74" i="1"/>
  <c r="H74" i="1"/>
  <c r="K74" i="1"/>
  <c r="O74" i="1"/>
  <c r="P74" i="1"/>
  <c r="Q74" i="1"/>
  <c r="S74" i="1"/>
  <c r="T74" i="1"/>
  <c r="U74" i="1"/>
  <c r="X74" i="1"/>
  <c r="Y74" i="1"/>
  <c r="AA74" i="1"/>
  <c r="AC74" i="1"/>
  <c r="AD74" i="1"/>
  <c r="AE74" i="1"/>
  <c r="AF74" i="1"/>
  <c r="AG74" i="1"/>
  <c r="AH74" i="1"/>
  <c r="AN74" i="1"/>
  <c r="AO74" i="1"/>
  <c r="AP74" i="1"/>
  <c r="BJ74" i="1"/>
  <c r="BK74" i="1"/>
  <c r="A75" i="1"/>
  <c r="B75" i="1"/>
  <c r="C75" i="1"/>
  <c r="D75" i="1"/>
  <c r="E75" i="1"/>
  <c r="G75" i="1"/>
  <c r="H75" i="1"/>
  <c r="K75" i="1"/>
  <c r="O75" i="1"/>
  <c r="P75" i="1"/>
  <c r="Q75" i="1"/>
  <c r="S75" i="1"/>
  <c r="T75" i="1"/>
  <c r="U75" i="1"/>
  <c r="X75" i="1"/>
  <c r="Y75" i="1"/>
  <c r="AA75" i="1"/>
  <c r="AC75" i="1"/>
  <c r="AD75" i="1"/>
  <c r="AE75" i="1"/>
  <c r="AF75" i="1"/>
  <c r="AG75" i="1"/>
  <c r="AH75" i="1"/>
  <c r="AN75" i="1"/>
  <c r="AO75" i="1"/>
  <c r="AP75" i="1"/>
  <c r="BJ75" i="1"/>
  <c r="BK75" i="1"/>
  <c r="A76" i="1"/>
  <c r="B76" i="1"/>
  <c r="C76" i="1"/>
  <c r="D76" i="1"/>
  <c r="E76" i="1"/>
  <c r="G76" i="1"/>
  <c r="H76" i="1"/>
  <c r="K76" i="1"/>
  <c r="O76" i="1"/>
  <c r="P76" i="1"/>
  <c r="Q76" i="1"/>
  <c r="S76" i="1"/>
  <c r="T76" i="1"/>
  <c r="U76" i="1"/>
  <c r="X76" i="1"/>
  <c r="Y76" i="1"/>
  <c r="AA76" i="1"/>
  <c r="AC76" i="1"/>
  <c r="AD76" i="1"/>
  <c r="AE76" i="1"/>
  <c r="AF76" i="1"/>
  <c r="AG76" i="1"/>
  <c r="AH76" i="1"/>
  <c r="AN76" i="1"/>
  <c r="AO76" i="1"/>
  <c r="AP76" i="1"/>
  <c r="BJ76" i="1"/>
  <c r="BK76" i="1"/>
  <c r="A77" i="1"/>
  <c r="B77" i="1"/>
  <c r="C77" i="1"/>
  <c r="D77" i="1"/>
  <c r="E77" i="1"/>
  <c r="G77" i="1"/>
  <c r="H77" i="1"/>
  <c r="K77" i="1"/>
  <c r="O77" i="1"/>
  <c r="P77" i="1"/>
  <c r="Q77" i="1"/>
  <c r="S77" i="1"/>
  <c r="T77" i="1"/>
  <c r="U77" i="1"/>
  <c r="X77" i="1"/>
  <c r="Y77" i="1"/>
  <c r="AA77" i="1"/>
  <c r="AC77" i="1"/>
  <c r="AD77" i="1"/>
  <c r="AE77" i="1"/>
  <c r="AF77" i="1"/>
  <c r="AG77" i="1"/>
  <c r="AH77" i="1"/>
  <c r="AN77" i="1"/>
  <c r="AO77" i="1"/>
  <c r="AP77" i="1"/>
  <c r="BJ77" i="1"/>
  <c r="BK77" i="1"/>
  <c r="A78" i="1"/>
  <c r="B78" i="1"/>
  <c r="C78" i="1"/>
  <c r="D78" i="1"/>
  <c r="E78" i="1"/>
  <c r="G78" i="1"/>
  <c r="H78" i="1"/>
  <c r="K78" i="1"/>
  <c r="O78" i="1"/>
  <c r="P78" i="1"/>
  <c r="Q78" i="1"/>
  <c r="S78" i="1"/>
  <c r="T78" i="1"/>
  <c r="U78" i="1"/>
  <c r="X78" i="1"/>
  <c r="Y78" i="1"/>
  <c r="AA78" i="1"/>
  <c r="AC78" i="1"/>
  <c r="AD78" i="1"/>
  <c r="AE78" i="1"/>
  <c r="AF78" i="1"/>
  <c r="AG78" i="1"/>
  <c r="AH78" i="1"/>
  <c r="AN78" i="1"/>
  <c r="AO78" i="1"/>
  <c r="AP78" i="1"/>
  <c r="BJ78" i="1"/>
  <c r="BK78" i="1"/>
  <c r="A79" i="1"/>
  <c r="B79" i="1"/>
  <c r="C79" i="1"/>
  <c r="D79" i="1"/>
  <c r="E79" i="1"/>
  <c r="G79" i="1"/>
  <c r="H79" i="1"/>
  <c r="K79" i="1"/>
  <c r="O79" i="1"/>
  <c r="P79" i="1"/>
  <c r="Q79" i="1"/>
  <c r="S79" i="1"/>
  <c r="T79" i="1"/>
  <c r="U79" i="1"/>
  <c r="X79" i="1"/>
  <c r="Y79" i="1"/>
  <c r="AA79" i="1"/>
  <c r="AC79" i="1"/>
  <c r="AD79" i="1"/>
  <c r="AE79" i="1"/>
  <c r="AF79" i="1"/>
  <c r="AG79" i="1"/>
  <c r="AH79" i="1"/>
  <c r="AN79" i="1"/>
  <c r="AO79" i="1"/>
  <c r="AP79" i="1"/>
  <c r="BJ79" i="1"/>
  <c r="BK79" i="1"/>
  <c r="A80" i="1"/>
  <c r="B80" i="1"/>
  <c r="C80" i="1"/>
  <c r="D80" i="1"/>
  <c r="E80" i="1"/>
  <c r="G80" i="1"/>
  <c r="H80" i="1"/>
  <c r="K80" i="1"/>
  <c r="O80" i="1"/>
  <c r="P80" i="1"/>
  <c r="Q80" i="1"/>
  <c r="S80" i="1"/>
  <c r="T80" i="1"/>
  <c r="U80" i="1"/>
  <c r="X80" i="1"/>
  <c r="Y80" i="1"/>
  <c r="AA80" i="1"/>
  <c r="AC80" i="1"/>
  <c r="AD80" i="1"/>
  <c r="AE80" i="1"/>
  <c r="AF80" i="1"/>
  <c r="AG80" i="1"/>
  <c r="AH80" i="1"/>
  <c r="AN80" i="1"/>
  <c r="AO80" i="1"/>
  <c r="AP80" i="1"/>
  <c r="BJ80" i="1"/>
  <c r="BK80" i="1"/>
</calcChain>
</file>

<file path=xl/sharedStrings.xml><?xml version="1.0" encoding="utf-8"?>
<sst xmlns="http://schemas.openxmlformats.org/spreadsheetml/2006/main" count="63" uniqueCount="63">
  <si>
    <t>Client</t>
  </si>
  <si>
    <t>Nom client</t>
  </si>
  <si>
    <t>N° Commande</t>
  </si>
  <si>
    <t>Référence Client</t>
  </si>
  <si>
    <t>Sit. Cde</t>
  </si>
  <si>
    <t>Création</t>
  </si>
  <si>
    <t>Sit. Liv.</t>
  </si>
  <si>
    <t>Sit. Fac.</t>
  </si>
  <si>
    <t>Expédition</t>
  </si>
  <si>
    <t>Date prévue</t>
  </si>
  <si>
    <t>Blocage</t>
  </si>
  <si>
    <t>Net</t>
  </si>
  <si>
    <t>Revient</t>
  </si>
  <si>
    <t xml:space="preserve">Marge </t>
  </si>
  <si>
    <t>Devise</t>
  </si>
  <si>
    <t>Affaire</t>
  </si>
  <si>
    <t>Societe</t>
  </si>
  <si>
    <t>Mt Stat.</t>
  </si>
  <si>
    <t>Stat. Client 1</t>
  </si>
  <si>
    <t>Stat. Client 2</t>
  </si>
  <si>
    <t>Stat Client 3</t>
  </si>
  <si>
    <t>Mt marge</t>
  </si>
  <si>
    <t>Confirmée ?</t>
  </si>
  <si>
    <t>Client livré</t>
  </si>
  <si>
    <t>Gestionnaire</t>
  </si>
  <si>
    <t>Date Liv Prevue Cde</t>
  </si>
  <si>
    <t>Magasin</t>
  </si>
  <si>
    <t>Coût de transport</t>
  </si>
  <si>
    <t>Désignation Affaire</t>
  </si>
  <si>
    <t>Barème</t>
  </si>
  <si>
    <t>Code Postal</t>
  </si>
  <si>
    <t>Ville</t>
  </si>
  <si>
    <t>Représentant</t>
  </si>
  <si>
    <t>Type Cde</t>
  </si>
  <si>
    <t>Réception</t>
  </si>
  <si>
    <t>Cagnotte utilisée</t>
  </si>
  <si>
    <t>Cagnotte générée</t>
  </si>
  <si>
    <t>Durée en jours</t>
  </si>
  <si>
    <t>Retour prévu le</t>
  </si>
  <si>
    <t>Créateur de la cde</t>
  </si>
  <si>
    <t>Nom</t>
  </si>
  <si>
    <t>Devis</t>
  </si>
  <si>
    <t>Port A Payer</t>
  </si>
  <si>
    <t>Taux Remise 1</t>
  </si>
  <si>
    <t>Taux Remise2</t>
  </si>
  <si>
    <t>Taux Remise3</t>
  </si>
  <si>
    <t>Remise 1</t>
  </si>
  <si>
    <t>Remise 2</t>
  </si>
  <si>
    <t>Remise 3</t>
  </si>
  <si>
    <t>Taux Escompte</t>
  </si>
  <si>
    <t>Escompte Mt</t>
  </si>
  <si>
    <t>Base Tva1</t>
  </si>
  <si>
    <t>Base Tva2</t>
  </si>
  <si>
    <t>Base Tva3</t>
  </si>
  <si>
    <t>Montant Tva1</t>
  </si>
  <si>
    <t>Montant Tva2</t>
  </si>
  <si>
    <t>Montant Tva3</t>
  </si>
  <si>
    <t>Emballage</t>
  </si>
  <si>
    <t>Frais Divers</t>
  </si>
  <si>
    <t>TTC</t>
  </si>
  <si>
    <t>TOTAL H.T.</t>
  </si>
  <si>
    <t>Condition Règlement</t>
  </si>
  <si>
    <t>Mode règlement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</si>
</sst>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14" fontId="0" fillId="0" borderId="0" xfId="0" applyNumberFormat="1"/>
    <xf numFmtId="8" fontId="0" fillId="0" borderId="0" xfId="0" applyNumberFormat="1"/>
    <xf numFmtId="10" fontId="0" fillId="0" borderId="0" xfId="0" applyNumberFormat="1"/>
    <xf numFmtId="0" fontId="14" fillId="33" borderId="0" xfId="0" applyFont="1" applyFill="1"/>
    <xf numFmtId="14" fontId="14" fillId="33" borderId="0" xfId="0" applyNumberFormat="1" applyFon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K80"/>
  <sheetViews>
    <sheetView tabSelected="1" workbookViewId="0">
      <selection activeCell="E5" sqref="E5"/>
    </sheetView>
  </sheetViews>
  <sheetFormatPr baseColWidth="10" defaultRowHeight="14.4" x14ac:dyDescent="0.3"/>
  <cols>
    <col min="9" max="9" width="11.5546875" style="4"/>
    <col min="16" max="16" width="11.5546875" style="4"/>
    <col min="23" max="23" width="11.5546875" style="4"/>
  </cols>
  <sheetData>
    <row r="1" spans="1:63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4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s="4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s="4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</row>
    <row r="2" spans="1:63" x14ac:dyDescent="0.3">
      <c r="A2" t="str">
        <f>"119500"</f>
        <v>119500</v>
      </c>
      <c r="B2" t="str">
        <f>"STELIA"</f>
        <v>STELIA</v>
      </c>
      <c r="C2" t="str">
        <f>"16220"</f>
        <v>16220</v>
      </c>
      <c r="D2" t="str">
        <f>" "</f>
        <v xml:space="preserve"> </v>
      </c>
      <c r="E2" t="str">
        <f>" "</f>
        <v xml:space="preserve"> </v>
      </c>
      <c r="F2" s="1">
        <v>42124</v>
      </c>
      <c r="G2" t="str">
        <f t="shared" ref="G2:H14" si="0">" "</f>
        <v xml:space="preserve"> </v>
      </c>
      <c r="H2" t="str">
        <f t="shared" si="0"/>
        <v xml:space="preserve"> </v>
      </c>
      <c r="J2" s="1">
        <v>42146</v>
      </c>
      <c r="K2" t="str">
        <f t="shared" ref="K2:K33" si="1">" "</f>
        <v xml:space="preserve"> </v>
      </c>
      <c r="L2">
        <v>4992</v>
      </c>
      <c r="M2" s="2">
        <v>0</v>
      </c>
      <c r="N2" s="3">
        <v>1</v>
      </c>
      <c r="O2" t="str">
        <f t="shared" ref="O2:O33" si="2">"EUR"</f>
        <v>EUR</v>
      </c>
      <c r="P2" s="4" t="str">
        <f>"16220"</f>
        <v>16220</v>
      </c>
      <c r="Q2" t="str">
        <f t="shared" ref="Q2:Q33" si="3">"01"</f>
        <v>01</v>
      </c>
      <c r="R2" s="2">
        <v>4992</v>
      </c>
      <c r="S2" t="str">
        <f t="shared" ref="S2:U21" si="4">" "</f>
        <v xml:space="preserve"> </v>
      </c>
      <c r="T2" t="str">
        <f t="shared" si="4"/>
        <v xml:space="preserve"> </v>
      </c>
      <c r="U2" t="str">
        <f t="shared" si="4"/>
        <v xml:space="preserve"> </v>
      </c>
      <c r="V2" s="2">
        <v>4992</v>
      </c>
      <c r="W2" s="4">
        <v>1</v>
      </c>
      <c r="X2" t="str">
        <f>"STELI"</f>
        <v>STELI</v>
      </c>
      <c r="Y2" t="str">
        <f t="shared" ref="Y2:Y17" si="5">"MP"</f>
        <v>MP</v>
      </c>
      <c r="Z2" s="1">
        <v>42146</v>
      </c>
      <c r="AA2" t="str">
        <f t="shared" ref="AA2:AA33" si="6">" "</f>
        <v xml:space="preserve"> </v>
      </c>
      <c r="AB2" s="2">
        <v>0</v>
      </c>
      <c r="AC2" t="str">
        <f>"STELIA AEROSPACE COMPOSITES"</f>
        <v>STELIA AEROSPACE COMPOSITES</v>
      </c>
      <c r="AD2" t="str">
        <f t="shared" ref="AD2:AD33" si="7">" "</f>
        <v xml:space="preserve"> </v>
      </c>
      <c r="AE2" t="str">
        <f>"33160"</f>
        <v>33160</v>
      </c>
      <c r="AF2" t="str">
        <f>"SALAUNES"</f>
        <v>SALAUNES</v>
      </c>
      <c r="AG2" t="str">
        <f t="shared" ref="AG2:AG33" si="8">" "</f>
        <v xml:space="preserve"> </v>
      </c>
      <c r="AH2" t="str">
        <f t="shared" ref="AH2:AH33" si="9">"F"</f>
        <v>F</v>
      </c>
      <c r="AJ2">
        <v>0</v>
      </c>
      <c r="AL2">
        <v>0</v>
      </c>
      <c r="AN2" t="str">
        <f t="shared" ref="AN2:AN21" si="10">"DEBARROS"</f>
        <v>DEBARROS</v>
      </c>
      <c r="AO2" t="str">
        <f>"STELIA Aerospace Composites"</f>
        <v>STELIA Aerospace Composites</v>
      </c>
      <c r="AP2" t="str">
        <f t="shared" ref="AP2:AP33" si="11">" "</f>
        <v xml:space="preserve"> </v>
      </c>
      <c r="AQ2" s="2">
        <v>0</v>
      </c>
      <c r="AR2" s="3">
        <v>0</v>
      </c>
      <c r="AS2" s="3">
        <v>0</v>
      </c>
      <c r="AT2" s="3">
        <v>0</v>
      </c>
      <c r="AU2">
        <v>0</v>
      </c>
      <c r="AV2">
        <v>0</v>
      </c>
      <c r="AW2">
        <v>0</v>
      </c>
      <c r="AX2" s="3">
        <v>0</v>
      </c>
      <c r="AY2">
        <v>0</v>
      </c>
      <c r="AZ2">
        <v>4992</v>
      </c>
      <c r="BA2">
        <v>0</v>
      </c>
      <c r="BB2">
        <v>0</v>
      </c>
      <c r="BC2">
        <v>998.4</v>
      </c>
      <c r="BD2">
        <v>0</v>
      </c>
      <c r="BE2">
        <v>0</v>
      </c>
      <c r="BF2">
        <v>0</v>
      </c>
      <c r="BG2">
        <v>0</v>
      </c>
      <c r="BH2">
        <v>5990.4</v>
      </c>
      <c r="BI2">
        <v>4992</v>
      </c>
      <c r="BJ2" t="str">
        <f t="shared" ref="BJ2:BJ15" si="12">"41"</f>
        <v>41</v>
      </c>
      <c r="BK2" t="str">
        <f t="shared" ref="BK2:BK15" si="13">"VI"</f>
        <v>VI</v>
      </c>
    </row>
    <row r="3" spans="1:63" x14ac:dyDescent="0.3">
      <c r="A3" t="str">
        <f>"101000"</f>
        <v>101000</v>
      </c>
      <c r="B3" t="str">
        <f>"AIRBUS"</f>
        <v>AIRBUS</v>
      </c>
      <c r="C3" t="str">
        <f>"16219"</f>
        <v>16219</v>
      </c>
      <c r="D3" t="str">
        <f>"4577006768"</f>
        <v>4577006768</v>
      </c>
      <c r="E3" t="str">
        <f t="shared" ref="E3:E34" si="14">" "</f>
        <v xml:space="preserve"> </v>
      </c>
      <c r="F3" s="1">
        <v>42124</v>
      </c>
      <c r="G3" t="str">
        <f t="shared" si="0"/>
        <v xml:space="preserve"> </v>
      </c>
      <c r="H3" t="str">
        <f t="shared" si="0"/>
        <v xml:space="preserve"> </v>
      </c>
      <c r="J3" s="1">
        <v>42156</v>
      </c>
      <c r="K3" t="str">
        <f t="shared" si="1"/>
        <v xml:space="preserve"> </v>
      </c>
      <c r="L3">
        <v>2192</v>
      </c>
      <c r="M3" s="2">
        <v>0</v>
      </c>
      <c r="N3" s="3">
        <v>1</v>
      </c>
      <c r="O3" t="str">
        <f t="shared" si="2"/>
        <v>EUR</v>
      </c>
      <c r="P3" s="4" t="str">
        <f>"16219"</f>
        <v>16219</v>
      </c>
      <c r="Q3" t="str">
        <f t="shared" si="3"/>
        <v>01</v>
      </c>
      <c r="R3" s="2">
        <v>2192</v>
      </c>
      <c r="S3" t="str">
        <f t="shared" si="4"/>
        <v xml:space="preserve"> </v>
      </c>
      <c r="T3" t="str">
        <f t="shared" si="4"/>
        <v xml:space="preserve"> </v>
      </c>
      <c r="U3" t="str">
        <f t="shared" si="4"/>
        <v xml:space="preserve"> </v>
      </c>
      <c r="V3" s="2">
        <v>2192</v>
      </c>
      <c r="W3" s="4">
        <v>0</v>
      </c>
      <c r="X3" t="str">
        <f>"AIRBUS"</f>
        <v>AIRBUS</v>
      </c>
      <c r="Y3" t="str">
        <f t="shared" si="5"/>
        <v>MP</v>
      </c>
      <c r="Z3" s="1">
        <v>42156</v>
      </c>
      <c r="AA3" t="str">
        <f t="shared" si="6"/>
        <v xml:space="preserve"> </v>
      </c>
      <c r="AB3" s="2">
        <v>0</v>
      </c>
      <c r="AC3" t="str">
        <f>"Airbus D &amp; S "</f>
        <v xml:space="preserve">Airbus D &amp; S </v>
      </c>
      <c r="AD3" t="str">
        <f t="shared" si="7"/>
        <v xml:space="preserve"> </v>
      </c>
      <c r="AE3" t="str">
        <f>"33165"</f>
        <v>33165</v>
      </c>
      <c r="AF3" t="str">
        <f>"SAINT MEDARD EN JALLES"</f>
        <v>SAINT MEDARD EN JALLES</v>
      </c>
      <c r="AG3" t="str">
        <f t="shared" si="8"/>
        <v xml:space="preserve"> </v>
      </c>
      <c r="AH3" t="str">
        <f t="shared" si="9"/>
        <v>F</v>
      </c>
      <c r="AI3" s="1">
        <v>42124</v>
      </c>
      <c r="AJ3">
        <v>0</v>
      </c>
      <c r="AL3">
        <v>0</v>
      </c>
      <c r="AN3" t="str">
        <f t="shared" si="10"/>
        <v>DEBARROS</v>
      </c>
      <c r="AO3" t="str">
        <f>"Airbus D &amp; S"</f>
        <v>Airbus D &amp; S</v>
      </c>
      <c r="AP3" t="str">
        <f t="shared" si="11"/>
        <v xml:space="preserve"> </v>
      </c>
      <c r="AQ3" s="2">
        <v>0</v>
      </c>
      <c r="AR3" s="3">
        <v>0</v>
      </c>
      <c r="AS3" s="3">
        <v>0</v>
      </c>
      <c r="AT3" s="3">
        <v>0</v>
      </c>
      <c r="AU3">
        <v>0</v>
      </c>
      <c r="AV3">
        <v>0</v>
      </c>
      <c r="AW3">
        <v>0</v>
      </c>
      <c r="AX3" s="3">
        <v>0</v>
      </c>
      <c r="AY3">
        <v>0</v>
      </c>
      <c r="AZ3">
        <v>2192</v>
      </c>
      <c r="BA3">
        <v>0</v>
      </c>
      <c r="BB3">
        <v>0</v>
      </c>
      <c r="BC3">
        <v>438.4</v>
      </c>
      <c r="BD3">
        <v>0</v>
      </c>
      <c r="BE3">
        <v>0</v>
      </c>
      <c r="BF3">
        <v>0</v>
      </c>
      <c r="BG3">
        <v>0</v>
      </c>
      <c r="BH3">
        <v>2630.4</v>
      </c>
      <c r="BI3">
        <v>2192</v>
      </c>
      <c r="BJ3" t="str">
        <f t="shared" si="12"/>
        <v>41</v>
      </c>
      <c r="BK3" t="str">
        <f t="shared" si="13"/>
        <v>VI</v>
      </c>
    </row>
    <row r="4" spans="1:63" x14ac:dyDescent="0.3">
      <c r="A4" t="str">
        <f>"185900"</f>
        <v>185900</v>
      </c>
      <c r="B4" t="str">
        <f>"HERAKLES"</f>
        <v>HERAKLES</v>
      </c>
      <c r="C4" t="str">
        <f>"16218"</f>
        <v>16218</v>
      </c>
      <c r="D4" t="str">
        <f>"121 500089721"</f>
        <v>121 500089721</v>
      </c>
      <c r="E4" t="str">
        <f t="shared" si="14"/>
        <v xml:space="preserve"> </v>
      </c>
      <c r="F4" s="1">
        <v>42124</v>
      </c>
      <c r="G4" t="str">
        <f t="shared" si="0"/>
        <v xml:space="preserve"> </v>
      </c>
      <c r="H4" t="str">
        <f t="shared" si="0"/>
        <v xml:space="preserve"> </v>
      </c>
      <c r="J4" s="1">
        <v>42165</v>
      </c>
      <c r="K4" t="str">
        <f t="shared" si="1"/>
        <v xml:space="preserve"> </v>
      </c>
      <c r="L4">
        <v>5932</v>
      </c>
      <c r="M4" s="2">
        <v>0</v>
      </c>
      <c r="N4" s="3">
        <v>1</v>
      </c>
      <c r="O4" t="str">
        <f t="shared" si="2"/>
        <v>EUR</v>
      </c>
      <c r="P4" s="4" t="str">
        <f>"16218"</f>
        <v>16218</v>
      </c>
      <c r="Q4" t="str">
        <f t="shared" si="3"/>
        <v>01</v>
      </c>
      <c r="R4" s="2">
        <v>5932</v>
      </c>
      <c r="S4" t="str">
        <f t="shared" si="4"/>
        <v xml:space="preserve"> </v>
      </c>
      <c r="T4" t="str">
        <f t="shared" si="4"/>
        <v xml:space="preserve"> </v>
      </c>
      <c r="U4" t="str">
        <f t="shared" si="4"/>
        <v xml:space="preserve"> </v>
      </c>
      <c r="V4" s="2">
        <v>5932</v>
      </c>
      <c r="W4" s="4">
        <v>1</v>
      </c>
      <c r="X4" t="str">
        <f>"HERAKLES"</f>
        <v>HERAKLES</v>
      </c>
      <c r="Y4" t="str">
        <f t="shared" si="5"/>
        <v>MP</v>
      </c>
      <c r="Z4" s="1">
        <v>42165</v>
      </c>
      <c r="AA4" t="str">
        <f t="shared" si="6"/>
        <v xml:space="preserve"> </v>
      </c>
      <c r="AB4" s="2">
        <v>0</v>
      </c>
      <c r="AC4" t="str">
        <f>"HERAKLES"</f>
        <v>HERAKLES</v>
      </c>
      <c r="AD4" t="str">
        <f t="shared" si="7"/>
        <v xml:space="preserve"> </v>
      </c>
      <c r="AE4" t="str">
        <f>"33187"</f>
        <v>33187</v>
      </c>
      <c r="AF4" t="str">
        <f>"LE HAILLAN CEDEX"</f>
        <v>LE HAILLAN CEDEX</v>
      </c>
      <c r="AG4" t="str">
        <f t="shared" si="8"/>
        <v xml:space="preserve"> </v>
      </c>
      <c r="AH4" t="str">
        <f t="shared" si="9"/>
        <v>F</v>
      </c>
      <c r="AI4" s="1">
        <v>42122</v>
      </c>
      <c r="AJ4">
        <v>0</v>
      </c>
      <c r="AL4">
        <v>0</v>
      </c>
      <c r="AN4" t="str">
        <f t="shared" si="10"/>
        <v>DEBARROS</v>
      </c>
      <c r="AO4" t="str">
        <f>"HERAKLES"</f>
        <v>HERAKLES</v>
      </c>
      <c r="AP4" t="str">
        <f t="shared" si="11"/>
        <v xml:space="preserve"> </v>
      </c>
      <c r="AQ4" s="2">
        <v>0</v>
      </c>
      <c r="AR4" s="3">
        <v>0</v>
      </c>
      <c r="AS4" s="3">
        <v>0</v>
      </c>
      <c r="AT4" s="3">
        <v>0</v>
      </c>
      <c r="AU4">
        <v>0</v>
      </c>
      <c r="AV4">
        <v>0</v>
      </c>
      <c r="AW4">
        <v>0</v>
      </c>
      <c r="AX4" s="3">
        <v>0</v>
      </c>
      <c r="AY4">
        <v>0</v>
      </c>
      <c r="AZ4">
        <v>5932</v>
      </c>
      <c r="BA4">
        <v>0</v>
      </c>
      <c r="BB4">
        <v>0</v>
      </c>
      <c r="BC4">
        <v>1186.4000000000001</v>
      </c>
      <c r="BD4">
        <v>0</v>
      </c>
      <c r="BE4">
        <v>0</v>
      </c>
      <c r="BF4">
        <v>0</v>
      </c>
      <c r="BG4">
        <v>0</v>
      </c>
      <c r="BH4">
        <v>7118.4</v>
      </c>
      <c r="BI4">
        <v>5932</v>
      </c>
      <c r="BJ4" t="str">
        <f t="shared" si="12"/>
        <v>41</v>
      </c>
      <c r="BK4" t="str">
        <f t="shared" si="13"/>
        <v>VI</v>
      </c>
    </row>
    <row r="5" spans="1:63" x14ac:dyDescent="0.3">
      <c r="A5" t="str">
        <f>"202302"</f>
        <v>202302</v>
      </c>
      <c r="B5" t="str">
        <f>"VALLOUREC DRILLING"</f>
        <v>VALLOUREC DRILLING</v>
      </c>
      <c r="C5" t="str">
        <f>"16217"</f>
        <v>16217</v>
      </c>
      <c r="D5" t="str">
        <f>"35011852 POSTE 50"</f>
        <v>35011852 POSTE 50</v>
      </c>
      <c r="E5" t="str">
        <f t="shared" si="14"/>
        <v xml:space="preserve"> </v>
      </c>
      <c r="F5" s="1">
        <v>42124</v>
      </c>
      <c r="G5" t="str">
        <f t="shared" si="0"/>
        <v xml:space="preserve"> </v>
      </c>
      <c r="H5" t="str">
        <f t="shared" si="0"/>
        <v xml:space="preserve"> </v>
      </c>
      <c r="J5" s="1">
        <v>42160</v>
      </c>
      <c r="K5" t="str">
        <f t="shared" si="1"/>
        <v xml:space="preserve"> </v>
      </c>
      <c r="L5">
        <v>1350</v>
      </c>
      <c r="M5" s="2">
        <v>0</v>
      </c>
      <c r="N5" s="3">
        <v>1</v>
      </c>
      <c r="O5" t="str">
        <f t="shared" si="2"/>
        <v>EUR</v>
      </c>
      <c r="P5" s="4" t="str">
        <f>"16217"</f>
        <v>16217</v>
      </c>
      <c r="Q5" t="str">
        <f t="shared" si="3"/>
        <v>01</v>
      </c>
      <c r="R5" s="2">
        <v>1350</v>
      </c>
      <c r="S5" t="str">
        <f t="shared" si="4"/>
        <v xml:space="preserve"> </v>
      </c>
      <c r="T5" t="str">
        <f t="shared" si="4"/>
        <v xml:space="preserve"> </v>
      </c>
      <c r="U5" t="str">
        <f t="shared" si="4"/>
        <v xml:space="preserve"> </v>
      </c>
      <c r="V5" s="2">
        <v>1350</v>
      </c>
      <c r="W5" s="4">
        <v>1</v>
      </c>
      <c r="X5" t="str">
        <f>"VALLOUREC DRILLING"</f>
        <v>VALLOUREC DRILLING</v>
      </c>
      <c r="Y5" t="str">
        <f t="shared" si="5"/>
        <v>MP</v>
      </c>
      <c r="Z5" s="1">
        <v>42160</v>
      </c>
      <c r="AA5" t="str">
        <f t="shared" si="6"/>
        <v xml:space="preserve"> </v>
      </c>
      <c r="AB5" s="2">
        <v>0</v>
      </c>
      <c r="AC5" t="str">
        <f>"VALLOUREC DRILLING PRODUCTS FRANCE"</f>
        <v>VALLOUREC DRILLING PRODUCTS FRANCE</v>
      </c>
      <c r="AD5" t="str">
        <f t="shared" si="7"/>
        <v xml:space="preserve"> </v>
      </c>
      <c r="AE5" t="str">
        <f>"65000"</f>
        <v>65000</v>
      </c>
      <c r="AF5" t="str">
        <f>"TARBES"</f>
        <v>TARBES</v>
      </c>
      <c r="AG5" t="str">
        <f t="shared" si="8"/>
        <v xml:space="preserve"> </v>
      </c>
      <c r="AH5" t="str">
        <f t="shared" si="9"/>
        <v>F</v>
      </c>
      <c r="AI5" s="1">
        <v>42122</v>
      </c>
      <c r="AJ5">
        <v>0</v>
      </c>
      <c r="AL5">
        <v>0</v>
      </c>
      <c r="AN5" t="str">
        <f t="shared" si="10"/>
        <v>DEBARROS</v>
      </c>
      <c r="AO5" t="str">
        <f>"VALLOUREC DRILLING PRODUCTS FRANCE"</f>
        <v>VALLOUREC DRILLING PRODUCTS FRANCE</v>
      </c>
      <c r="AP5" t="str">
        <f t="shared" si="11"/>
        <v xml:space="preserve"> </v>
      </c>
      <c r="AQ5" s="2">
        <v>0</v>
      </c>
      <c r="AR5" s="3">
        <v>0</v>
      </c>
      <c r="AS5" s="3">
        <v>0</v>
      </c>
      <c r="AT5" s="3">
        <v>0</v>
      </c>
      <c r="AU5">
        <v>0</v>
      </c>
      <c r="AV5">
        <v>0</v>
      </c>
      <c r="AW5">
        <v>0</v>
      </c>
      <c r="AX5" s="3">
        <v>0</v>
      </c>
      <c r="AY5">
        <v>0</v>
      </c>
      <c r="AZ5">
        <v>1350</v>
      </c>
      <c r="BA5">
        <v>0</v>
      </c>
      <c r="BB5">
        <v>0</v>
      </c>
      <c r="BC5">
        <v>270</v>
      </c>
      <c r="BD5">
        <v>0</v>
      </c>
      <c r="BE5">
        <v>0</v>
      </c>
      <c r="BF5">
        <v>0</v>
      </c>
      <c r="BG5">
        <v>0</v>
      </c>
      <c r="BH5">
        <v>1620</v>
      </c>
      <c r="BI5">
        <v>1350</v>
      </c>
      <c r="BJ5" t="str">
        <f t="shared" si="12"/>
        <v>41</v>
      </c>
      <c r="BK5" t="str">
        <f t="shared" si="13"/>
        <v>VI</v>
      </c>
    </row>
    <row r="6" spans="1:63" x14ac:dyDescent="0.3">
      <c r="A6" t="str">
        <f>"202302"</f>
        <v>202302</v>
      </c>
      <c r="B6" t="str">
        <f>"VALLOUREC DRILLING"</f>
        <v>VALLOUREC DRILLING</v>
      </c>
      <c r="C6" t="str">
        <f>"16216"</f>
        <v>16216</v>
      </c>
      <c r="D6" t="str">
        <f>"35011852 POSTE 40"</f>
        <v>35011852 POSTE 40</v>
      </c>
      <c r="E6" t="str">
        <f t="shared" si="14"/>
        <v xml:space="preserve"> </v>
      </c>
      <c r="F6" s="1">
        <v>42124</v>
      </c>
      <c r="G6" t="str">
        <f t="shared" si="0"/>
        <v xml:space="preserve"> </v>
      </c>
      <c r="H6" t="str">
        <f t="shared" si="0"/>
        <v xml:space="preserve"> </v>
      </c>
      <c r="J6" s="1">
        <v>42167</v>
      </c>
      <c r="K6" t="str">
        <f t="shared" si="1"/>
        <v xml:space="preserve"> </v>
      </c>
      <c r="L6">
        <v>650</v>
      </c>
      <c r="M6" s="2">
        <v>0</v>
      </c>
      <c r="N6" s="3">
        <v>1</v>
      </c>
      <c r="O6" t="str">
        <f t="shared" si="2"/>
        <v>EUR</v>
      </c>
      <c r="P6" s="4" t="str">
        <f>"16216"</f>
        <v>16216</v>
      </c>
      <c r="Q6" t="str">
        <f t="shared" si="3"/>
        <v>01</v>
      </c>
      <c r="R6" s="2">
        <v>650</v>
      </c>
      <c r="S6" t="str">
        <f t="shared" si="4"/>
        <v xml:space="preserve"> </v>
      </c>
      <c r="T6" t="str">
        <f t="shared" si="4"/>
        <v xml:space="preserve"> </v>
      </c>
      <c r="U6" t="str">
        <f t="shared" si="4"/>
        <v xml:space="preserve"> </v>
      </c>
      <c r="V6" s="2">
        <v>650</v>
      </c>
      <c r="W6" s="4">
        <v>1</v>
      </c>
      <c r="X6" t="str">
        <f>"VALLOUREC DRILLING"</f>
        <v>VALLOUREC DRILLING</v>
      </c>
      <c r="Y6" t="str">
        <f t="shared" si="5"/>
        <v>MP</v>
      </c>
      <c r="Z6" s="1">
        <v>42167</v>
      </c>
      <c r="AA6" t="str">
        <f t="shared" si="6"/>
        <v xml:space="preserve"> </v>
      </c>
      <c r="AB6" s="2">
        <v>0</v>
      </c>
      <c r="AC6" t="str">
        <f>"VALLOUREC DRILLING PRODUCTS FRANCE"</f>
        <v>VALLOUREC DRILLING PRODUCTS FRANCE</v>
      </c>
      <c r="AD6" t="str">
        <f t="shared" si="7"/>
        <v xml:space="preserve"> </v>
      </c>
      <c r="AE6" t="str">
        <f>"65000"</f>
        <v>65000</v>
      </c>
      <c r="AF6" t="str">
        <f>"TARBES"</f>
        <v>TARBES</v>
      </c>
      <c r="AG6" t="str">
        <f t="shared" si="8"/>
        <v xml:space="preserve"> </v>
      </c>
      <c r="AH6" t="str">
        <f t="shared" si="9"/>
        <v>F</v>
      </c>
      <c r="AI6" s="1">
        <v>42122</v>
      </c>
      <c r="AJ6">
        <v>0</v>
      </c>
      <c r="AL6">
        <v>0</v>
      </c>
      <c r="AN6" t="str">
        <f t="shared" si="10"/>
        <v>DEBARROS</v>
      </c>
      <c r="AO6" t="str">
        <f>"VALLOUREC DRILLING PRODUCTS FRANCE"</f>
        <v>VALLOUREC DRILLING PRODUCTS FRANCE</v>
      </c>
      <c r="AP6" t="str">
        <f t="shared" si="11"/>
        <v xml:space="preserve"> </v>
      </c>
      <c r="AQ6" s="2">
        <v>0</v>
      </c>
      <c r="AR6" s="3">
        <v>0</v>
      </c>
      <c r="AS6" s="3">
        <v>0</v>
      </c>
      <c r="AT6" s="3">
        <v>0</v>
      </c>
      <c r="AU6">
        <v>0</v>
      </c>
      <c r="AV6">
        <v>0</v>
      </c>
      <c r="AW6">
        <v>0</v>
      </c>
      <c r="AX6" s="3">
        <v>0</v>
      </c>
      <c r="AY6">
        <v>0</v>
      </c>
      <c r="AZ6">
        <v>650</v>
      </c>
      <c r="BA6">
        <v>0</v>
      </c>
      <c r="BB6">
        <v>0</v>
      </c>
      <c r="BC6">
        <v>130</v>
      </c>
      <c r="BD6">
        <v>0</v>
      </c>
      <c r="BE6">
        <v>0</v>
      </c>
      <c r="BF6">
        <v>0</v>
      </c>
      <c r="BG6">
        <v>0</v>
      </c>
      <c r="BH6">
        <v>780</v>
      </c>
      <c r="BI6">
        <v>650</v>
      </c>
      <c r="BJ6" t="str">
        <f t="shared" si="12"/>
        <v>41</v>
      </c>
      <c r="BK6" t="str">
        <f t="shared" si="13"/>
        <v>VI</v>
      </c>
    </row>
    <row r="7" spans="1:63" x14ac:dyDescent="0.3">
      <c r="A7" t="str">
        <f>"202302"</f>
        <v>202302</v>
      </c>
      <c r="B7" t="str">
        <f>"VALLOUREC DRILLING"</f>
        <v>VALLOUREC DRILLING</v>
      </c>
      <c r="C7" t="str">
        <f>"16215"</f>
        <v>16215</v>
      </c>
      <c r="D7" t="str">
        <f>"35011852 POSTE 30"</f>
        <v>35011852 POSTE 30</v>
      </c>
      <c r="E7" t="str">
        <f t="shared" si="14"/>
        <v xml:space="preserve"> </v>
      </c>
      <c r="F7" s="1">
        <v>42124</v>
      </c>
      <c r="G7" t="str">
        <f t="shared" si="0"/>
        <v xml:space="preserve"> </v>
      </c>
      <c r="H7" t="str">
        <f t="shared" si="0"/>
        <v xml:space="preserve"> </v>
      </c>
      <c r="J7" s="1">
        <v>42160</v>
      </c>
      <c r="K7" t="str">
        <f t="shared" si="1"/>
        <v xml:space="preserve"> </v>
      </c>
      <c r="L7">
        <v>620</v>
      </c>
      <c r="M7" s="2">
        <v>0</v>
      </c>
      <c r="N7" s="3">
        <v>1</v>
      </c>
      <c r="O7" t="str">
        <f t="shared" si="2"/>
        <v>EUR</v>
      </c>
      <c r="P7" s="4" t="str">
        <f>"16215"</f>
        <v>16215</v>
      </c>
      <c r="Q7" t="str">
        <f t="shared" si="3"/>
        <v>01</v>
      </c>
      <c r="R7" s="2">
        <v>620</v>
      </c>
      <c r="S7" t="str">
        <f t="shared" si="4"/>
        <v xml:space="preserve"> </v>
      </c>
      <c r="T7" t="str">
        <f t="shared" si="4"/>
        <v xml:space="preserve"> </v>
      </c>
      <c r="U7" t="str">
        <f t="shared" si="4"/>
        <v xml:space="preserve"> </v>
      </c>
      <c r="V7" s="2">
        <v>620</v>
      </c>
      <c r="W7" s="4">
        <v>1</v>
      </c>
      <c r="X7" t="str">
        <f>"VALLOUREC DRILLING"</f>
        <v>VALLOUREC DRILLING</v>
      </c>
      <c r="Y7" t="str">
        <f t="shared" si="5"/>
        <v>MP</v>
      </c>
      <c r="Z7" s="1">
        <v>42160</v>
      </c>
      <c r="AA7" t="str">
        <f t="shared" si="6"/>
        <v xml:space="preserve"> </v>
      </c>
      <c r="AB7" s="2">
        <v>0</v>
      </c>
      <c r="AC7" t="str">
        <f>"VALLOUREC DRILLING PRODUCTS FRANCE"</f>
        <v>VALLOUREC DRILLING PRODUCTS FRANCE</v>
      </c>
      <c r="AD7" t="str">
        <f t="shared" si="7"/>
        <v xml:space="preserve"> </v>
      </c>
      <c r="AE7" t="str">
        <f>"65000"</f>
        <v>65000</v>
      </c>
      <c r="AF7" t="str">
        <f>"TARBES"</f>
        <v>TARBES</v>
      </c>
      <c r="AG7" t="str">
        <f t="shared" si="8"/>
        <v xml:space="preserve"> </v>
      </c>
      <c r="AH7" t="str">
        <f t="shared" si="9"/>
        <v>F</v>
      </c>
      <c r="AI7" s="1">
        <v>42122</v>
      </c>
      <c r="AJ7">
        <v>0</v>
      </c>
      <c r="AL7">
        <v>0</v>
      </c>
      <c r="AN7" t="str">
        <f t="shared" si="10"/>
        <v>DEBARROS</v>
      </c>
      <c r="AO7" t="str">
        <f>"VALLOUREC DRILLING PRODUCTS FRANCE"</f>
        <v>VALLOUREC DRILLING PRODUCTS FRANCE</v>
      </c>
      <c r="AP7" t="str">
        <f t="shared" si="11"/>
        <v xml:space="preserve"> </v>
      </c>
      <c r="AQ7" s="2">
        <v>0</v>
      </c>
      <c r="AR7" s="3">
        <v>0</v>
      </c>
      <c r="AS7" s="3">
        <v>0</v>
      </c>
      <c r="AT7" s="3">
        <v>0</v>
      </c>
      <c r="AU7">
        <v>0</v>
      </c>
      <c r="AV7">
        <v>0</v>
      </c>
      <c r="AW7">
        <v>0</v>
      </c>
      <c r="AX7" s="3">
        <v>0</v>
      </c>
      <c r="AY7">
        <v>0</v>
      </c>
      <c r="AZ7">
        <v>620</v>
      </c>
      <c r="BA7">
        <v>0</v>
      </c>
      <c r="BB7">
        <v>0</v>
      </c>
      <c r="BC7">
        <v>124</v>
      </c>
      <c r="BD7">
        <v>0</v>
      </c>
      <c r="BE7">
        <v>0</v>
      </c>
      <c r="BF7">
        <v>0</v>
      </c>
      <c r="BG7">
        <v>0</v>
      </c>
      <c r="BH7">
        <v>744</v>
      </c>
      <c r="BI7">
        <v>620</v>
      </c>
      <c r="BJ7" t="str">
        <f t="shared" si="12"/>
        <v>41</v>
      </c>
      <c r="BK7" t="str">
        <f t="shared" si="13"/>
        <v>VI</v>
      </c>
    </row>
    <row r="8" spans="1:63" x14ac:dyDescent="0.3">
      <c r="A8" t="str">
        <f>"202302"</f>
        <v>202302</v>
      </c>
      <c r="B8" t="str">
        <f>"VALLOUREC DRILLING"</f>
        <v>VALLOUREC DRILLING</v>
      </c>
      <c r="C8" t="str">
        <f>"16214"</f>
        <v>16214</v>
      </c>
      <c r="D8" t="str">
        <f>"35011852 POSTE 20"</f>
        <v>35011852 POSTE 20</v>
      </c>
      <c r="E8" t="str">
        <f t="shared" si="14"/>
        <v xml:space="preserve"> </v>
      </c>
      <c r="F8" s="1">
        <v>42124</v>
      </c>
      <c r="G8" t="str">
        <f t="shared" si="0"/>
        <v xml:space="preserve"> </v>
      </c>
      <c r="H8" t="str">
        <f t="shared" si="0"/>
        <v xml:space="preserve"> </v>
      </c>
      <c r="J8" s="1">
        <v>42153</v>
      </c>
      <c r="K8" t="str">
        <f t="shared" si="1"/>
        <v xml:space="preserve"> </v>
      </c>
      <c r="L8">
        <v>1350</v>
      </c>
      <c r="M8" s="2">
        <v>0</v>
      </c>
      <c r="N8" s="3">
        <v>1</v>
      </c>
      <c r="O8" t="str">
        <f t="shared" si="2"/>
        <v>EUR</v>
      </c>
      <c r="P8" s="4" t="str">
        <f>"16214"</f>
        <v>16214</v>
      </c>
      <c r="Q8" t="str">
        <f t="shared" si="3"/>
        <v>01</v>
      </c>
      <c r="R8" s="2">
        <v>1350</v>
      </c>
      <c r="S8" t="str">
        <f t="shared" si="4"/>
        <v xml:space="preserve"> </v>
      </c>
      <c r="T8" t="str">
        <f t="shared" si="4"/>
        <v xml:space="preserve"> </v>
      </c>
      <c r="U8" t="str">
        <f t="shared" si="4"/>
        <v xml:space="preserve"> </v>
      </c>
      <c r="V8" s="2">
        <v>1350</v>
      </c>
      <c r="W8" s="4">
        <v>1</v>
      </c>
      <c r="X8" t="str">
        <f>"VALLOUREC DRILLING"</f>
        <v>VALLOUREC DRILLING</v>
      </c>
      <c r="Y8" t="str">
        <f t="shared" si="5"/>
        <v>MP</v>
      </c>
      <c r="Z8" s="1">
        <v>42153</v>
      </c>
      <c r="AA8" t="str">
        <f t="shared" si="6"/>
        <v xml:space="preserve"> </v>
      </c>
      <c r="AB8" s="2">
        <v>0</v>
      </c>
      <c r="AC8" t="str">
        <f>"VALLOUREC DRILLING PRODUCTS FRANCE"</f>
        <v>VALLOUREC DRILLING PRODUCTS FRANCE</v>
      </c>
      <c r="AD8" t="str">
        <f t="shared" si="7"/>
        <v xml:space="preserve"> </v>
      </c>
      <c r="AE8" t="str">
        <f>"65000"</f>
        <v>65000</v>
      </c>
      <c r="AF8" t="str">
        <f>"TARBES"</f>
        <v>TARBES</v>
      </c>
      <c r="AG8" t="str">
        <f t="shared" si="8"/>
        <v xml:space="preserve"> </v>
      </c>
      <c r="AH8" t="str">
        <f t="shared" si="9"/>
        <v>F</v>
      </c>
      <c r="AI8" s="1">
        <v>42122</v>
      </c>
      <c r="AJ8">
        <v>0</v>
      </c>
      <c r="AL8">
        <v>0</v>
      </c>
      <c r="AN8" t="str">
        <f t="shared" si="10"/>
        <v>DEBARROS</v>
      </c>
      <c r="AO8" t="str">
        <f>"VALLOUREC DRILLING PRODUCTS FRANCE"</f>
        <v>VALLOUREC DRILLING PRODUCTS FRANCE</v>
      </c>
      <c r="AP8" t="str">
        <f t="shared" si="11"/>
        <v xml:space="preserve"> </v>
      </c>
      <c r="AQ8" s="2">
        <v>0</v>
      </c>
      <c r="AR8" s="3">
        <v>0</v>
      </c>
      <c r="AS8" s="3">
        <v>0</v>
      </c>
      <c r="AT8" s="3">
        <v>0</v>
      </c>
      <c r="AU8">
        <v>0</v>
      </c>
      <c r="AV8">
        <v>0</v>
      </c>
      <c r="AW8">
        <v>0</v>
      </c>
      <c r="AX8" s="3">
        <v>0</v>
      </c>
      <c r="AY8">
        <v>0</v>
      </c>
      <c r="AZ8">
        <v>1350</v>
      </c>
      <c r="BA8">
        <v>0</v>
      </c>
      <c r="BB8">
        <v>0</v>
      </c>
      <c r="BC8">
        <v>270</v>
      </c>
      <c r="BD8">
        <v>0</v>
      </c>
      <c r="BE8">
        <v>0</v>
      </c>
      <c r="BF8">
        <v>0</v>
      </c>
      <c r="BG8">
        <v>0</v>
      </c>
      <c r="BH8">
        <v>1620</v>
      </c>
      <c r="BI8">
        <v>1350</v>
      </c>
      <c r="BJ8" t="str">
        <f t="shared" si="12"/>
        <v>41</v>
      </c>
      <c r="BK8" t="str">
        <f t="shared" si="13"/>
        <v>VI</v>
      </c>
    </row>
    <row r="9" spans="1:63" x14ac:dyDescent="0.3">
      <c r="A9" t="str">
        <f>"101000"</f>
        <v>101000</v>
      </c>
      <c r="B9" t="str">
        <f>"AIRBUS"</f>
        <v>AIRBUS</v>
      </c>
      <c r="C9" t="str">
        <f>"16213"</f>
        <v>16213</v>
      </c>
      <c r="D9" t="str">
        <f>"4572049952"</f>
        <v>4572049952</v>
      </c>
      <c r="E9" t="str">
        <f t="shared" si="14"/>
        <v xml:space="preserve"> </v>
      </c>
      <c r="F9" s="1">
        <v>42123</v>
      </c>
      <c r="G9" t="str">
        <f t="shared" si="0"/>
        <v xml:space="preserve"> </v>
      </c>
      <c r="H9" t="str">
        <f t="shared" si="0"/>
        <v xml:space="preserve"> </v>
      </c>
      <c r="J9" s="1">
        <v>42151</v>
      </c>
      <c r="K9" t="str">
        <f t="shared" si="1"/>
        <v xml:space="preserve"> </v>
      </c>
      <c r="L9">
        <v>1950</v>
      </c>
      <c r="M9" s="2">
        <v>0</v>
      </c>
      <c r="N9" s="3">
        <v>1</v>
      </c>
      <c r="O9" t="str">
        <f t="shared" si="2"/>
        <v>EUR</v>
      </c>
      <c r="P9" s="4" t="str">
        <f>"16213"</f>
        <v>16213</v>
      </c>
      <c r="Q9" t="str">
        <f t="shared" si="3"/>
        <v>01</v>
      </c>
      <c r="R9" s="2">
        <v>1950</v>
      </c>
      <c r="S9" t="str">
        <f t="shared" si="4"/>
        <v xml:space="preserve"> </v>
      </c>
      <c r="T9" t="str">
        <f t="shared" si="4"/>
        <v xml:space="preserve"> </v>
      </c>
      <c r="U9" t="str">
        <f t="shared" si="4"/>
        <v xml:space="preserve"> </v>
      </c>
      <c r="V9" s="2">
        <v>1950</v>
      </c>
      <c r="W9" s="4">
        <v>1</v>
      </c>
      <c r="X9" t="str">
        <f>"AIRBUS"</f>
        <v>AIRBUS</v>
      </c>
      <c r="Y9" t="str">
        <f t="shared" si="5"/>
        <v>MP</v>
      </c>
      <c r="Z9" s="1">
        <v>42151</v>
      </c>
      <c r="AA9" t="str">
        <f t="shared" si="6"/>
        <v xml:space="preserve"> </v>
      </c>
      <c r="AB9" s="2">
        <v>0</v>
      </c>
      <c r="AC9" t="str">
        <f>"Airbus D &amp; S "</f>
        <v xml:space="preserve">Airbus D &amp; S </v>
      </c>
      <c r="AD9" t="str">
        <f t="shared" si="7"/>
        <v xml:space="preserve"> </v>
      </c>
      <c r="AE9" t="str">
        <f>"33165"</f>
        <v>33165</v>
      </c>
      <c r="AF9" t="str">
        <f>"SAINT MEDARD EN JALLES"</f>
        <v>SAINT MEDARD EN JALLES</v>
      </c>
      <c r="AG9" t="str">
        <f t="shared" si="8"/>
        <v xml:space="preserve"> </v>
      </c>
      <c r="AH9" t="str">
        <f t="shared" si="9"/>
        <v>F</v>
      </c>
      <c r="AI9" s="1">
        <v>42128</v>
      </c>
      <c r="AJ9">
        <v>0</v>
      </c>
      <c r="AL9">
        <v>0</v>
      </c>
      <c r="AN9" t="str">
        <f t="shared" si="10"/>
        <v>DEBARROS</v>
      </c>
      <c r="AO9" t="str">
        <f>"Airbus D &amp; S"</f>
        <v>Airbus D &amp; S</v>
      </c>
      <c r="AP9" t="str">
        <f t="shared" si="11"/>
        <v xml:space="preserve"> </v>
      </c>
      <c r="AQ9" s="2">
        <v>0</v>
      </c>
      <c r="AR9" s="3">
        <v>0</v>
      </c>
      <c r="AS9" s="3">
        <v>0</v>
      </c>
      <c r="AT9" s="3">
        <v>0</v>
      </c>
      <c r="AU9">
        <v>0</v>
      </c>
      <c r="AV9">
        <v>0</v>
      </c>
      <c r="AW9">
        <v>0</v>
      </c>
      <c r="AX9" s="3">
        <v>0</v>
      </c>
      <c r="AY9">
        <v>0</v>
      </c>
      <c r="AZ9">
        <v>1950</v>
      </c>
      <c r="BA9">
        <v>0</v>
      </c>
      <c r="BB9">
        <v>0</v>
      </c>
      <c r="BC9">
        <v>390</v>
      </c>
      <c r="BD9">
        <v>0</v>
      </c>
      <c r="BE9">
        <v>0</v>
      </c>
      <c r="BF9">
        <v>0</v>
      </c>
      <c r="BG9">
        <v>0</v>
      </c>
      <c r="BH9">
        <v>2340</v>
      </c>
      <c r="BI9">
        <v>1950</v>
      </c>
      <c r="BJ9" t="str">
        <f t="shared" si="12"/>
        <v>41</v>
      </c>
      <c r="BK9" t="str">
        <f t="shared" si="13"/>
        <v>VI</v>
      </c>
    </row>
    <row r="10" spans="1:63" x14ac:dyDescent="0.3">
      <c r="A10" t="str">
        <f>"101000"</f>
        <v>101000</v>
      </c>
      <c r="B10" t="str">
        <f>"AIRBUS"</f>
        <v>AIRBUS</v>
      </c>
      <c r="C10" t="str">
        <f>"16212"</f>
        <v>16212</v>
      </c>
      <c r="D10" t="str">
        <f>"4572049952"</f>
        <v>4572049952</v>
      </c>
      <c r="E10" t="str">
        <f t="shared" si="14"/>
        <v xml:space="preserve"> </v>
      </c>
      <c r="F10" s="1">
        <v>42123</v>
      </c>
      <c r="G10" t="str">
        <f t="shared" si="0"/>
        <v xml:space="preserve"> </v>
      </c>
      <c r="H10" t="str">
        <f t="shared" si="0"/>
        <v xml:space="preserve"> </v>
      </c>
      <c r="J10" s="1">
        <v>42151</v>
      </c>
      <c r="K10" t="str">
        <f t="shared" si="1"/>
        <v xml:space="preserve"> </v>
      </c>
      <c r="L10">
        <v>1950</v>
      </c>
      <c r="M10" s="2">
        <v>0</v>
      </c>
      <c r="N10" s="3">
        <v>1</v>
      </c>
      <c r="O10" t="str">
        <f t="shared" si="2"/>
        <v>EUR</v>
      </c>
      <c r="P10" s="4" t="str">
        <f>"16212"</f>
        <v>16212</v>
      </c>
      <c r="Q10" t="str">
        <f t="shared" si="3"/>
        <v>01</v>
      </c>
      <c r="R10" s="2">
        <v>1950</v>
      </c>
      <c r="S10" t="str">
        <f t="shared" si="4"/>
        <v xml:space="preserve"> </v>
      </c>
      <c r="T10" t="str">
        <f t="shared" si="4"/>
        <v xml:space="preserve"> </v>
      </c>
      <c r="U10" t="str">
        <f t="shared" si="4"/>
        <v xml:space="preserve"> </v>
      </c>
      <c r="V10" s="2">
        <v>1950</v>
      </c>
      <c r="W10" s="4">
        <v>1</v>
      </c>
      <c r="X10" t="str">
        <f>"AIRBUS"</f>
        <v>AIRBUS</v>
      </c>
      <c r="Y10" t="str">
        <f t="shared" si="5"/>
        <v>MP</v>
      </c>
      <c r="Z10" s="1">
        <v>42151</v>
      </c>
      <c r="AA10" t="str">
        <f t="shared" si="6"/>
        <v xml:space="preserve"> </v>
      </c>
      <c r="AB10" s="2">
        <v>0</v>
      </c>
      <c r="AC10" t="str">
        <f>"Airbus D &amp; S "</f>
        <v xml:space="preserve">Airbus D &amp; S </v>
      </c>
      <c r="AD10" t="str">
        <f t="shared" si="7"/>
        <v xml:space="preserve"> </v>
      </c>
      <c r="AE10" t="str">
        <f>"33165"</f>
        <v>33165</v>
      </c>
      <c r="AF10" t="str">
        <f>"SAINT MEDARD EN JALLES"</f>
        <v>SAINT MEDARD EN JALLES</v>
      </c>
      <c r="AG10" t="str">
        <f t="shared" si="8"/>
        <v xml:space="preserve"> </v>
      </c>
      <c r="AH10" t="str">
        <f t="shared" si="9"/>
        <v>F</v>
      </c>
      <c r="AI10" s="1">
        <v>42128</v>
      </c>
      <c r="AJ10">
        <v>0</v>
      </c>
      <c r="AL10">
        <v>0</v>
      </c>
      <c r="AN10" t="str">
        <f t="shared" si="10"/>
        <v>DEBARROS</v>
      </c>
      <c r="AO10" t="str">
        <f>"Airbus D &amp; S"</f>
        <v>Airbus D &amp; S</v>
      </c>
      <c r="AP10" t="str">
        <f t="shared" si="11"/>
        <v xml:space="preserve"> </v>
      </c>
      <c r="AQ10" s="2">
        <v>0</v>
      </c>
      <c r="AR10" s="3">
        <v>0</v>
      </c>
      <c r="AS10" s="3">
        <v>0</v>
      </c>
      <c r="AT10" s="3">
        <v>0</v>
      </c>
      <c r="AU10">
        <v>0</v>
      </c>
      <c r="AV10">
        <v>0</v>
      </c>
      <c r="AW10">
        <v>0</v>
      </c>
      <c r="AX10" s="3">
        <v>0</v>
      </c>
      <c r="AY10">
        <v>0</v>
      </c>
      <c r="AZ10">
        <v>1950</v>
      </c>
      <c r="BA10">
        <v>0</v>
      </c>
      <c r="BB10">
        <v>0</v>
      </c>
      <c r="BC10">
        <v>390</v>
      </c>
      <c r="BD10">
        <v>0</v>
      </c>
      <c r="BE10">
        <v>0</v>
      </c>
      <c r="BF10">
        <v>0</v>
      </c>
      <c r="BG10">
        <v>0</v>
      </c>
      <c r="BH10">
        <v>2340</v>
      </c>
      <c r="BI10">
        <v>1950</v>
      </c>
      <c r="BJ10" t="str">
        <f t="shared" si="12"/>
        <v>41</v>
      </c>
      <c r="BK10" t="str">
        <f t="shared" si="13"/>
        <v>VI</v>
      </c>
    </row>
    <row r="11" spans="1:63" x14ac:dyDescent="0.3">
      <c r="A11" t="str">
        <f>"101000"</f>
        <v>101000</v>
      </c>
      <c r="B11" t="str">
        <f>"AIRBUS"</f>
        <v>AIRBUS</v>
      </c>
      <c r="C11" t="str">
        <f>"16211"</f>
        <v>16211</v>
      </c>
      <c r="D11" t="str">
        <f>"4572049952"</f>
        <v>4572049952</v>
      </c>
      <c r="E11" t="str">
        <f t="shared" si="14"/>
        <v xml:space="preserve"> </v>
      </c>
      <c r="F11" s="1">
        <v>42123</v>
      </c>
      <c r="G11" t="str">
        <f t="shared" si="0"/>
        <v xml:space="preserve"> </v>
      </c>
      <c r="H11" t="str">
        <f t="shared" si="0"/>
        <v xml:space="preserve"> </v>
      </c>
      <c r="J11" s="1">
        <v>42151</v>
      </c>
      <c r="K11" t="str">
        <f t="shared" si="1"/>
        <v xml:space="preserve"> </v>
      </c>
      <c r="L11">
        <v>1950</v>
      </c>
      <c r="M11" s="2">
        <v>0</v>
      </c>
      <c r="N11" s="3">
        <v>1</v>
      </c>
      <c r="O11" t="str">
        <f t="shared" si="2"/>
        <v>EUR</v>
      </c>
      <c r="P11" s="4" t="str">
        <f>"16211"</f>
        <v>16211</v>
      </c>
      <c r="Q11" t="str">
        <f t="shared" si="3"/>
        <v>01</v>
      </c>
      <c r="R11" s="2">
        <v>1950</v>
      </c>
      <c r="S11" t="str">
        <f t="shared" si="4"/>
        <v xml:space="preserve"> </v>
      </c>
      <c r="T11" t="str">
        <f t="shared" si="4"/>
        <v xml:space="preserve"> </v>
      </c>
      <c r="U11" t="str">
        <f t="shared" si="4"/>
        <v xml:space="preserve"> </v>
      </c>
      <c r="V11" s="2">
        <v>1950</v>
      </c>
      <c r="W11" s="4">
        <v>1</v>
      </c>
      <c r="X11" t="str">
        <f>"AIRBUS"</f>
        <v>AIRBUS</v>
      </c>
      <c r="Y11" t="str">
        <f t="shared" si="5"/>
        <v>MP</v>
      </c>
      <c r="Z11" s="1">
        <v>42151</v>
      </c>
      <c r="AA11" t="str">
        <f t="shared" si="6"/>
        <v xml:space="preserve"> </v>
      </c>
      <c r="AB11" s="2">
        <v>0</v>
      </c>
      <c r="AC11" t="str">
        <f>"Airbus D &amp; S "</f>
        <v xml:space="preserve">Airbus D &amp; S </v>
      </c>
      <c r="AD11" t="str">
        <f t="shared" si="7"/>
        <v xml:space="preserve"> </v>
      </c>
      <c r="AE11" t="str">
        <f>"33165"</f>
        <v>33165</v>
      </c>
      <c r="AF11" t="str">
        <f>"SAINT MEDARD EN JALLES"</f>
        <v>SAINT MEDARD EN JALLES</v>
      </c>
      <c r="AG11" t="str">
        <f t="shared" si="8"/>
        <v xml:space="preserve"> </v>
      </c>
      <c r="AH11" t="str">
        <f t="shared" si="9"/>
        <v>F</v>
      </c>
      <c r="AI11" s="1">
        <v>42128</v>
      </c>
      <c r="AJ11">
        <v>0</v>
      </c>
      <c r="AL11">
        <v>0</v>
      </c>
      <c r="AN11" t="str">
        <f t="shared" si="10"/>
        <v>DEBARROS</v>
      </c>
      <c r="AO11" t="str">
        <f>"Airbus D &amp; S"</f>
        <v>Airbus D &amp; S</v>
      </c>
      <c r="AP11" t="str">
        <f t="shared" si="11"/>
        <v xml:space="preserve"> </v>
      </c>
      <c r="AQ11" s="2">
        <v>0</v>
      </c>
      <c r="AR11" s="3">
        <v>0</v>
      </c>
      <c r="AS11" s="3">
        <v>0</v>
      </c>
      <c r="AT11" s="3">
        <v>0</v>
      </c>
      <c r="AU11">
        <v>0</v>
      </c>
      <c r="AV11">
        <v>0</v>
      </c>
      <c r="AW11">
        <v>0</v>
      </c>
      <c r="AX11" s="3">
        <v>0</v>
      </c>
      <c r="AY11">
        <v>0</v>
      </c>
      <c r="AZ11">
        <v>1950</v>
      </c>
      <c r="BA11">
        <v>0</v>
      </c>
      <c r="BB11">
        <v>0</v>
      </c>
      <c r="BC11">
        <v>390</v>
      </c>
      <c r="BD11">
        <v>0</v>
      </c>
      <c r="BE11">
        <v>0</v>
      </c>
      <c r="BF11">
        <v>0</v>
      </c>
      <c r="BG11">
        <v>0</v>
      </c>
      <c r="BH11">
        <v>2340</v>
      </c>
      <c r="BI11">
        <v>1950</v>
      </c>
      <c r="BJ11" t="str">
        <f t="shared" si="12"/>
        <v>41</v>
      </c>
      <c r="BK11" t="str">
        <f t="shared" si="13"/>
        <v>VI</v>
      </c>
    </row>
    <row r="12" spans="1:63" x14ac:dyDescent="0.3">
      <c r="A12" t="str">
        <f>"101000"</f>
        <v>101000</v>
      </c>
      <c r="B12" t="str">
        <f>"AIRBUS"</f>
        <v>AIRBUS</v>
      </c>
      <c r="C12" t="str">
        <f>"16210"</f>
        <v>16210</v>
      </c>
      <c r="D12" t="str">
        <f>"4572049952"</f>
        <v>4572049952</v>
      </c>
      <c r="E12" t="str">
        <f t="shared" si="14"/>
        <v xml:space="preserve"> </v>
      </c>
      <c r="F12" s="1">
        <v>42123</v>
      </c>
      <c r="G12" t="str">
        <f t="shared" si="0"/>
        <v xml:space="preserve"> </v>
      </c>
      <c r="H12" t="str">
        <f t="shared" si="0"/>
        <v xml:space="preserve"> </v>
      </c>
      <c r="J12" s="1">
        <v>42151</v>
      </c>
      <c r="K12" t="str">
        <f t="shared" si="1"/>
        <v xml:space="preserve"> </v>
      </c>
      <c r="L12">
        <v>1950</v>
      </c>
      <c r="M12" s="2">
        <v>0</v>
      </c>
      <c r="N12" s="3">
        <v>1</v>
      </c>
      <c r="O12" t="str">
        <f t="shared" si="2"/>
        <v>EUR</v>
      </c>
      <c r="P12" s="4" t="str">
        <f>"16210"</f>
        <v>16210</v>
      </c>
      <c r="Q12" t="str">
        <f t="shared" si="3"/>
        <v>01</v>
      </c>
      <c r="R12" s="2">
        <v>1950</v>
      </c>
      <c r="S12" t="str">
        <f t="shared" si="4"/>
        <v xml:space="preserve"> </v>
      </c>
      <c r="T12" t="str">
        <f t="shared" si="4"/>
        <v xml:space="preserve"> </v>
      </c>
      <c r="U12" t="str">
        <f t="shared" si="4"/>
        <v xml:space="preserve"> </v>
      </c>
      <c r="V12" s="2">
        <v>1950</v>
      </c>
      <c r="W12" s="4">
        <v>1</v>
      </c>
      <c r="X12" t="str">
        <f>"AIRBUS"</f>
        <v>AIRBUS</v>
      </c>
      <c r="Y12" t="str">
        <f t="shared" si="5"/>
        <v>MP</v>
      </c>
      <c r="Z12" s="1">
        <v>42151</v>
      </c>
      <c r="AA12" t="str">
        <f t="shared" si="6"/>
        <v xml:space="preserve"> </v>
      </c>
      <c r="AB12" s="2">
        <v>0</v>
      </c>
      <c r="AC12" t="str">
        <f>"Airbus D &amp; S "</f>
        <v xml:space="preserve">Airbus D &amp; S </v>
      </c>
      <c r="AD12" t="str">
        <f t="shared" si="7"/>
        <v xml:space="preserve"> </v>
      </c>
      <c r="AE12" t="str">
        <f>"33165"</f>
        <v>33165</v>
      </c>
      <c r="AF12" t="str">
        <f>"SAINT MEDARD EN JALLES"</f>
        <v>SAINT MEDARD EN JALLES</v>
      </c>
      <c r="AG12" t="str">
        <f t="shared" si="8"/>
        <v xml:space="preserve"> </v>
      </c>
      <c r="AH12" t="str">
        <f t="shared" si="9"/>
        <v>F</v>
      </c>
      <c r="AI12" s="1">
        <v>42128</v>
      </c>
      <c r="AJ12">
        <v>0</v>
      </c>
      <c r="AL12">
        <v>0</v>
      </c>
      <c r="AN12" t="str">
        <f t="shared" si="10"/>
        <v>DEBARROS</v>
      </c>
      <c r="AO12" t="str">
        <f>"Airbus D &amp; S"</f>
        <v>Airbus D &amp; S</v>
      </c>
      <c r="AP12" t="str">
        <f t="shared" si="11"/>
        <v xml:space="preserve"> </v>
      </c>
      <c r="AQ12" s="2">
        <v>0</v>
      </c>
      <c r="AR12" s="3">
        <v>0</v>
      </c>
      <c r="AS12" s="3">
        <v>0</v>
      </c>
      <c r="AT12" s="3">
        <v>0</v>
      </c>
      <c r="AU12">
        <v>0</v>
      </c>
      <c r="AV12">
        <v>0</v>
      </c>
      <c r="AW12">
        <v>0</v>
      </c>
      <c r="AX12" s="3">
        <v>0</v>
      </c>
      <c r="AY12">
        <v>0</v>
      </c>
      <c r="AZ12">
        <v>1950</v>
      </c>
      <c r="BA12">
        <v>0</v>
      </c>
      <c r="BB12">
        <v>0</v>
      </c>
      <c r="BC12">
        <v>390</v>
      </c>
      <c r="BD12">
        <v>0</v>
      </c>
      <c r="BE12">
        <v>0</v>
      </c>
      <c r="BF12">
        <v>0</v>
      </c>
      <c r="BG12">
        <v>0</v>
      </c>
      <c r="BH12">
        <v>2340</v>
      </c>
      <c r="BI12">
        <v>1950</v>
      </c>
      <c r="BJ12" t="str">
        <f t="shared" si="12"/>
        <v>41</v>
      </c>
      <c r="BK12" t="str">
        <f t="shared" si="13"/>
        <v>VI</v>
      </c>
    </row>
    <row r="13" spans="1:63" x14ac:dyDescent="0.3">
      <c r="A13" t="str">
        <f>"202302"</f>
        <v>202302</v>
      </c>
      <c r="B13" t="str">
        <f>"VALLOUREC DRILLING"</f>
        <v>VALLOUREC DRILLING</v>
      </c>
      <c r="C13" t="str">
        <f>"16209"</f>
        <v>16209</v>
      </c>
      <c r="D13" t="str">
        <f>"35011786 POSTE 10"</f>
        <v>35011786 POSTE 10</v>
      </c>
      <c r="E13" t="str">
        <f t="shared" si="14"/>
        <v xml:space="preserve"> </v>
      </c>
      <c r="F13" s="1">
        <v>42122</v>
      </c>
      <c r="G13" t="str">
        <f t="shared" si="0"/>
        <v xml:space="preserve"> </v>
      </c>
      <c r="H13" t="str">
        <f t="shared" si="0"/>
        <v xml:space="preserve"> </v>
      </c>
      <c r="J13" s="1">
        <v>42160</v>
      </c>
      <c r="K13" t="str">
        <f t="shared" si="1"/>
        <v xml:space="preserve"> </v>
      </c>
      <c r="L13">
        <v>680</v>
      </c>
      <c r="M13" s="2">
        <v>0</v>
      </c>
      <c r="N13" s="3">
        <v>1</v>
      </c>
      <c r="O13" t="str">
        <f t="shared" si="2"/>
        <v>EUR</v>
      </c>
      <c r="P13" s="4" t="str">
        <f>"16209"</f>
        <v>16209</v>
      </c>
      <c r="Q13" t="str">
        <f t="shared" si="3"/>
        <v>01</v>
      </c>
      <c r="R13" s="2">
        <v>680</v>
      </c>
      <c r="S13" t="str">
        <f t="shared" si="4"/>
        <v xml:space="preserve"> </v>
      </c>
      <c r="T13" t="str">
        <f t="shared" si="4"/>
        <v xml:space="preserve"> </v>
      </c>
      <c r="U13" t="str">
        <f t="shared" si="4"/>
        <v xml:space="preserve"> </v>
      </c>
      <c r="V13" s="2">
        <v>680</v>
      </c>
      <c r="W13" s="4">
        <v>1</v>
      </c>
      <c r="X13" t="str">
        <f>"VALLOUREC DRILLING"</f>
        <v>VALLOUREC DRILLING</v>
      </c>
      <c r="Y13" t="str">
        <f t="shared" si="5"/>
        <v>MP</v>
      </c>
      <c r="Z13" s="1">
        <v>42160</v>
      </c>
      <c r="AA13" t="str">
        <f t="shared" si="6"/>
        <v xml:space="preserve"> </v>
      </c>
      <c r="AB13" s="2">
        <v>0</v>
      </c>
      <c r="AC13" t="str">
        <f>"VALLOUREC DRILLING PRODUCTS FRANCE"</f>
        <v>VALLOUREC DRILLING PRODUCTS FRANCE</v>
      </c>
      <c r="AD13" t="str">
        <f t="shared" si="7"/>
        <v xml:space="preserve"> </v>
      </c>
      <c r="AE13" t="str">
        <f>"65000"</f>
        <v>65000</v>
      </c>
      <c r="AF13" t="str">
        <f>"TARBES"</f>
        <v>TARBES</v>
      </c>
      <c r="AG13" t="str">
        <f t="shared" si="8"/>
        <v xml:space="preserve"> </v>
      </c>
      <c r="AH13" t="str">
        <f t="shared" si="9"/>
        <v>F</v>
      </c>
      <c r="AI13" s="1">
        <v>42115</v>
      </c>
      <c r="AJ13">
        <v>0</v>
      </c>
      <c r="AL13">
        <v>0</v>
      </c>
      <c r="AN13" t="str">
        <f t="shared" si="10"/>
        <v>DEBARROS</v>
      </c>
      <c r="AO13" t="str">
        <f>"VALLOUREC DRILLING PRODUCTS FRANCE"</f>
        <v>VALLOUREC DRILLING PRODUCTS FRANCE</v>
      </c>
      <c r="AP13" t="str">
        <f t="shared" si="11"/>
        <v xml:space="preserve"> </v>
      </c>
      <c r="AQ13" s="2">
        <v>0</v>
      </c>
      <c r="AR13" s="3">
        <v>0</v>
      </c>
      <c r="AS13" s="3">
        <v>0</v>
      </c>
      <c r="AT13" s="3">
        <v>0</v>
      </c>
      <c r="AU13">
        <v>0</v>
      </c>
      <c r="AV13">
        <v>0</v>
      </c>
      <c r="AW13">
        <v>0</v>
      </c>
      <c r="AX13" s="3">
        <v>0</v>
      </c>
      <c r="AY13">
        <v>0</v>
      </c>
      <c r="AZ13">
        <v>680</v>
      </c>
      <c r="BA13">
        <v>0</v>
      </c>
      <c r="BB13">
        <v>0</v>
      </c>
      <c r="BC13">
        <v>136</v>
      </c>
      <c r="BD13">
        <v>0</v>
      </c>
      <c r="BE13">
        <v>0</v>
      </c>
      <c r="BF13">
        <v>0</v>
      </c>
      <c r="BG13">
        <v>0</v>
      </c>
      <c r="BH13">
        <v>816</v>
      </c>
      <c r="BI13">
        <v>680</v>
      </c>
      <c r="BJ13" t="str">
        <f t="shared" si="12"/>
        <v>41</v>
      </c>
      <c r="BK13" t="str">
        <f t="shared" si="13"/>
        <v>VI</v>
      </c>
    </row>
    <row r="14" spans="1:63" x14ac:dyDescent="0.3">
      <c r="A14" t="str">
        <f>"202302"</f>
        <v>202302</v>
      </c>
      <c r="B14" t="str">
        <f>"VALLOUREC DRILLING"</f>
        <v>VALLOUREC DRILLING</v>
      </c>
      <c r="C14" t="str">
        <f>"16208"</f>
        <v>16208</v>
      </c>
      <c r="D14" t="str">
        <f>"35011786 poste 20"</f>
        <v>35011786 poste 20</v>
      </c>
      <c r="E14" t="str">
        <f t="shared" si="14"/>
        <v xml:space="preserve"> </v>
      </c>
      <c r="F14" s="1">
        <v>42122</v>
      </c>
      <c r="G14" t="str">
        <f t="shared" si="0"/>
        <v xml:space="preserve"> </v>
      </c>
      <c r="H14" t="str">
        <f t="shared" si="0"/>
        <v xml:space="preserve"> </v>
      </c>
      <c r="J14" s="1">
        <v>42153</v>
      </c>
      <c r="K14" t="str">
        <f t="shared" si="1"/>
        <v xml:space="preserve"> </v>
      </c>
      <c r="L14">
        <v>2440</v>
      </c>
      <c r="M14" s="2">
        <v>0</v>
      </c>
      <c r="N14" s="3">
        <v>1</v>
      </c>
      <c r="O14" t="str">
        <f t="shared" si="2"/>
        <v>EUR</v>
      </c>
      <c r="P14" s="4" t="str">
        <f>"16208"</f>
        <v>16208</v>
      </c>
      <c r="Q14" t="str">
        <f t="shared" si="3"/>
        <v>01</v>
      </c>
      <c r="R14" s="2">
        <v>2440</v>
      </c>
      <c r="S14" t="str">
        <f t="shared" si="4"/>
        <v xml:space="preserve"> </v>
      </c>
      <c r="T14" t="str">
        <f t="shared" si="4"/>
        <v xml:space="preserve"> </v>
      </c>
      <c r="U14" t="str">
        <f t="shared" si="4"/>
        <v xml:space="preserve"> </v>
      </c>
      <c r="V14" s="2">
        <v>2440</v>
      </c>
      <c r="W14" s="4">
        <v>1</v>
      </c>
      <c r="X14" t="str">
        <f>"VALLOUREC DRILLING"</f>
        <v>VALLOUREC DRILLING</v>
      </c>
      <c r="Y14" t="str">
        <f t="shared" si="5"/>
        <v>MP</v>
      </c>
      <c r="Z14" s="1">
        <v>42153</v>
      </c>
      <c r="AA14" t="str">
        <f t="shared" si="6"/>
        <v xml:space="preserve"> </v>
      </c>
      <c r="AB14" s="2">
        <v>0</v>
      </c>
      <c r="AC14" t="str">
        <f>"VALLOUREC DRILLING PRODUCTS FRANCE"</f>
        <v>VALLOUREC DRILLING PRODUCTS FRANCE</v>
      </c>
      <c r="AD14" t="str">
        <f t="shared" si="7"/>
        <v xml:space="preserve"> </v>
      </c>
      <c r="AE14" t="str">
        <f>"65000"</f>
        <v>65000</v>
      </c>
      <c r="AF14" t="str">
        <f>"TARBES"</f>
        <v>TARBES</v>
      </c>
      <c r="AG14" t="str">
        <f t="shared" si="8"/>
        <v xml:space="preserve"> </v>
      </c>
      <c r="AH14" t="str">
        <f t="shared" si="9"/>
        <v>F</v>
      </c>
      <c r="AI14" s="1">
        <v>42115</v>
      </c>
      <c r="AJ14">
        <v>0</v>
      </c>
      <c r="AL14">
        <v>0</v>
      </c>
      <c r="AN14" t="str">
        <f t="shared" si="10"/>
        <v>DEBARROS</v>
      </c>
      <c r="AO14" t="str">
        <f>"VALLOUREC DRILLING PRODUCTS FRANCE"</f>
        <v>VALLOUREC DRILLING PRODUCTS FRANCE</v>
      </c>
      <c r="AP14" t="str">
        <f t="shared" si="11"/>
        <v xml:space="preserve"> </v>
      </c>
      <c r="AQ14" s="2">
        <v>0</v>
      </c>
      <c r="AR14" s="3">
        <v>0</v>
      </c>
      <c r="AS14" s="3">
        <v>0</v>
      </c>
      <c r="AT14" s="3">
        <v>0</v>
      </c>
      <c r="AU14">
        <v>0</v>
      </c>
      <c r="AV14">
        <v>0</v>
      </c>
      <c r="AW14">
        <v>0</v>
      </c>
      <c r="AX14" s="3">
        <v>0</v>
      </c>
      <c r="AY14">
        <v>0</v>
      </c>
      <c r="AZ14">
        <v>2440</v>
      </c>
      <c r="BA14">
        <v>0</v>
      </c>
      <c r="BB14">
        <v>0</v>
      </c>
      <c r="BC14">
        <v>488</v>
      </c>
      <c r="BD14">
        <v>0</v>
      </c>
      <c r="BE14">
        <v>0</v>
      </c>
      <c r="BF14">
        <v>0</v>
      </c>
      <c r="BG14">
        <v>0</v>
      </c>
      <c r="BH14">
        <v>2928</v>
      </c>
      <c r="BI14">
        <v>2440</v>
      </c>
      <c r="BJ14" t="str">
        <f t="shared" si="12"/>
        <v>41</v>
      </c>
      <c r="BK14" t="str">
        <f t="shared" si="13"/>
        <v>VI</v>
      </c>
    </row>
    <row r="15" spans="1:63" x14ac:dyDescent="0.3">
      <c r="A15" t="str">
        <f>"165300"</f>
        <v>165300</v>
      </c>
      <c r="B15" t="str">
        <f>"METAREG"</f>
        <v>METAREG</v>
      </c>
      <c r="C15" t="str">
        <f>"16207"</f>
        <v>16207</v>
      </c>
      <c r="D15" t="str">
        <f>" "</f>
        <v xml:space="preserve"> </v>
      </c>
      <c r="E15" t="str">
        <f t="shared" si="14"/>
        <v xml:space="preserve"> </v>
      </c>
      <c r="F15" s="1">
        <v>42122</v>
      </c>
      <c r="G15" t="str">
        <f>"LT"</f>
        <v>LT</v>
      </c>
      <c r="H15" t="str">
        <f>" "</f>
        <v xml:space="preserve"> </v>
      </c>
      <c r="I15" s="5">
        <v>42124</v>
      </c>
      <c r="J15" s="1">
        <v>42124</v>
      </c>
      <c r="K15" t="str">
        <f t="shared" si="1"/>
        <v xml:space="preserve"> </v>
      </c>
      <c r="L15">
        <v>0</v>
      </c>
      <c r="M15" s="2">
        <v>0</v>
      </c>
      <c r="O15" t="str">
        <f t="shared" si="2"/>
        <v>EUR</v>
      </c>
      <c r="P15" s="4" t="str">
        <f>"16207"</f>
        <v>16207</v>
      </c>
      <c r="Q15" t="str">
        <f t="shared" si="3"/>
        <v>01</v>
      </c>
      <c r="R15" s="2">
        <v>0</v>
      </c>
      <c r="S15" t="str">
        <f t="shared" si="4"/>
        <v xml:space="preserve"> </v>
      </c>
      <c r="T15" t="str">
        <f t="shared" si="4"/>
        <v xml:space="preserve"> </v>
      </c>
      <c r="U15" t="str">
        <f t="shared" si="4"/>
        <v xml:space="preserve"> </v>
      </c>
      <c r="W15" s="4">
        <v>1</v>
      </c>
      <c r="X15" t="str">
        <f>"METAREG"</f>
        <v>METAREG</v>
      </c>
      <c r="Y15" t="str">
        <f t="shared" si="5"/>
        <v>MP</v>
      </c>
      <c r="Z15" s="1">
        <v>42124</v>
      </c>
      <c r="AA15" t="str">
        <f t="shared" si="6"/>
        <v xml:space="preserve"> </v>
      </c>
      <c r="AB15" s="2">
        <v>0</v>
      </c>
      <c r="AC15" t="str">
        <f>"EIFFAGE CONTRUCTION METALLIQUE"</f>
        <v>EIFFAGE CONTRUCTION METALLIQUE</v>
      </c>
      <c r="AD15" t="str">
        <f t="shared" si="7"/>
        <v xml:space="preserve"> </v>
      </c>
      <c r="AE15" t="str">
        <f>"33600"</f>
        <v>33600</v>
      </c>
      <c r="AF15" t="str">
        <f>"PESSAC"</f>
        <v>PESSAC</v>
      </c>
      <c r="AG15" t="str">
        <f t="shared" si="8"/>
        <v xml:space="preserve"> </v>
      </c>
      <c r="AH15" t="str">
        <f t="shared" si="9"/>
        <v>F</v>
      </c>
      <c r="AJ15">
        <v>0</v>
      </c>
      <c r="AL15">
        <v>0</v>
      </c>
      <c r="AN15" t="str">
        <f t="shared" si="10"/>
        <v>DEBARROS</v>
      </c>
      <c r="AO15" t="str">
        <f>"EIFFAGE CONSTRUCTION METALLIQUE"</f>
        <v>EIFFAGE CONSTRUCTION METALLIQUE</v>
      </c>
      <c r="AP15" t="str">
        <f t="shared" si="11"/>
        <v xml:space="preserve"> </v>
      </c>
      <c r="AQ15" s="2">
        <v>0</v>
      </c>
      <c r="AR15" s="3">
        <v>0</v>
      </c>
      <c r="AS15" s="3">
        <v>0</v>
      </c>
      <c r="AT15" s="3">
        <v>0</v>
      </c>
      <c r="AU15">
        <v>0</v>
      </c>
      <c r="AV15">
        <v>0</v>
      </c>
      <c r="AW15">
        <v>0</v>
      </c>
      <c r="AX15" s="3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 t="str">
        <f t="shared" si="12"/>
        <v>41</v>
      </c>
      <c r="BK15" t="str">
        <f t="shared" si="13"/>
        <v>VI</v>
      </c>
    </row>
    <row r="16" spans="1:63" x14ac:dyDescent="0.3">
      <c r="A16" t="str">
        <f>"103700"</f>
        <v>103700</v>
      </c>
      <c r="B16" t="str">
        <f>"ASE"</f>
        <v>ASE</v>
      </c>
      <c r="C16" t="str">
        <f>"16206"</f>
        <v>16206</v>
      </c>
      <c r="D16" t="str">
        <f>"A014620"</f>
        <v>A014620</v>
      </c>
      <c r="E16" t="str">
        <f t="shared" si="14"/>
        <v xml:space="preserve"> </v>
      </c>
      <c r="F16" s="1">
        <v>42122</v>
      </c>
      <c r="G16" t="str">
        <f>"LT"</f>
        <v>LT</v>
      </c>
      <c r="H16" t="str">
        <f>"FT"</f>
        <v>FT</v>
      </c>
      <c r="I16" s="5">
        <v>42124</v>
      </c>
      <c r="J16" s="1">
        <v>42123</v>
      </c>
      <c r="K16" t="str">
        <f t="shared" si="1"/>
        <v xml:space="preserve"> </v>
      </c>
      <c r="L16">
        <v>500</v>
      </c>
      <c r="M16" s="2">
        <v>0</v>
      </c>
      <c r="N16" s="3">
        <v>1</v>
      </c>
      <c r="O16" t="str">
        <f t="shared" si="2"/>
        <v>EUR</v>
      </c>
      <c r="P16" s="4" t="str">
        <f>"16206"</f>
        <v>16206</v>
      </c>
      <c r="Q16" t="str">
        <f t="shared" si="3"/>
        <v>01</v>
      </c>
      <c r="R16" s="2">
        <v>500</v>
      </c>
      <c r="S16" t="str">
        <f t="shared" si="4"/>
        <v xml:space="preserve"> </v>
      </c>
      <c r="T16" t="str">
        <f t="shared" si="4"/>
        <v xml:space="preserve"> </v>
      </c>
      <c r="U16" t="str">
        <f t="shared" si="4"/>
        <v xml:space="preserve"> </v>
      </c>
      <c r="V16" s="2">
        <v>500</v>
      </c>
      <c r="W16" s="4">
        <v>1</v>
      </c>
      <c r="X16" t="str">
        <f>"ASE"</f>
        <v>ASE</v>
      </c>
      <c r="Y16" t="str">
        <f t="shared" si="5"/>
        <v>MP</v>
      </c>
      <c r="Z16" s="1">
        <v>42123</v>
      </c>
      <c r="AA16" t="str">
        <f t="shared" si="6"/>
        <v xml:space="preserve"> </v>
      </c>
      <c r="AB16" s="2">
        <v>0</v>
      </c>
      <c r="AC16" t="str">
        <f>"AQUITAINE SERVICE ELECTRIQUE"</f>
        <v>AQUITAINE SERVICE ELECTRIQUE</v>
      </c>
      <c r="AD16" t="str">
        <f t="shared" si="7"/>
        <v xml:space="preserve"> </v>
      </c>
      <c r="AE16" t="str">
        <f>"33700"</f>
        <v>33700</v>
      </c>
      <c r="AF16" t="str">
        <f>"MERIGNAC"</f>
        <v>MERIGNAC</v>
      </c>
      <c r="AG16" t="str">
        <f t="shared" si="8"/>
        <v xml:space="preserve"> </v>
      </c>
      <c r="AH16" t="str">
        <f t="shared" si="9"/>
        <v>F</v>
      </c>
      <c r="AI16" s="1">
        <v>42116</v>
      </c>
      <c r="AJ16">
        <v>0</v>
      </c>
      <c r="AL16">
        <v>0</v>
      </c>
      <c r="AN16" t="str">
        <f t="shared" si="10"/>
        <v>DEBARROS</v>
      </c>
      <c r="AO16" t="str">
        <f>"AQUITAINE SERVICE ELECTRIQUE"</f>
        <v>AQUITAINE SERVICE ELECTRIQUE</v>
      </c>
      <c r="AP16" t="str">
        <f t="shared" si="11"/>
        <v xml:space="preserve"> </v>
      </c>
      <c r="AQ16" s="2">
        <v>0</v>
      </c>
      <c r="AR16" s="3">
        <v>0</v>
      </c>
      <c r="AS16" s="3">
        <v>0</v>
      </c>
      <c r="AT16" s="3">
        <v>0</v>
      </c>
      <c r="AU16">
        <v>0</v>
      </c>
      <c r="AV16">
        <v>0</v>
      </c>
      <c r="AW16">
        <v>0</v>
      </c>
      <c r="AX16" s="3">
        <v>0</v>
      </c>
      <c r="AY16">
        <v>0</v>
      </c>
      <c r="AZ16">
        <v>500</v>
      </c>
      <c r="BA16">
        <v>0</v>
      </c>
      <c r="BB16">
        <v>0</v>
      </c>
      <c r="BC16">
        <v>100</v>
      </c>
      <c r="BD16">
        <v>0</v>
      </c>
      <c r="BE16">
        <v>0</v>
      </c>
      <c r="BF16">
        <v>0</v>
      </c>
      <c r="BG16">
        <v>0</v>
      </c>
      <c r="BH16">
        <v>600</v>
      </c>
      <c r="BI16">
        <v>500</v>
      </c>
      <c r="BJ16" t="str">
        <f>"100"</f>
        <v>100</v>
      </c>
      <c r="BK16" t="str">
        <f>"CH"</f>
        <v>CH</v>
      </c>
    </row>
    <row r="17" spans="1:63" x14ac:dyDescent="0.3">
      <c r="A17" t="str">
        <f>"124000"</f>
        <v>124000</v>
      </c>
      <c r="B17" t="str">
        <f>"DIMETAL"</f>
        <v>DIMETAL</v>
      </c>
      <c r="C17" t="str">
        <f>"16205"</f>
        <v>16205</v>
      </c>
      <c r="D17" t="str">
        <f>"466 BS"</f>
        <v>466 BS</v>
      </c>
      <c r="E17" t="str">
        <f t="shared" si="14"/>
        <v xml:space="preserve"> </v>
      </c>
      <c r="F17" s="1">
        <v>42121</v>
      </c>
      <c r="G17" t="str">
        <f>" "</f>
        <v xml:space="preserve"> </v>
      </c>
      <c r="H17" t="str">
        <f>" "</f>
        <v xml:space="preserve"> </v>
      </c>
      <c r="J17" s="1">
        <v>42142</v>
      </c>
      <c r="K17" t="str">
        <f t="shared" si="1"/>
        <v xml:space="preserve"> </v>
      </c>
      <c r="L17">
        <v>4175</v>
      </c>
      <c r="M17" s="2">
        <v>0</v>
      </c>
      <c r="N17" s="3">
        <v>1</v>
      </c>
      <c r="O17" t="str">
        <f t="shared" si="2"/>
        <v>EUR</v>
      </c>
      <c r="P17" s="4" t="str">
        <f>"16205"</f>
        <v>16205</v>
      </c>
      <c r="Q17" t="str">
        <f t="shared" si="3"/>
        <v>01</v>
      </c>
      <c r="R17" s="2">
        <v>4175</v>
      </c>
      <c r="S17" t="str">
        <f t="shared" si="4"/>
        <v xml:space="preserve"> </v>
      </c>
      <c r="T17" t="str">
        <f t="shared" si="4"/>
        <v xml:space="preserve"> </v>
      </c>
      <c r="U17" t="str">
        <f t="shared" si="4"/>
        <v xml:space="preserve"> </v>
      </c>
      <c r="V17" s="2">
        <v>4175</v>
      </c>
      <c r="W17" s="4">
        <v>1</v>
      </c>
      <c r="X17" t="str">
        <f>"DIMETAL"</f>
        <v>DIMETAL</v>
      </c>
      <c r="Y17" t="str">
        <f t="shared" si="5"/>
        <v>MP</v>
      </c>
      <c r="Z17" s="1">
        <v>42142</v>
      </c>
      <c r="AA17" t="str">
        <f t="shared" si="6"/>
        <v xml:space="preserve"> </v>
      </c>
      <c r="AB17" s="2">
        <v>0</v>
      </c>
      <c r="AC17" t="str">
        <f>"DIMETAL"</f>
        <v>DIMETAL</v>
      </c>
      <c r="AD17" t="str">
        <f t="shared" si="7"/>
        <v xml:space="preserve"> </v>
      </c>
      <c r="AE17" t="str">
        <f>"33700"</f>
        <v>33700</v>
      </c>
      <c r="AF17" t="str">
        <f>"MERIGNAC"</f>
        <v>MERIGNAC</v>
      </c>
      <c r="AG17" t="str">
        <f t="shared" si="8"/>
        <v xml:space="preserve"> </v>
      </c>
      <c r="AH17" t="str">
        <f t="shared" si="9"/>
        <v>F</v>
      </c>
      <c r="AI17" s="1">
        <v>42115</v>
      </c>
      <c r="AJ17">
        <v>0</v>
      </c>
      <c r="AL17">
        <v>0</v>
      </c>
      <c r="AN17" t="str">
        <f t="shared" si="10"/>
        <v>DEBARROS</v>
      </c>
      <c r="AO17" t="str">
        <f>"DIMETAL"</f>
        <v>DIMETAL</v>
      </c>
      <c r="AP17" t="str">
        <f t="shared" si="11"/>
        <v xml:space="preserve"> </v>
      </c>
      <c r="AQ17" s="2">
        <v>0</v>
      </c>
      <c r="AR17" s="3">
        <v>0</v>
      </c>
      <c r="AS17" s="3">
        <v>0</v>
      </c>
      <c r="AT17" s="3">
        <v>0</v>
      </c>
      <c r="AU17">
        <v>0</v>
      </c>
      <c r="AV17">
        <v>0</v>
      </c>
      <c r="AW17">
        <v>0</v>
      </c>
      <c r="AX17" s="3">
        <v>0</v>
      </c>
      <c r="AY17">
        <v>0</v>
      </c>
      <c r="AZ17">
        <v>4175</v>
      </c>
      <c r="BA17">
        <v>0</v>
      </c>
      <c r="BB17">
        <v>0</v>
      </c>
      <c r="BC17">
        <v>835</v>
      </c>
      <c r="BD17">
        <v>0</v>
      </c>
      <c r="BE17">
        <v>0</v>
      </c>
      <c r="BF17">
        <v>0</v>
      </c>
      <c r="BG17">
        <v>0</v>
      </c>
      <c r="BH17">
        <v>5010</v>
      </c>
      <c r="BI17">
        <v>4175</v>
      </c>
      <c r="BJ17" t="str">
        <f>"10"</f>
        <v>10</v>
      </c>
      <c r="BK17" t="str">
        <f>"CH"</f>
        <v>CH</v>
      </c>
    </row>
    <row r="18" spans="1:63" x14ac:dyDescent="0.3">
      <c r="A18" t="str">
        <f>"650112"</f>
        <v>650112</v>
      </c>
      <c r="B18" t="str">
        <f>"VERITAS"</f>
        <v>VERITAS</v>
      </c>
      <c r="C18" t="str">
        <f>"16204"</f>
        <v>16204</v>
      </c>
      <c r="D18" t="str">
        <f>"1508466801 15057"</f>
        <v>1508466801 15057</v>
      </c>
      <c r="E18" t="str">
        <f t="shared" si="14"/>
        <v xml:space="preserve"> </v>
      </c>
      <c r="F18" s="1">
        <v>42121</v>
      </c>
      <c r="G18" t="str">
        <f>" "</f>
        <v xml:space="preserve"> </v>
      </c>
      <c r="H18" t="str">
        <f>" "</f>
        <v xml:space="preserve"> </v>
      </c>
      <c r="J18" s="1">
        <v>42128</v>
      </c>
      <c r="K18" t="str">
        <f t="shared" si="1"/>
        <v xml:space="preserve"> </v>
      </c>
      <c r="L18">
        <v>1840</v>
      </c>
      <c r="M18" s="2">
        <v>0</v>
      </c>
      <c r="N18" s="3">
        <v>1</v>
      </c>
      <c r="O18" t="str">
        <f t="shared" si="2"/>
        <v>EUR</v>
      </c>
      <c r="P18" s="4" t="str">
        <f>"16204"</f>
        <v>16204</v>
      </c>
      <c r="Q18" t="str">
        <f t="shared" si="3"/>
        <v>01</v>
      </c>
      <c r="R18" s="2">
        <v>1840</v>
      </c>
      <c r="S18" t="str">
        <f t="shared" si="4"/>
        <v xml:space="preserve"> </v>
      </c>
      <c r="T18" t="str">
        <f t="shared" si="4"/>
        <v xml:space="preserve"> </v>
      </c>
      <c r="U18" t="str">
        <f t="shared" si="4"/>
        <v xml:space="preserve"> </v>
      </c>
      <c r="V18" s="2">
        <v>1840</v>
      </c>
      <c r="W18" s="4">
        <v>1</v>
      </c>
      <c r="X18" t="str">
        <f>"Bureau Veritas"</f>
        <v>Bureau Veritas</v>
      </c>
      <c r="Y18" t="str">
        <f>"TS"</f>
        <v>TS</v>
      </c>
      <c r="Z18" s="1">
        <v>42128</v>
      </c>
      <c r="AA18" t="str">
        <f t="shared" si="6"/>
        <v xml:space="preserve"> </v>
      </c>
      <c r="AB18" s="2">
        <v>0</v>
      </c>
      <c r="AC18" t="str">
        <f>"Bureau Veritas Laboratoires"</f>
        <v>Bureau Veritas Laboratoires</v>
      </c>
      <c r="AD18" t="str">
        <f t="shared" si="7"/>
        <v xml:space="preserve"> </v>
      </c>
      <c r="AE18" t="str">
        <f>"33600"</f>
        <v>33600</v>
      </c>
      <c r="AF18" t="str">
        <f>"PESSAC"</f>
        <v>PESSAC</v>
      </c>
      <c r="AG18" t="str">
        <f t="shared" si="8"/>
        <v xml:space="preserve"> </v>
      </c>
      <c r="AH18" t="str">
        <f t="shared" si="9"/>
        <v>F</v>
      </c>
      <c r="AI18" s="1">
        <v>42111</v>
      </c>
      <c r="AJ18">
        <v>0</v>
      </c>
      <c r="AL18">
        <v>0</v>
      </c>
      <c r="AN18" t="str">
        <f t="shared" si="10"/>
        <v>DEBARROS</v>
      </c>
      <c r="AO18" t="str">
        <f>"BUREAU VERITAS"</f>
        <v>BUREAU VERITAS</v>
      </c>
      <c r="AP18" t="str">
        <f t="shared" si="11"/>
        <v xml:space="preserve"> </v>
      </c>
      <c r="AQ18" s="2">
        <v>0</v>
      </c>
      <c r="AR18" s="3">
        <v>0</v>
      </c>
      <c r="AS18" s="3">
        <v>0</v>
      </c>
      <c r="AT18" s="3">
        <v>0</v>
      </c>
      <c r="AU18">
        <v>0</v>
      </c>
      <c r="AV18">
        <v>0</v>
      </c>
      <c r="AW18">
        <v>0</v>
      </c>
      <c r="AX18" s="3">
        <v>0</v>
      </c>
      <c r="AY18">
        <v>0</v>
      </c>
      <c r="AZ18">
        <v>1840</v>
      </c>
      <c r="BA18">
        <v>0</v>
      </c>
      <c r="BB18">
        <v>0</v>
      </c>
      <c r="BC18">
        <v>368</v>
      </c>
      <c r="BD18">
        <v>0</v>
      </c>
      <c r="BE18">
        <v>0</v>
      </c>
      <c r="BF18">
        <v>0</v>
      </c>
      <c r="BG18">
        <v>0</v>
      </c>
      <c r="BH18">
        <v>2208</v>
      </c>
      <c r="BI18">
        <v>1840</v>
      </c>
      <c r="BJ18" t="str">
        <f t="shared" ref="BJ18:BJ38" si="15">"41"</f>
        <v>41</v>
      </c>
      <c r="BK18" t="str">
        <f>"CH"</f>
        <v>CH</v>
      </c>
    </row>
    <row r="19" spans="1:63" x14ac:dyDescent="0.3">
      <c r="A19" t="str">
        <f>"199981"</f>
        <v>199981</v>
      </c>
      <c r="B19" t="str">
        <f>"MPRD"</f>
        <v>MPRD</v>
      </c>
      <c r="C19" t="str">
        <f>"16203"</f>
        <v>16203</v>
      </c>
      <c r="D19" t="str">
        <f>"23222"</f>
        <v>23222</v>
      </c>
      <c r="E19" t="str">
        <f t="shared" si="14"/>
        <v xml:space="preserve"> </v>
      </c>
      <c r="F19" s="1">
        <v>42118</v>
      </c>
      <c r="G19" t="str">
        <f>"LT"</f>
        <v>LT</v>
      </c>
      <c r="H19" t="str">
        <f>"FT"</f>
        <v>FT</v>
      </c>
      <c r="I19" s="5">
        <v>42122</v>
      </c>
      <c r="J19" s="1">
        <v>42122</v>
      </c>
      <c r="K19" t="str">
        <f t="shared" si="1"/>
        <v xml:space="preserve"> </v>
      </c>
      <c r="L19">
        <v>900</v>
      </c>
      <c r="M19" s="2">
        <v>0</v>
      </c>
      <c r="N19" s="3">
        <v>1</v>
      </c>
      <c r="O19" t="str">
        <f t="shared" si="2"/>
        <v>EUR</v>
      </c>
      <c r="P19" s="4" t="str">
        <f>"16203"</f>
        <v>16203</v>
      </c>
      <c r="Q19" t="str">
        <f t="shared" si="3"/>
        <v>01</v>
      </c>
      <c r="R19" s="2">
        <v>900</v>
      </c>
      <c r="S19" t="str">
        <f t="shared" si="4"/>
        <v xml:space="preserve"> </v>
      </c>
      <c r="T19" t="str">
        <f t="shared" si="4"/>
        <v xml:space="preserve"> </v>
      </c>
      <c r="U19" t="str">
        <f t="shared" si="4"/>
        <v xml:space="preserve"> </v>
      </c>
      <c r="V19" s="2">
        <v>900</v>
      </c>
      <c r="W19" s="4">
        <v>1</v>
      </c>
      <c r="X19" t="str">
        <f>"M.P.R.D"</f>
        <v>M.P.R.D</v>
      </c>
      <c r="Y19" t="str">
        <f>"MP"</f>
        <v>MP</v>
      </c>
      <c r="Z19" s="1">
        <v>42122</v>
      </c>
      <c r="AA19" t="str">
        <f t="shared" si="6"/>
        <v xml:space="preserve"> </v>
      </c>
      <c r="AB19" s="2">
        <v>0</v>
      </c>
      <c r="AC19" t="str">
        <f>"M.P.R.D"</f>
        <v>M.P.R.D</v>
      </c>
      <c r="AD19" t="str">
        <f t="shared" si="7"/>
        <v xml:space="preserve"> </v>
      </c>
      <c r="AE19" t="str">
        <f>"33370"</f>
        <v>33370</v>
      </c>
      <c r="AF19" t="str">
        <f>"ARTIGUES PRES BORDEAUX"</f>
        <v>ARTIGUES PRES BORDEAUX</v>
      </c>
      <c r="AG19" t="str">
        <f t="shared" si="8"/>
        <v xml:space="preserve"> </v>
      </c>
      <c r="AH19" t="str">
        <f t="shared" si="9"/>
        <v>F</v>
      </c>
      <c r="AI19" s="1">
        <v>42115</v>
      </c>
      <c r="AJ19">
        <v>0</v>
      </c>
      <c r="AL19">
        <v>0</v>
      </c>
      <c r="AN19" t="str">
        <f t="shared" si="10"/>
        <v>DEBARROS</v>
      </c>
      <c r="AO19" t="str">
        <f>"MPRD"</f>
        <v>MPRD</v>
      </c>
      <c r="AP19" t="str">
        <f t="shared" si="11"/>
        <v xml:space="preserve"> </v>
      </c>
      <c r="AQ19" s="2">
        <v>0</v>
      </c>
      <c r="AR19" s="3">
        <v>0</v>
      </c>
      <c r="AS19" s="3">
        <v>0</v>
      </c>
      <c r="AT19" s="3">
        <v>0</v>
      </c>
      <c r="AU19">
        <v>0</v>
      </c>
      <c r="AV19">
        <v>0</v>
      </c>
      <c r="AW19">
        <v>0</v>
      </c>
      <c r="AX19" s="3">
        <v>0</v>
      </c>
      <c r="AY19">
        <v>0</v>
      </c>
      <c r="AZ19">
        <v>900</v>
      </c>
      <c r="BA19">
        <v>0</v>
      </c>
      <c r="BB19">
        <v>0</v>
      </c>
      <c r="BC19">
        <v>180</v>
      </c>
      <c r="BD19">
        <v>0</v>
      </c>
      <c r="BE19">
        <v>0</v>
      </c>
      <c r="BF19">
        <v>0</v>
      </c>
      <c r="BG19">
        <v>0</v>
      </c>
      <c r="BH19">
        <v>1080</v>
      </c>
      <c r="BI19">
        <v>900</v>
      </c>
      <c r="BJ19" t="str">
        <f t="shared" si="15"/>
        <v>41</v>
      </c>
      <c r="BK19" t="str">
        <f>"VI"</f>
        <v>VI</v>
      </c>
    </row>
    <row r="20" spans="1:63" x14ac:dyDescent="0.3">
      <c r="A20" t="str">
        <f>"186100"</f>
        <v>186100</v>
      </c>
      <c r="B20" t="str">
        <f>"HERAKLES ( SME )"</f>
        <v>HERAKLES ( SME )</v>
      </c>
      <c r="C20" t="str">
        <f>"16202"</f>
        <v>16202</v>
      </c>
      <c r="D20" t="str">
        <f>" "</f>
        <v xml:space="preserve"> </v>
      </c>
      <c r="E20" t="str">
        <f t="shared" si="14"/>
        <v xml:space="preserve"> </v>
      </c>
      <c r="F20" s="1">
        <v>42118</v>
      </c>
      <c r="G20" t="str">
        <f>" "</f>
        <v xml:space="preserve"> </v>
      </c>
      <c r="H20" t="str">
        <f>" "</f>
        <v xml:space="preserve"> </v>
      </c>
      <c r="J20" s="1">
        <v>42118</v>
      </c>
      <c r="K20" t="str">
        <f t="shared" si="1"/>
        <v xml:space="preserve"> </v>
      </c>
      <c r="L20">
        <v>550</v>
      </c>
      <c r="M20" s="2">
        <v>0</v>
      </c>
      <c r="N20" s="3">
        <v>1</v>
      </c>
      <c r="O20" t="str">
        <f t="shared" si="2"/>
        <v>EUR</v>
      </c>
      <c r="P20" s="4" t="str">
        <f>"16202"</f>
        <v>16202</v>
      </c>
      <c r="Q20" t="str">
        <f t="shared" si="3"/>
        <v>01</v>
      </c>
      <c r="R20" s="2">
        <v>550</v>
      </c>
      <c r="S20" t="str">
        <f t="shared" si="4"/>
        <v xml:space="preserve"> </v>
      </c>
      <c r="T20" t="str">
        <f t="shared" si="4"/>
        <v xml:space="preserve"> </v>
      </c>
      <c r="U20" t="str">
        <f t="shared" si="4"/>
        <v xml:space="preserve"> </v>
      </c>
      <c r="V20" s="2">
        <v>550</v>
      </c>
      <c r="W20" s="4">
        <v>1</v>
      </c>
      <c r="X20" t="str">
        <f>"HERAKLES ( SME )"</f>
        <v>HERAKLES ( SME )</v>
      </c>
      <c r="Y20" t="str">
        <f>"TS"</f>
        <v>TS</v>
      </c>
      <c r="Z20" s="1">
        <v>42118</v>
      </c>
      <c r="AA20" t="str">
        <f t="shared" si="6"/>
        <v xml:space="preserve"> </v>
      </c>
      <c r="AB20" s="2">
        <v>0</v>
      </c>
      <c r="AC20" t="str">
        <f>"SAFRAN HERAKLES"</f>
        <v>SAFRAN HERAKLES</v>
      </c>
      <c r="AD20" t="str">
        <f t="shared" si="7"/>
        <v xml:space="preserve"> </v>
      </c>
      <c r="AE20" t="str">
        <f>"33160"</f>
        <v>33160</v>
      </c>
      <c r="AF20" t="str">
        <f>"Saint Médard en Jalles"</f>
        <v>Saint Médard en Jalles</v>
      </c>
      <c r="AG20" t="str">
        <f t="shared" si="8"/>
        <v xml:space="preserve"> </v>
      </c>
      <c r="AH20" t="str">
        <f t="shared" si="9"/>
        <v>F</v>
      </c>
      <c r="AI20" s="1">
        <v>42118</v>
      </c>
      <c r="AJ20">
        <v>0</v>
      </c>
      <c r="AL20">
        <v>0</v>
      </c>
      <c r="AN20" t="str">
        <f t="shared" si="10"/>
        <v>DEBARROS</v>
      </c>
      <c r="AO20" t="str">
        <f>"HERAKLES ( SME )"</f>
        <v>HERAKLES ( SME )</v>
      </c>
      <c r="AP20" t="str">
        <f t="shared" si="11"/>
        <v xml:space="preserve"> </v>
      </c>
      <c r="AQ20" s="2">
        <v>0</v>
      </c>
      <c r="AR20" s="3">
        <v>0</v>
      </c>
      <c r="AS20" s="3">
        <v>0</v>
      </c>
      <c r="AT20" s="3">
        <v>0</v>
      </c>
      <c r="AU20">
        <v>0</v>
      </c>
      <c r="AV20">
        <v>0</v>
      </c>
      <c r="AW20">
        <v>0</v>
      </c>
      <c r="AX20" s="3">
        <v>0</v>
      </c>
      <c r="AY20">
        <v>0</v>
      </c>
      <c r="AZ20">
        <v>550</v>
      </c>
      <c r="BA20">
        <v>0</v>
      </c>
      <c r="BB20">
        <v>0</v>
      </c>
      <c r="BC20">
        <v>110</v>
      </c>
      <c r="BD20">
        <v>0</v>
      </c>
      <c r="BE20">
        <v>0</v>
      </c>
      <c r="BF20">
        <v>0</v>
      </c>
      <c r="BG20">
        <v>0</v>
      </c>
      <c r="BH20">
        <v>660</v>
      </c>
      <c r="BI20">
        <v>550</v>
      </c>
      <c r="BJ20" t="str">
        <f t="shared" si="15"/>
        <v>41</v>
      </c>
      <c r="BK20" t="str">
        <f>"VI"</f>
        <v>VI</v>
      </c>
    </row>
    <row r="21" spans="1:63" x14ac:dyDescent="0.3">
      <c r="A21" t="str">
        <f>"220253"</f>
        <v>220253</v>
      </c>
      <c r="B21" t="str">
        <f>"SERCOVAM"</f>
        <v>SERCOVAM</v>
      </c>
      <c r="C21" t="str">
        <f>"16201"</f>
        <v>16201</v>
      </c>
      <c r="D21" t="str">
        <f>"6675-GOUR"</f>
        <v>6675-GOUR</v>
      </c>
      <c r="E21" t="str">
        <f t="shared" si="14"/>
        <v xml:space="preserve"> </v>
      </c>
      <c r="F21" s="1">
        <v>42118</v>
      </c>
      <c r="G21" t="str">
        <f>"LT"</f>
        <v>LT</v>
      </c>
      <c r="H21" t="str">
        <f>"FT"</f>
        <v>FT</v>
      </c>
      <c r="I21" s="5">
        <v>42124</v>
      </c>
      <c r="J21" s="1">
        <v>42130</v>
      </c>
      <c r="K21" t="str">
        <f t="shared" si="1"/>
        <v xml:space="preserve"> </v>
      </c>
      <c r="L21">
        <v>900</v>
      </c>
      <c r="M21" s="2">
        <v>0</v>
      </c>
      <c r="N21" s="3">
        <v>1</v>
      </c>
      <c r="O21" t="str">
        <f t="shared" si="2"/>
        <v>EUR</v>
      </c>
      <c r="P21" s="4" t="str">
        <f>"16201"</f>
        <v>16201</v>
      </c>
      <c r="Q21" t="str">
        <f t="shared" si="3"/>
        <v>01</v>
      </c>
      <c r="R21" s="2">
        <v>900</v>
      </c>
      <c r="S21" t="str">
        <f t="shared" si="4"/>
        <v xml:space="preserve"> </v>
      </c>
      <c r="T21" t="str">
        <f t="shared" si="4"/>
        <v xml:space="preserve"> </v>
      </c>
      <c r="U21" t="str">
        <f t="shared" si="4"/>
        <v xml:space="preserve"> </v>
      </c>
      <c r="V21" s="2">
        <v>900</v>
      </c>
      <c r="W21" s="4">
        <v>1</v>
      </c>
      <c r="X21" t="str">
        <f>"SERCOVAM"</f>
        <v>SERCOVAM</v>
      </c>
      <c r="Y21" t="str">
        <f>"TS"</f>
        <v>TS</v>
      </c>
      <c r="Z21" s="1">
        <v>42130</v>
      </c>
      <c r="AA21" t="str">
        <f t="shared" si="6"/>
        <v xml:space="preserve"> </v>
      </c>
      <c r="AB21" s="2">
        <v>0</v>
      </c>
      <c r="AC21" t="str">
        <f>"SGS SERCOVAM"</f>
        <v>SGS SERCOVAM</v>
      </c>
      <c r="AD21" t="str">
        <f t="shared" si="7"/>
        <v xml:space="preserve"> </v>
      </c>
      <c r="AE21" t="str">
        <f>"33611"</f>
        <v>33611</v>
      </c>
      <c r="AF21" t="str">
        <f>"Cestas"</f>
        <v>Cestas</v>
      </c>
      <c r="AG21" t="str">
        <f t="shared" si="8"/>
        <v xml:space="preserve"> </v>
      </c>
      <c r="AH21" t="str">
        <f t="shared" si="9"/>
        <v>F</v>
      </c>
      <c r="AJ21">
        <v>0</v>
      </c>
      <c r="AL21">
        <v>0</v>
      </c>
      <c r="AN21" t="str">
        <f t="shared" si="10"/>
        <v>DEBARROS</v>
      </c>
      <c r="AO21" t="str">
        <f>"SGS SERCOVAM"</f>
        <v>SGS SERCOVAM</v>
      </c>
      <c r="AP21" t="str">
        <f t="shared" si="11"/>
        <v xml:space="preserve"> </v>
      </c>
      <c r="AQ21" s="2">
        <v>0</v>
      </c>
      <c r="AR21" s="3">
        <v>0</v>
      </c>
      <c r="AS21" s="3">
        <v>0</v>
      </c>
      <c r="AT21" s="3">
        <v>0</v>
      </c>
      <c r="AU21">
        <v>0</v>
      </c>
      <c r="AV21">
        <v>0</v>
      </c>
      <c r="AW21">
        <v>0</v>
      </c>
      <c r="AX21" s="3">
        <v>0</v>
      </c>
      <c r="AY21">
        <v>0</v>
      </c>
      <c r="AZ21">
        <v>900</v>
      </c>
      <c r="BA21">
        <v>0</v>
      </c>
      <c r="BB21">
        <v>0</v>
      </c>
      <c r="BC21">
        <v>180</v>
      </c>
      <c r="BD21">
        <v>0</v>
      </c>
      <c r="BE21">
        <v>0</v>
      </c>
      <c r="BF21">
        <v>0</v>
      </c>
      <c r="BG21">
        <v>0</v>
      </c>
      <c r="BH21">
        <v>1080</v>
      </c>
      <c r="BI21">
        <v>900</v>
      </c>
      <c r="BJ21" t="str">
        <f t="shared" si="15"/>
        <v>41</v>
      </c>
      <c r="BK21" t="str">
        <f>"VI"</f>
        <v>VI</v>
      </c>
    </row>
    <row r="22" spans="1:63" x14ac:dyDescent="0.3">
      <c r="A22" t="str">
        <f>"185900"</f>
        <v>185900</v>
      </c>
      <c r="B22" t="str">
        <f>"HERAKLES"</f>
        <v>HERAKLES</v>
      </c>
      <c r="C22" t="str">
        <f>"16200"</f>
        <v>16200</v>
      </c>
      <c r="D22" t="str">
        <f>" "</f>
        <v xml:space="preserve"> </v>
      </c>
      <c r="E22" t="str">
        <f t="shared" si="14"/>
        <v xml:space="preserve"> </v>
      </c>
      <c r="F22" s="1">
        <v>42118</v>
      </c>
      <c r="G22" t="str">
        <f t="shared" ref="G22:H24" si="16">" "</f>
        <v xml:space="preserve"> </v>
      </c>
      <c r="H22" t="str">
        <f t="shared" si="16"/>
        <v xml:space="preserve"> </v>
      </c>
      <c r="J22" s="1">
        <v>42173</v>
      </c>
      <c r="K22" t="str">
        <f t="shared" si="1"/>
        <v xml:space="preserve"> </v>
      </c>
      <c r="L22">
        <v>0</v>
      </c>
      <c r="M22" s="2">
        <v>0</v>
      </c>
      <c r="O22" t="str">
        <f t="shared" si="2"/>
        <v>EUR</v>
      </c>
      <c r="P22" s="4" t="str">
        <f>"16200"</f>
        <v>16200</v>
      </c>
      <c r="Q22" t="str">
        <f t="shared" si="3"/>
        <v>01</v>
      </c>
      <c r="R22" s="2">
        <v>0</v>
      </c>
      <c r="S22" t="str">
        <f t="shared" ref="S22:U41" si="17">" "</f>
        <v xml:space="preserve"> </v>
      </c>
      <c r="T22" t="str">
        <f t="shared" si="17"/>
        <v xml:space="preserve"> </v>
      </c>
      <c r="U22" t="str">
        <f t="shared" si="17"/>
        <v xml:space="preserve"> </v>
      </c>
      <c r="W22" s="4">
        <v>0</v>
      </c>
      <c r="X22" t="str">
        <f>"HERAKLES"</f>
        <v>HERAKLES</v>
      </c>
      <c r="Y22" t="str">
        <f t="shared" ref="Y22:Y27" si="18">"MP"</f>
        <v>MP</v>
      </c>
      <c r="Z22" s="1">
        <v>42173</v>
      </c>
      <c r="AA22" t="str">
        <f t="shared" si="6"/>
        <v xml:space="preserve"> </v>
      </c>
      <c r="AB22" s="2">
        <v>0</v>
      </c>
      <c r="AC22" t="str">
        <f>"HERAKLES"</f>
        <v>HERAKLES</v>
      </c>
      <c r="AD22" t="str">
        <f t="shared" si="7"/>
        <v xml:space="preserve"> </v>
      </c>
      <c r="AE22" t="str">
        <f>"33187"</f>
        <v>33187</v>
      </c>
      <c r="AF22" t="str">
        <f>"LE HAILLAN CEDEX"</f>
        <v>LE HAILLAN CEDEX</v>
      </c>
      <c r="AG22" t="str">
        <f t="shared" si="8"/>
        <v xml:space="preserve"> </v>
      </c>
      <c r="AH22" t="str">
        <f t="shared" si="9"/>
        <v>F</v>
      </c>
      <c r="AJ22">
        <v>0</v>
      </c>
      <c r="AL22">
        <v>0</v>
      </c>
      <c r="AN22" t="str">
        <f>"TINARD"</f>
        <v>TINARD</v>
      </c>
      <c r="AO22" t="str">
        <f>"HERAKLES"</f>
        <v>HERAKLES</v>
      </c>
      <c r="AP22" t="str">
        <f t="shared" si="11"/>
        <v xml:space="preserve"> </v>
      </c>
      <c r="AQ22" s="2">
        <v>0</v>
      </c>
      <c r="AR22" s="3">
        <v>0</v>
      </c>
      <c r="AS22" s="3">
        <v>0</v>
      </c>
      <c r="AT22" s="3">
        <v>0</v>
      </c>
      <c r="AU22">
        <v>0</v>
      </c>
      <c r="AV22">
        <v>0</v>
      </c>
      <c r="AW22">
        <v>0</v>
      </c>
      <c r="AX22" s="3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 t="str">
        <f t="shared" si="15"/>
        <v>41</v>
      </c>
      <c r="BK22" t="str">
        <f>"VI"</f>
        <v>VI</v>
      </c>
    </row>
    <row r="23" spans="1:63" x14ac:dyDescent="0.3">
      <c r="A23" t="str">
        <f>"165300"</f>
        <v>165300</v>
      </c>
      <c r="B23" t="str">
        <f>"METAREG"</f>
        <v>METAREG</v>
      </c>
      <c r="C23" t="str">
        <f>"16198"</f>
        <v>16198</v>
      </c>
      <c r="D23" t="str">
        <f>" "</f>
        <v xml:space="preserve"> </v>
      </c>
      <c r="E23" t="str">
        <f t="shared" si="14"/>
        <v xml:space="preserve"> </v>
      </c>
      <c r="F23" s="1">
        <v>42116</v>
      </c>
      <c r="G23" t="str">
        <f t="shared" si="16"/>
        <v xml:space="preserve"> </v>
      </c>
      <c r="H23" t="str">
        <f t="shared" si="16"/>
        <v xml:space="preserve"> </v>
      </c>
      <c r="J23" s="1">
        <v>42135</v>
      </c>
      <c r="K23" t="str">
        <f t="shared" si="1"/>
        <v xml:space="preserve"> </v>
      </c>
      <c r="L23">
        <v>2030</v>
      </c>
      <c r="M23" s="2">
        <v>0</v>
      </c>
      <c r="N23" s="3">
        <v>1</v>
      </c>
      <c r="O23" t="str">
        <f t="shared" si="2"/>
        <v>EUR</v>
      </c>
      <c r="P23" s="4" t="str">
        <f>"16198"</f>
        <v>16198</v>
      </c>
      <c r="Q23" t="str">
        <f t="shared" si="3"/>
        <v>01</v>
      </c>
      <c r="R23" s="2">
        <v>2030</v>
      </c>
      <c r="S23" t="str">
        <f t="shared" si="17"/>
        <v xml:space="preserve"> </v>
      </c>
      <c r="T23" t="str">
        <f t="shared" si="17"/>
        <v xml:space="preserve"> </v>
      </c>
      <c r="U23" t="str">
        <f t="shared" si="17"/>
        <v xml:space="preserve"> </v>
      </c>
      <c r="V23" s="2">
        <v>2030</v>
      </c>
      <c r="W23" s="4">
        <v>1</v>
      </c>
      <c r="X23" t="str">
        <f>"METAREG"</f>
        <v>METAREG</v>
      </c>
      <c r="Y23" t="str">
        <f t="shared" si="18"/>
        <v>MP</v>
      </c>
      <c r="Z23" s="1">
        <v>42135</v>
      </c>
      <c r="AA23" t="str">
        <f t="shared" si="6"/>
        <v xml:space="preserve"> </v>
      </c>
      <c r="AB23" s="2">
        <v>0</v>
      </c>
      <c r="AC23" t="str">
        <f>"EIFFAGE CONTRUCTION METALLIQUE"</f>
        <v>EIFFAGE CONTRUCTION METALLIQUE</v>
      </c>
      <c r="AD23" t="str">
        <f t="shared" si="7"/>
        <v xml:space="preserve"> </v>
      </c>
      <c r="AE23" t="str">
        <f>"33600"</f>
        <v>33600</v>
      </c>
      <c r="AF23" t="str">
        <f>"PESSAC"</f>
        <v>PESSAC</v>
      </c>
      <c r="AG23" t="str">
        <f t="shared" si="8"/>
        <v xml:space="preserve"> </v>
      </c>
      <c r="AH23" t="str">
        <f t="shared" si="9"/>
        <v>F</v>
      </c>
      <c r="AI23" s="1">
        <v>42116</v>
      </c>
      <c r="AJ23">
        <v>0</v>
      </c>
      <c r="AL23">
        <v>0</v>
      </c>
      <c r="AN23" t="str">
        <f t="shared" ref="AN23:AN54" si="19">"DEBARROS"</f>
        <v>DEBARROS</v>
      </c>
      <c r="AO23" t="str">
        <f>"EIFFAGE CONSTRUCTION METALLIQUE"</f>
        <v>EIFFAGE CONSTRUCTION METALLIQUE</v>
      </c>
      <c r="AP23" t="str">
        <f t="shared" si="11"/>
        <v xml:space="preserve"> </v>
      </c>
      <c r="AQ23" s="2">
        <v>0</v>
      </c>
      <c r="AR23" s="3">
        <v>0</v>
      </c>
      <c r="AS23" s="3">
        <v>0</v>
      </c>
      <c r="AT23" s="3">
        <v>0</v>
      </c>
      <c r="AU23">
        <v>0</v>
      </c>
      <c r="AV23">
        <v>0</v>
      </c>
      <c r="AW23">
        <v>0</v>
      </c>
      <c r="AX23" s="3">
        <v>0</v>
      </c>
      <c r="AY23">
        <v>0</v>
      </c>
      <c r="AZ23">
        <v>2030</v>
      </c>
      <c r="BA23">
        <v>0</v>
      </c>
      <c r="BB23">
        <v>0</v>
      </c>
      <c r="BC23">
        <v>406</v>
      </c>
      <c r="BD23">
        <v>0</v>
      </c>
      <c r="BE23">
        <v>0</v>
      </c>
      <c r="BF23">
        <v>0</v>
      </c>
      <c r="BG23">
        <v>0</v>
      </c>
      <c r="BH23">
        <v>2436</v>
      </c>
      <c r="BI23">
        <v>2030</v>
      </c>
      <c r="BJ23" t="str">
        <f t="shared" si="15"/>
        <v>41</v>
      </c>
      <c r="BK23" t="str">
        <f>"VI"</f>
        <v>VI</v>
      </c>
    </row>
    <row r="24" spans="1:63" x14ac:dyDescent="0.3">
      <c r="A24" t="str">
        <f>"199962"</f>
        <v>199962</v>
      </c>
      <c r="B24" t="str">
        <f>"LAMARCHE"</f>
        <v>LAMARCHE</v>
      </c>
      <c r="C24" t="str">
        <f>"16197"</f>
        <v>16197</v>
      </c>
      <c r="D24" t="str">
        <f>"5863-01"</f>
        <v>5863-01</v>
      </c>
      <c r="E24" t="str">
        <f t="shared" si="14"/>
        <v xml:space="preserve"> </v>
      </c>
      <c r="F24" s="1">
        <v>42115</v>
      </c>
      <c r="G24" t="str">
        <f t="shared" si="16"/>
        <v xml:space="preserve"> </v>
      </c>
      <c r="H24" t="str">
        <f t="shared" si="16"/>
        <v xml:space="preserve"> </v>
      </c>
      <c r="J24" s="1">
        <v>42152</v>
      </c>
      <c r="K24" t="str">
        <f t="shared" si="1"/>
        <v xml:space="preserve"> </v>
      </c>
      <c r="L24">
        <v>6620</v>
      </c>
      <c r="M24" s="2">
        <v>0</v>
      </c>
      <c r="N24" s="3">
        <v>1</v>
      </c>
      <c r="O24" t="str">
        <f t="shared" si="2"/>
        <v>EUR</v>
      </c>
      <c r="P24" s="4" t="str">
        <f>"16197"</f>
        <v>16197</v>
      </c>
      <c r="Q24" t="str">
        <f t="shared" si="3"/>
        <v>01</v>
      </c>
      <c r="R24" s="2">
        <v>6620</v>
      </c>
      <c r="S24" t="str">
        <f t="shared" si="17"/>
        <v xml:space="preserve"> </v>
      </c>
      <c r="T24" t="str">
        <f t="shared" si="17"/>
        <v xml:space="preserve"> </v>
      </c>
      <c r="U24" t="str">
        <f t="shared" si="17"/>
        <v xml:space="preserve"> </v>
      </c>
      <c r="V24" s="2">
        <v>6620</v>
      </c>
      <c r="W24" s="4">
        <v>1</v>
      </c>
      <c r="X24" t="str">
        <f>"LAMARCHE"</f>
        <v>LAMARCHE</v>
      </c>
      <c r="Y24" t="str">
        <f t="shared" si="18"/>
        <v>MP</v>
      </c>
      <c r="Z24" s="1">
        <v>42152</v>
      </c>
      <c r="AA24" t="str">
        <f t="shared" si="6"/>
        <v xml:space="preserve"> </v>
      </c>
      <c r="AB24" s="2">
        <v>0</v>
      </c>
      <c r="AC24" t="str">
        <f>"CABINET LAMARCHE"</f>
        <v>CABINET LAMARCHE</v>
      </c>
      <c r="AD24" t="str">
        <f t="shared" si="7"/>
        <v xml:space="preserve"> </v>
      </c>
      <c r="AE24" t="str">
        <f>"33160"</f>
        <v>33160</v>
      </c>
      <c r="AF24" t="str">
        <f>"Saint Aubin du Médoc"</f>
        <v>Saint Aubin du Médoc</v>
      </c>
      <c r="AG24" t="str">
        <f t="shared" si="8"/>
        <v xml:space="preserve"> </v>
      </c>
      <c r="AH24" t="str">
        <f t="shared" si="9"/>
        <v>F</v>
      </c>
      <c r="AI24" s="1">
        <v>42114</v>
      </c>
      <c r="AJ24">
        <v>0</v>
      </c>
      <c r="AL24">
        <v>0</v>
      </c>
      <c r="AN24" t="str">
        <f t="shared" si="19"/>
        <v>DEBARROS</v>
      </c>
      <c r="AO24" t="str">
        <f>"CABINET LAMARCHE"</f>
        <v>CABINET LAMARCHE</v>
      </c>
      <c r="AP24" t="str">
        <f t="shared" si="11"/>
        <v xml:space="preserve"> </v>
      </c>
      <c r="AQ24" s="2">
        <v>0</v>
      </c>
      <c r="AR24" s="3">
        <v>0</v>
      </c>
      <c r="AS24" s="3">
        <v>0</v>
      </c>
      <c r="AT24" s="3">
        <v>0</v>
      </c>
      <c r="AU24">
        <v>0</v>
      </c>
      <c r="AV24">
        <v>0</v>
      </c>
      <c r="AW24">
        <v>0</v>
      </c>
      <c r="AX24" s="3">
        <v>0</v>
      </c>
      <c r="AY24">
        <v>0</v>
      </c>
      <c r="AZ24">
        <v>6620</v>
      </c>
      <c r="BA24">
        <v>0</v>
      </c>
      <c r="BB24">
        <v>0</v>
      </c>
      <c r="BC24">
        <v>1324</v>
      </c>
      <c r="BD24">
        <v>0</v>
      </c>
      <c r="BE24">
        <v>0</v>
      </c>
      <c r="BF24">
        <v>0</v>
      </c>
      <c r="BG24">
        <v>0</v>
      </c>
      <c r="BH24">
        <v>7944</v>
      </c>
      <c r="BI24">
        <v>6620</v>
      </c>
      <c r="BJ24" t="str">
        <f t="shared" si="15"/>
        <v>41</v>
      </c>
      <c r="BK24" t="str">
        <f>"CH"</f>
        <v>CH</v>
      </c>
    </row>
    <row r="25" spans="1:63" x14ac:dyDescent="0.3">
      <c r="A25" t="str">
        <f>"100800"</f>
        <v>100800</v>
      </c>
      <c r="B25" t="str">
        <f>"ABAQUE"</f>
        <v>ABAQUE</v>
      </c>
      <c r="C25" t="str">
        <f>"16196"</f>
        <v>16196</v>
      </c>
      <c r="D25" t="str">
        <f>"01240"</f>
        <v>01240</v>
      </c>
      <c r="E25" t="str">
        <f t="shared" si="14"/>
        <v xml:space="preserve"> </v>
      </c>
      <c r="F25" s="1">
        <v>42114</v>
      </c>
      <c r="G25" t="str">
        <f>"LT"</f>
        <v>LT</v>
      </c>
      <c r="H25" t="str">
        <f>"FT"</f>
        <v>FT</v>
      </c>
      <c r="I25" s="5">
        <v>42115</v>
      </c>
      <c r="J25" s="1">
        <v>42116</v>
      </c>
      <c r="K25" t="str">
        <f t="shared" si="1"/>
        <v xml:space="preserve"> </v>
      </c>
      <c r="L25">
        <v>145</v>
      </c>
      <c r="M25" s="2">
        <v>0</v>
      </c>
      <c r="N25" s="3">
        <v>1</v>
      </c>
      <c r="O25" t="str">
        <f t="shared" si="2"/>
        <v>EUR</v>
      </c>
      <c r="P25" s="4" t="str">
        <f>"16196"</f>
        <v>16196</v>
      </c>
      <c r="Q25" t="str">
        <f t="shared" si="3"/>
        <v>01</v>
      </c>
      <c r="R25" s="2">
        <v>145</v>
      </c>
      <c r="S25" t="str">
        <f t="shared" si="17"/>
        <v xml:space="preserve"> </v>
      </c>
      <c r="T25" t="str">
        <f t="shared" si="17"/>
        <v xml:space="preserve"> </v>
      </c>
      <c r="U25" t="str">
        <f t="shared" si="17"/>
        <v xml:space="preserve"> </v>
      </c>
      <c r="V25" s="2">
        <v>145</v>
      </c>
      <c r="W25" s="4">
        <v>1</v>
      </c>
      <c r="X25" t="str">
        <f>"ABAQUE"</f>
        <v>ABAQUE</v>
      </c>
      <c r="Y25" t="str">
        <f t="shared" si="18"/>
        <v>MP</v>
      </c>
      <c r="Z25" s="1">
        <v>42116</v>
      </c>
      <c r="AA25" t="str">
        <f t="shared" si="6"/>
        <v xml:space="preserve"> </v>
      </c>
      <c r="AB25" s="2">
        <v>0</v>
      </c>
      <c r="AC25" t="str">
        <f>"ABAQUE INDUSTRIE S.A."</f>
        <v>ABAQUE INDUSTRIE S.A.</v>
      </c>
      <c r="AD25" t="str">
        <f t="shared" si="7"/>
        <v xml:space="preserve"> </v>
      </c>
      <c r="AE25" t="str">
        <f>"33290"</f>
        <v>33290</v>
      </c>
      <c r="AF25" t="str">
        <f>"BLANQUEFORT"</f>
        <v>BLANQUEFORT</v>
      </c>
      <c r="AG25" t="str">
        <f t="shared" si="8"/>
        <v xml:space="preserve"> </v>
      </c>
      <c r="AH25" t="str">
        <f t="shared" si="9"/>
        <v>F</v>
      </c>
      <c r="AI25" s="1">
        <v>42114</v>
      </c>
      <c r="AJ25">
        <v>0</v>
      </c>
      <c r="AL25">
        <v>0</v>
      </c>
      <c r="AN25" t="str">
        <f t="shared" si="19"/>
        <v>DEBARROS</v>
      </c>
      <c r="AO25" t="str">
        <f>"ABAQUE INDUSTRIE S.A."</f>
        <v>ABAQUE INDUSTRIE S.A.</v>
      </c>
      <c r="AP25" t="str">
        <f t="shared" si="11"/>
        <v xml:space="preserve"> </v>
      </c>
      <c r="AQ25" s="2">
        <v>0</v>
      </c>
      <c r="AR25" s="3">
        <v>0</v>
      </c>
      <c r="AS25" s="3">
        <v>0</v>
      </c>
      <c r="AT25" s="3">
        <v>0</v>
      </c>
      <c r="AU25">
        <v>0</v>
      </c>
      <c r="AV25">
        <v>0</v>
      </c>
      <c r="AW25">
        <v>0</v>
      </c>
      <c r="AX25" s="3">
        <v>0</v>
      </c>
      <c r="AY25">
        <v>0</v>
      </c>
      <c r="AZ25">
        <v>145</v>
      </c>
      <c r="BA25">
        <v>0</v>
      </c>
      <c r="BB25">
        <v>0</v>
      </c>
      <c r="BC25">
        <v>29</v>
      </c>
      <c r="BD25">
        <v>0</v>
      </c>
      <c r="BE25">
        <v>0</v>
      </c>
      <c r="BF25">
        <v>0</v>
      </c>
      <c r="BG25">
        <v>0</v>
      </c>
      <c r="BH25">
        <v>174</v>
      </c>
      <c r="BI25">
        <v>145</v>
      </c>
      <c r="BJ25" t="str">
        <f t="shared" si="15"/>
        <v>41</v>
      </c>
      <c r="BK25" t="str">
        <f>"CH"</f>
        <v>CH</v>
      </c>
    </row>
    <row r="26" spans="1:63" x14ac:dyDescent="0.3">
      <c r="A26" t="str">
        <f>"202302"</f>
        <v>202302</v>
      </c>
      <c r="B26" t="str">
        <f>"VALLOUREC DRILLING"</f>
        <v>VALLOUREC DRILLING</v>
      </c>
      <c r="C26" t="str">
        <f>"16195"</f>
        <v>16195</v>
      </c>
      <c r="D26" t="str">
        <f>"35011772 POSTE 10"</f>
        <v>35011772 POSTE 10</v>
      </c>
      <c r="E26" t="str">
        <f t="shared" si="14"/>
        <v xml:space="preserve"> </v>
      </c>
      <c r="F26" s="1">
        <v>42114</v>
      </c>
      <c r="G26" t="str">
        <f t="shared" ref="G26:H28" si="20">" "</f>
        <v xml:space="preserve"> </v>
      </c>
      <c r="H26" t="str">
        <f t="shared" si="20"/>
        <v xml:space="preserve"> </v>
      </c>
      <c r="J26" s="1">
        <v>42146</v>
      </c>
      <c r="K26" t="str">
        <f t="shared" si="1"/>
        <v xml:space="preserve"> </v>
      </c>
      <c r="L26">
        <v>3820</v>
      </c>
      <c r="M26" s="2">
        <v>0</v>
      </c>
      <c r="N26" s="3">
        <v>1</v>
      </c>
      <c r="O26" t="str">
        <f t="shared" si="2"/>
        <v>EUR</v>
      </c>
      <c r="P26" s="4" t="str">
        <f>"16195"</f>
        <v>16195</v>
      </c>
      <c r="Q26" t="str">
        <f t="shared" si="3"/>
        <v>01</v>
      </c>
      <c r="R26" s="2">
        <v>3820</v>
      </c>
      <c r="S26" t="str">
        <f t="shared" si="17"/>
        <v xml:space="preserve"> </v>
      </c>
      <c r="T26" t="str">
        <f t="shared" si="17"/>
        <v xml:space="preserve"> </v>
      </c>
      <c r="U26" t="str">
        <f t="shared" si="17"/>
        <v xml:space="preserve"> </v>
      </c>
      <c r="V26" s="2">
        <v>3820</v>
      </c>
      <c r="W26" s="4">
        <v>1</v>
      </c>
      <c r="X26" t="str">
        <f>"VALLOUREC DRILLING"</f>
        <v>VALLOUREC DRILLING</v>
      </c>
      <c r="Y26" t="str">
        <f t="shared" si="18"/>
        <v>MP</v>
      </c>
      <c r="Z26" s="1">
        <v>42146</v>
      </c>
      <c r="AA26" t="str">
        <f t="shared" si="6"/>
        <v xml:space="preserve"> </v>
      </c>
      <c r="AB26" s="2">
        <v>0</v>
      </c>
      <c r="AC26" t="str">
        <f>"VALLOUREC DRILLING PRODUCTS FRANCE"</f>
        <v>VALLOUREC DRILLING PRODUCTS FRANCE</v>
      </c>
      <c r="AD26" t="str">
        <f t="shared" si="7"/>
        <v xml:space="preserve"> </v>
      </c>
      <c r="AE26" t="str">
        <f>"65000"</f>
        <v>65000</v>
      </c>
      <c r="AF26" t="str">
        <f>"TARBES"</f>
        <v>TARBES</v>
      </c>
      <c r="AG26" t="str">
        <f t="shared" si="8"/>
        <v xml:space="preserve"> </v>
      </c>
      <c r="AH26" t="str">
        <f t="shared" si="9"/>
        <v>F</v>
      </c>
      <c r="AI26" s="1">
        <v>42114</v>
      </c>
      <c r="AJ26">
        <v>0</v>
      </c>
      <c r="AL26">
        <v>0</v>
      </c>
      <c r="AN26" t="str">
        <f t="shared" si="19"/>
        <v>DEBARROS</v>
      </c>
      <c r="AO26" t="str">
        <f>"VALLOUREC DRILLING PRODUCTS FRANCE"</f>
        <v>VALLOUREC DRILLING PRODUCTS FRANCE</v>
      </c>
      <c r="AP26" t="str">
        <f t="shared" si="11"/>
        <v xml:space="preserve"> </v>
      </c>
      <c r="AQ26" s="2">
        <v>0</v>
      </c>
      <c r="AR26" s="3">
        <v>0</v>
      </c>
      <c r="AS26" s="3">
        <v>0</v>
      </c>
      <c r="AT26" s="3">
        <v>0</v>
      </c>
      <c r="AU26">
        <v>0</v>
      </c>
      <c r="AV26">
        <v>0</v>
      </c>
      <c r="AW26">
        <v>0</v>
      </c>
      <c r="AX26" s="3">
        <v>0</v>
      </c>
      <c r="AY26">
        <v>0</v>
      </c>
      <c r="AZ26">
        <v>3820</v>
      </c>
      <c r="BA26">
        <v>0</v>
      </c>
      <c r="BB26">
        <v>0</v>
      </c>
      <c r="BC26">
        <v>764</v>
      </c>
      <c r="BD26">
        <v>0</v>
      </c>
      <c r="BE26">
        <v>0</v>
      </c>
      <c r="BF26">
        <v>0</v>
      </c>
      <c r="BG26">
        <v>0</v>
      </c>
      <c r="BH26">
        <v>4584</v>
      </c>
      <c r="BI26">
        <v>3820</v>
      </c>
      <c r="BJ26" t="str">
        <f t="shared" si="15"/>
        <v>41</v>
      </c>
      <c r="BK26" t="str">
        <f t="shared" ref="BK26:BK40" si="21">"VI"</f>
        <v>VI</v>
      </c>
    </row>
    <row r="27" spans="1:63" x14ac:dyDescent="0.3">
      <c r="A27" t="str">
        <f>"202302"</f>
        <v>202302</v>
      </c>
      <c r="B27" t="str">
        <f>"VALLOUREC DRILLING"</f>
        <v>VALLOUREC DRILLING</v>
      </c>
      <c r="C27" t="str">
        <f>"16194"</f>
        <v>16194</v>
      </c>
      <c r="D27" t="str">
        <f>"35011772 poste 20"</f>
        <v>35011772 poste 20</v>
      </c>
      <c r="E27" t="str">
        <f t="shared" si="14"/>
        <v xml:space="preserve"> </v>
      </c>
      <c r="F27" s="1">
        <v>42114</v>
      </c>
      <c r="G27" t="str">
        <f t="shared" si="20"/>
        <v xml:space="preserve"> </v>
      </c>
      <c r="H27" t="str">
        <f t="shared" si="20"/>
        <v xml:space="preserve"> </v>
      </c>
      <c r="J27" s="1">
        <v>42146</v>
      </c>
      <c r="K27" t="str">
        <f t="shared" si="1"/>
        <v xml:space="preserve"> </v>
      </c>
      <c r="L27">
        <v>8440</v>
      </c>
      <c r="M27" s="2">
        <v>0</v>
      </c>
      <c r="N27" s="3">
        <v>1</v>
      </c>
      <c r="O27" t="str">
        <f t="shared" si="2"/>
        <v>EUR</v>
      </c>
      <c r="P27" s="4" t="str">
        <f>"16194"</f>
        <v>16194</v>
      </c>
      <c r="Q27" t="str">
        <f t="shared" si="3"/>
        <v>01</v>
      </c>
      <c r="R27" s="2">
        <v>8440</v>
      </c>
      <c r="S27" t="str">
        <f t="shared" si="17"/>
        <v xml:space="preserve"> </v>
      </c>
      <c r="T27" t="str">
        <f t="shared" si="17"/>
        <v xml:space="preserve"> </v>
      </c>
      <c r="U27" t="str">
        <f t="shared" si="17"/>
        <v xml:space="preserve"> </v>
      </c>
      <c r="V27" s="2">
        <v>8440</v>
      </c>
      <c r="W27" s="4">
        <v>1</v>
      </c>
      <c r="X27" t="str">
        <f>"VALLOUREC DRILLING"</f>
        <v>VALLOUREC DRILLING</v>
      </c>
      <c r="Y27" t="str">
        <f t="shared" si="18"/>
        <v>MP</v>
      </c>
      <c r="Z27" s="1">
        <v>42146</v>
      </c>
      <c r="AA27" t="str">
        <f t="shared" si="6"/>
        <v xml:space="preserve"> </v>
      </c>
      <c r="AB27" s="2">
        <v>0</v>
      </c>
      <c r="AC27" t="str">
        <f>"VALLOUREC DRILLING PRODUCTS FRANCE"</f>
        <v>VALLOUREC DRILLING PRODUCTS FRANCE</v>
      </c>
      <c r="AD27" t="str">
        <f t="shared" si="7"/>
        <v xml:space="preserve"> </v>
      </c>
      <c r="AE27" t="str">
        <f>"65000"</f>
        <v>65000</v>
      </c>
      <c r="AF27" t="str">
        <f>"TARBES"</f>
        <v>TARBES</v>
      </c>
      <c r="AG27" t="str">
        <f t="shared" si="8"/>
        <v xml:space="preserve"> </v>
      </c>
      <c r="AH27" t="str">
        <f t="shared" si="9"/>
        <v>F</v>
      </c>
      <c r="AI27" s="1">
        <v>42114</v>
      </c>
      <c r="AJ27">
        <v>0</v>
      </c>
      <c r="AL27">
        <v>0</v>
      </c>
      <c r="AN27" t="str">
        <f t="shared" si="19"/>
        <v>DEBARROS</v>
      </c>
      <c r="AO27" t="str">
        <f>"VALLOUREC DRILLING PRODUCTS FRANCE"</f>
        <v>VALLOUREC DRILLING PRODUCTS FRANCE</v>
      </c>
      <c r="AP27" t="str">
        <f t="shared" si="11"/>
        <v xml:space="preserve"> </v>
      </c>
      <c r="AQ27" s="2">
        <v>0</v>
      </c>
      <c r="AR27" s="3">
        <v>0</v>
      </c>
      <c r="AS27" s="3">
        <v>0</v>
      </c>
      <c r="AT27" s="3">
        <v>0</v>
      </c>
      <c r="AU27">
        <v>0</v>
      </c>
      <c r="AV27">
        <v>0</v>
      </c>
      <c r="AW27">
        <v>0</v>
      </c>
      <c r="AX27" s="3">
        <v>0</v>
      </c>
      <c r="AY27">
        <v>0</v>
      </c>
      <c r="AZ27">
        <v>8440</v>
      </c>
      <c r="BA27">
        <v>0</v>
      </c>
      <c r="BB27">
        <v>0</v>
      </c>
      <c r="BC27">
        <v>1688</v>
      </c>
      <c r="BD27">
        <v>0</v>
      </c>
      <c r="BE27">
        <v>0</v>
      </c>
      <c r="BF27">
        <v>0</v>
      </c>
      <c r="BG27">
        <v>0</v>
      </c>
      <c r="BH27">
        <v>10128</v>
      </c>
      <c r="BI27">
        <v>8440</v>
      </c>
      <c r="BJ27" t="str">
        <f t="shared" si="15"/>
        <v>41</v>
      </c>
      <c r="BK27" t="str">
        <f t="shared" si="21"/>
        <v>VI</v>
      </c>
    </row>
    <row r="28" spans="1:63" x14ac:dyDescent="0.3">
      <c r="A28" t="str">
        <f>"112200"</f>
        <v>112200</v>
      </c>
      <c r="B28" t="str">
        <f>"AE"</f>
        <v>AE</v>
      </c>
      <c r="C28" t="str">
        <f>"16193"</f>
        <v>16193</v>
      </c>
      <c r="D28" t="str">
        <f>"CF1501396/C316"</f>
        <v>CF1501396/C316</v>
      </c>
      <c r="E28" t="str">
        <f t="shared" si="14"/>
        <v xml:space="preserve"> </v>
      </c>
      <c r="F28" s="1">
        <v>42114</v>
      </c>
      <c r="G28" t="str">
        <f t="shared" si="20"/>
        <v xml:space="preserve"> </v>
      </c>
      <c r="H28" t="str">
        <f t="shared" si="20"/>
        <v xml:space="preserve"> </v>
      </c>
      <c r="J28" s="1">
        <v>42150</v>
      </c>
      <c r="K28" t="str">
        <f t="shared" si="1"/>
        <v xml:space="preserve"> </v>
      </c>
      <c r="L28">
        <v>1440</v>
      </c>
      <c r="M28" s="2">
        <v>0</v>
      </c>
      <c r="N28" s="3">
        <v>1</v>
      </c>
      <c r="O28" t="str">
        <f t="shared" si="2"/>
        <v>EUR</v>
      </c>
      <c r="P28" s="4" t="str">
        <f>"16193"</f>
        <v>16193</v>
      </c>
      <c r="Q28" t="str">
        <f t="shared" si="3"/>
        <v>01</v>
      </c>
      <c r="R28" s="2">
        <v>1440</v>
      </c>
      <c r="S28" t="str">
        <f t="shared" si="17"/>
        <v xml:space="preserve"> </v>
      </c>
      <c r="T28" t="str">
        <f t="shared" si="17"/>
        <v xml:space="preserve"> </v>
      </c>
      <c r="U28" t="str">
        <f t="shared" si="17"/>
        <v xml:space="preserve"> </v>
      </c>
      <c r="V28" s="2">
        <v>1440</v>
      </c>
      <c r="W28" s="4">
        <v>1</v>
      </c>
      <c r="X28" t="str">
        <f>"AE"</f>
        <v>AE</v>
      </c>
      <c r="Y28" t="str">
        <f>"TS"</f>
        <v>TS</v>
      </c>
      <c r="Z28" s="1">
        <v>42150</v>
      </c>
      <c r="AA28" t="str">
        <f t="shared" si="6"/>
        <v xml:space="preserve"> </v>
      </c>
      <c r="AB28" s="2">
        <v>0</v>
      </c>
      <c r="AC28" t="str">
        <f>"AQUITAINE ELECTRONIQUE"</f>
        <v>AQUITAINE ELECTRONIQUE</v>
      </c>
      <c r="AD28" t="str">
        <f t="shared" si="7"/>
        <v xml:space="preserve"> </v>
      </c>
      <c r="AE28" t="str">
        <f>"64121"</f>
        <v>64121</v>
      </c>
      <c r="AF28" t="str">
        <f>"SERRES-CASTET"</f>
        <v>SERRES-CASTET</v>
      </c>
      <c r="AG28" t="str">
        <f t="shared" si="8"/>
        <v xml:space="preserve"> </v>
      </c>
      <c r="AH28" t="str">
        <f t="shared" si="9"/>
        <v>F</v>
      </c>
      <c r="AI28" s="1">
        <v>42114</v>
      </c>
      <c r="AJ28">
        <v>0</v>
      </c>
      <c r="AL28">
        <v>0</v>
      </c>
      <c r="AN28" t="str">
        <f t="shared" si="19"/>
        <v>DEBARROS</v>
      </c>
      <c r="AO28" t="str">
        <f>"AQUITAINE ELECTRONIQUE"</f>
        <v>AQUITAINE ELECTRONIQUE</v>
      </c>
      <c r="AP28" t="str">
        <f t="shared" si="11"/>
        <v xml:space="preserve"> </v>
      </c>
      <c r="AQ28" s="2">
        <v>0</v>
      </c>
      <c r="AR28" s="3">
        <v>0</v>
      </c>
      <c r="AS28" s="3">
        <v>0</v>
      </c>
      <c r="AT28" s="3">
        <v>0</v>
      </c>
      <c r="AU28">
        <v>0</v>
      </c>
      <c r="AV28">
        <v>0</v>
      </c>
      <c r="AW28">
        <v>0</v>
      </c>
      <c r="AX28" s="3">
        <v>0</v>
      </c>
      <c r="AY28">
        <v>0</v>
      </c>
      <c r="AZ28">
        <v>1440</v>
      </c>
      <c r="BA28">
        <v>0</v>
      </c>
      <c r="BB28">
        <v>0</v>
      </c>
      <c r="BC28">
        <v>288</v>
      </c>
      <c r="BD28">
        <v>0</v>
      </c>
      <c r="BE28">
        <v>0</v>
      </c>
      <c r="BF28">
        <v>0</v>
      </c>
      <c r="BG28">
        <v>0</v>
      </c>
      <c r="BH28">
        <v>1728</v>
      </c>
      <c r="BI28">
        <v>1440</v>
      </c>
      <c r="BJ28" t="str">
        <f t="shared" si="15"/>
        <v>41</v>
      </c>
      <c r="BK28" t="str">
        <f t="shared" si="21"/>
        <v>VI</v>
      </c>
    </row>
    <row r="29" spans="1:63" x14ac:dyDescent="0.3">
      <c r="A29" t="str">
        <f>"165300"</f>
        <v>165300</v>
      </c>
      <c r="B29" t="str">
        <f>"METAREG"</f>
        <v>METAREG</v>
      </c>
      <c r="C29" t="str">
        <f>"16192"</f>
        <v>16192</v>
      </c>
      <c r="D29" t="str">
        <f>" "</f>
        <v xml:space="preserve"> </v>
      </c>
      <c r="E29" t="str">
        <f t="shared" si="14"/>
        <v xml:space="preserve"> </v>
      </c>
      <c r="F29" s="1">
        <v>42114</v>
      </c>
      <c r="G29" t="str">
        <f>"LT"</f>
        <v>LT</v>
      </c>
      <c r="H29" t="str">
        <f>"FT"</f>
        <v>FT</v>
      </c>
      <c r="I29" s="5">
        <v>42115</v>
      </c>
      <c r="J29" s="1">
        <v>42116</v>
      </c>
      <c r="K29" t="str">
        <f t="shared" si="1"/>
        <v xml:space="preserve"> </v>
      </c>
      <c r="L29">
        <v>110</v>
      </c>
      <c r="M29" s="2">
        <v>0</v>
      </c>
      <c r="N29" s="3">
        <v>1</v>
      </c>
      <c r="O29" t="str">
        <f t="shared" si="2"/>
        <v>EUR</v>
      </c>
      <c r="P29" s="4" t="str">
        <f>"16192"</f>
        <v>16192</v>
      </c>
      <c r="Q29" t="str">
        <f t="shared" si="3"/>
        <v>01</v>
      </c>
      <c r="R29" s="2">
        <v>110</v>
      </c>
      <c r="S29" t="str">
        <f t="shared" si="17"/>
        <v xml:space="preserve"> </v>
      </c>
      <c r="T29" t="str">
        <f t="shared" si="17"/>
        <v xml:space="preserve"> </v>
      </c>
      <c r="U29" t="str">
        <f t="shared" si="17"/>
        <v xml:space="preserve"> </v>
      </c>
      <c r="V29" s="2">
        <v>110</v>
      </c>
      <c r="W29" s="4">
        <v>1</v>
      </c>
      <c r="X29" t="str">
        <f>"METAREG"</f>
        <v>METAREG</v>
      </c>
      <c r="Y29" t="str">
        <f>"MP"</f>
        <v>MP</v>
      </c>
      <c r="Z29" s="1">
        <v>42116</v>
      </c>
      <c r="AA29" t="str">
        <f t="shared" si="6"/>
        <v xml:space="preserve"> </v>
      </c>
      <c r="AB29" s="2">
        <v>0</v>
      </c>
      <c r="AC29" t="str">
        <f>"EIFFAGE CONTRUCTION METALLIQUE"</f>
        <v>EIFFAGE CONTRUCTION METALLIQUE</v>
      </c>
      <c r="AD29" t="str">
        <f t="shared" si="7"/>
        <v xml:space="preserve"> </v>
      </c>
      <c r="AE29" t="str">
        <f>"33600"</f>
        <v>33600</v>
      </c>
      <c r="AF29" t="str">
        <f>"PESSAC"</f>
        <v>PESSAC</v>
      </c>
      <c r="AG29" t="str">
        <f t="shared" si="8"/>
        <v xml:space="preserve"> </v>
      </c>
      <c r="AH29" t="str">
        <f t="shared" si="9"/>
        <v>F</v>
      </c>
      <c r="AI29" s="1">
        <v>42114</v>
      </c>
      <c r="AJ29">
        <v>0</v>
      </c>
      <c r="AL29">
        <v>0</v>
      </c>
      <c r="AN29" t="str">
        <f t="shared" si="19"/>
        <v>DEBARROS</v>
      </c>
      <c r="AO29" t="str">
        <f>"EIFFAGE CONSTRUCTION METALLIQUE"</f>
        <v>EIFFAGE CONSTRUCTION METALLIQUE</v>
      </c>
      <c r="AP29" t="str">
        <f t="shared" si="11"/>
        <v xml:space="preserve"> </v>
      </c>
      <c r="AQ29" s="2">
        <v>0</v>
      </c>
      <c r="AR29" s="3">
        <v>0</v>
      </c>
      <c r="AS29" s="3">
        <v>0</v>
      </c>
      <c r="AT29" s="3">
        <v>0</v>
      </c>
      <c r="AU29">
        <v>0</v>
      </c>
      <c r="AV29">
        <v>0</v>
      </c>
      <c r="AW29">
        <v>0</v>
      </c>
      <c r="AX29" s="3">
        <v>0</v>
      </c>
      <c r="AY29">
        <v>0</v>
      </c>
      <c r="AZ29">
        <v>110</v>
      </c>
      <c r="BA29">
        <v>0</v>
      </c>
      <c r="BB29">
        <v>0</v>
      </c>
      <c r="BC29">
        <v>22</v>
      </c>
      <c r="BD29">
        <v>0</v>
      </c>
      <c r="BE29">
        <v>0</v>
      </c>
      <c r="BF29">
        <v>0</v>
      </c>
      <c r="BG29">
        <v>0</v>
      </c>
      <c r="BH29">
        <v>132</v>
      </c>
      <c r="BI29">
        <v>110</v>
      </c>
      <c r="BJ29" t="str">
        <f t="shared" si="15"/>
        <v>41</v>
      </c>
      <c r="BK29" t="str">
        <f t="shared" si="21"/>
        <v>VI</v>
      </c>
    </row>
    <row r="30" spans="1:63" x14ac:dyDescent="0.3">
      <c r="A30" t="str">
        <f>"186100"</f>
        <v>186100</v>
      </c>
      <c r="B30" t="str">
        <f>"HERAKLES ( SME )"</f>
        <v>HERAKLES ( SME )</v>
      </c>
      <c r="C30" t="str">
        <f>"16191"</f>
        <v>16191</v>
      </c>
      <c r="D30" t="str">
        <f>"ANS 0738907 1"</f>
        <v>ANS 0738907 1</v>
      </c>
      <c r="E30" t="str">
        <f t="shared" si="14"/>
        <v xml:space="preserve"> </v>
      </c>
      <c r="F30" s="1">
        <v>42111</v>
      </c>
      <c r="G30" t="str">
        <f>"LT"</f>
        <v>LT</v>
      </c>
      <c r="H30" t="str">
        <f>"FT"</f>
        <v>FT</v>
      </c>
      <c r="I30" s="5">
        <v>42121</v>
      </c>
      <c r="J30" s="1">
        <v>42118</v>
      </c>
      <c r="K30" t="str">
        <f t="shared" si="1"/>
        <v xml:space="preserve"> </v>
      </c>
      <c r="L30">
        <v>120</v>
      </c>
      <c r="M30" s="2">
        <v>0</v>
      </c>
      <c r="N30" s="3">
        <v>1</v>
      </c>
      <c r="O30" t="str">
        <f t="shared" si="2"/>
        <v>EUR</v>
      </c>
      <c r="P30" s="4" t="str">
        <f>"16191"</f>
        <v>16191</v>
      </c>
      <c r="Q30" t="str">
        <f t="shared" si="3"/>
        <v>01</v>
      </c>
      <c r="R30" s="2">
        <v>120</v>
      </c>
      <c r="S30" t="str">
        <f t="shared" si="17"/>
        <v xml:space="preserve"> </v>
      </c>
      <c r="T30" t="str">
        <f t="shared" si="17"/>
        <v xml:space="preserve"> </v>
      </c>
      <c r="U30" t="str">
        <f t="shared" si="17"/>
        <v xml:space="preserve"> </v>
      </c>
      <c r="V30" s="2">
        <v>120</v>
      </c>
      <c r="W30" s="4">
        <v>1</v>
      </c>
      <c r="X30" t="str">
        <f>"HERAKLES ( SME )"</f>
        <v>HERAKLES ( SME )</v>
      </c>
      <c r="Y30" t="str">
        <f>"TS"</f>
        <v>TS</v>
      </c>
      <c r="Z30" s="1">
        <v>42118</v>
      </c>
      <c r="AA30" t="str">
        <f t="shared" si="6"/>
        <v xml:space="preserve"> </v>
      </c>
      <c r="AB30" s="2">
        <v>0</v>
      </c>
      <c r="AC30" t="str">
        <f>"SAFRAN HERAKLES"</f>
        <v>SAFRAN HERAKLES</v>
      </c>
      <c r="AD30" t="str">
        <f t="shared" si="7"/>
        <v xml:space="preserve"> </v>
      </c>
      <c r="AE30" t="str">
        <f>"33160"</f>
        <v>33160</v>
      </c>
      <c r="AF30" t="str">
        <f>"Saint Médard en Jalles"</f>
        <v>Saint Médard en Jalles</v>
      </c>
      <c r="AG30" t="str">
        <f t="shared" si="8"/>
        <v xml:space="preserve"> </v>
      </c>
      <c r="AH30" t="str">
        <f t="shared" si="9"/>
        <v>F</v>
      </c>
      <c r="AI30" s="1">
        <v>42111</v>
      </c>
      <c r="AJ30">
        <v>0</v>
      </c>
      <c r="AL30">
        <v>0</v>
      </c>
      <c r="AN30" t="str">
        <f t="shared" si="19"/>
        <v>DEBARROS</v>
      </c>
      <c r="AO30" t="str">
        <f>"HERAKLES ( SME )"</f>
        <v>HERAKLES ( SME )</v>
      </c>
      <c r="AP30" t="str">
        <f t="shared" si="11"/>
        <v xml:space="preserve"> </v>
      </c>
      <c r="AQ30" s="2">
        <v>0</v>
      </c>
      <c r="AR30" s="3">
        <v>0</v>
      </c>
      <c r="AS30" s="3">
        <v>0</v>
      </c>
      <c r="AT30" s="3">
        <v>0</v>
      </c>
      <c r="AU30">
        <v>0</v>
      </c>
      <c r="AV30">
        <v>0</v>
      </c>
      <c r="AW30">
        <v>0</v>
      </c>
      <c r="AX30" s="3">
        <v>0</v>
      </c>
      <c r="AY30">
        <v>0</v>
      </c>
      <c r="AZ30">
        <v>120</v>
      </c>
      <c r="BA30">
        <v>0</v>
      </c>
      <c r="BB30">
        <v>0</v>
      </c>
      <c r="BC30">
        <v>24</v>
      </c>
      <c r="BD30">
        <v>0</v>
      </c>
      <c r="BE30">
        <v>0</v>
      </c>
      <c r="BF30">
        <v>0</v>
      </c>
      <c r="BG30">
        <v>0</v>
      </c>
      <c r="BH30">
        <v>144</v>
      </c>
      <c r="BI30">
        <v>120</v>
      </c>
      <c r="BJ30" t="str">
        <f t="shared" si="15"/>
        <v>41</v>
      </c>
      <c r="BK30" t="str">
        <f t="shared" si="21"/>
        <v>VI</v>
      </c>
    </row>
    <row r="31" spans="1:63" x14ac:dyDescent="0.3">
      <c r="A31" t="str">
        <f>"186100"</f>
        <v>186100</v>
      </c>
      <c r="B31" t="str">
        <f>"HERAKLES ( SME )"</f>
        <v>HERAKLES ( SME )</v>
      </c>
      <c r="C31" t="str">
        <f>"16190"</f>
        <v>16190</v>
      </c>
      <c r="D31" t="str">
        <f>"ANS 0738854 1"</f>
        <v>ANS 0738854 1</v>
      </c>
      <c r="E31" t="str">
        <f t="shared" si="14"/>
        <v xml:space="preserve"> </v>
      </c>
      <c r="F31" s="1">
        <v>42111</v>
      </c>
      <c r="G31" t="str">
        <f>" "</f>
        <v xml:space="preserve"> </v>
      </c>
      <c r="H31" t="str">
        <f>" "</f>
        <v xml:space="preserve"> </v>
      </c>
      <c r="J31" s="1">
        <v>42167</v>
      </c>
      <c r="K31" t="str">
        <f t="shared" si="1"/>
        <v xml:space="preserve"> </v>
      </c>
      <c r="L31">
        <v>9605</v>
      </c>
      <c r="M31" s="2">
        <v>0</v>
      </c>
      <c r="N31" s="3">
        <v>1</v>
      </c>
      <c r="O31" t="str">
        <f t="shared" si="2"/>
        <v>EUR</v>
      </c>
      <c r="P31" s="4" t="str">
        <f>"16190"</f>
        <v>16190</v>
      </c>
      <c r="Q31" t="str">
        <f t="shared" si="3"/>
        <v>01</v>
      </c>
      <c r="R31" s="2">
        <v>9605</v>
      </c>
      <c r="S31" t="str">
        <f t="shared" si="17"/>
        <v xml:space="preserve"> </v>
      </c>
      <c r="T31" t="str">
        <f t="shared" si="17"/>
        <v xml:space="preserve"> </v>
      </c>
      <c r="U31" t="str">
        <f t="shared" si="17"/>
        <v xml:space="preserve"> </v>
      </c>
      <c r="V31" s="2">
        <v>9605</v>
      </c>
      <c r="W31" s="4">
        <v>1</v>
      </c>
      <c r="X31" t="str">
        <f>"HERAKLES ( SME )"</f>
        <v>HERAKLES ( SME )</v>
      </c>
      <c r="Y31" t="str">
        <f>"TS"</f>
        <v>TS</v>
      </c>
      <c r="Z31" s="1">
        <v>42167</v>
      </c>
      <c r="AA31" t="str">
        <f t="shared" si="6"/>
        <v xml:space="preserve"> </v>
      </c>
      <c r="AB31" s="2">
        <v>0</v>
      </c>
      <c r="AC31" t="str">
        <f>"SAFRAN HERAKLES"</f>
        <v>SAFRAN HERAKLES</v>
      </c>
      <c r="AD31" t="str">
        <f t="shared" si="7"/>
        <v xml:space="preserve"> </v>
      </c>
      <c r="AE31" t="str">
        <f>"33160"</f>
        <v>33160</v>
      </c>
      <c r="AF31" t="str">
        <f>"Saint Médard en Jalles"</f>
        <v>Saint Médard en Jalles</v>
      </c>
      <c r="AG31" t="str">
        <f t="shared" si="8"/>
        <v xml:space="preserve"> </v>
      </c>
      <c r="AH31" t="str">
        <f t="shared" si="9"/>
        <v>F</v>
      </c>
      <c r="AI31" s="1">
        <v>42110</v>
      </c>
      <c r="AJ31">
        <v>0</v>
      </c>
      <c r="AL31">
        <v>0</v>
      </c>
      <c r="AN31" t="str">
        <f t="shared" si="19"/>
        <v>DEBARROS</v>
      </c>
      <c r="AO31" t="str">
        <f>"HERAKLES ( SME )"</f>
        <v>HERAKLES ( SME )</v>
      </c>
      <c r="AP31" t="str">
        <f t="shared" si="11"/>
        <v xml:space="preserve"> </v>
      </c>
      <c r="AQ31" s="2">
        <v>0</v>
      </c>
      <c r="AR31" s="3">
        <v>0</v>
      </c>
      <c r="AS31" s="3">
        <v>0</v>
      </c>
      <c r="AT31" s="3">
        <v>0</v>
      </c>
      <c r="AU31">
        <v>0</v>
      </c>
      <c r="AV31">
        <v>0</v>
      </c>
      <c r="AW31">
        <v>0</v>
      </c>
      <c r="AX31" s="3">
        <v>0</v>
      </c>
      <c r="AY31">
        <v>0</v>
      </c>
      <c r="AZ31">
        <v>9605</v>
      </c>
      <c r="BA31">
        <v>0</v>
      </c>
      <c r="BB31">
        <v>0</v>
      </c>
      <c r="BC31">
        <v>1921</v>
      </c>
      <c r="BD31">
        <v>0</v>
      </c>
      <c r="BE31">
        <v>0</v>
      </c>
      <c r="BF31">
        <v>0</v>
      </c>
      <c r="BG31">
        <v>0</v>
      </c>
      <c r="BH31">
        <v>11526</v>
      </c>
      <c r="BI31">
        <v>9605</v>
      </c>
      <c r="BJ31" t="str">
        <f t="shared" si="15"/>
        <v>41</v>
      </c>
      <c r="BK31" t="str">
        <f t="shared" si="21"/>
        <v>VI</v>
      </c>
    </row>
    <row r="32" spans="1:63" x14ac:dyDescent="0.3">
      <c r="A32" t="str">
        <f>"165300"</f>
        <v>165300</v>
      </c>
      <c r="B32" t="str">
        <f>"METAREG"</f>
        <v>METAREG</v>
      </c>
      <c r="C32" t="str">
        <f>"16189"</f>
        <v>16189</v>
      </c>
      <c r="D32" t="str">
        <f>"C150009962/2"</f>
        <v>C150009962/2</v>
      </c>
      <c r="E32" t="str">
        <f t="shared" si="14"/>
        <v xml:space="preserve"> </v>
      </c>
      <c r="F32" s="1">
        <v>42110</v>
      </c>
      <c r="G32" t="str">
        <f>"LT"</f>
        <v>LT</v>
      </c>
      <c r="H32" t="str">
        <f>"FT"</f>
        <v>FT</v>
      </c>
      <c r="I32" s="5">
        <v>42115</v>
      </c>
      <c r="J32" s="1">
        <v>42115</v>
      </c>
      <c r="K32" t="str">
        <f t="shared" si="1"/>
        <v xml:space="preserve"> </v>
      </c>
      <c r="L32">
        <v>480</v>
      </c>
      <c r="M32" s="2">
        <v>0</v>
      </c>
      <c r="N32" s="3">
        <v>1</v>
      </c>
      <c r="O32" t="str">
        <f t="shared" si="2"/>
        <v>EUR</v>
      </c>
      <c r="P32" s="4" t="str">
        <f>"16189"</f>
        <v>16189</v>
      </c>
      <c r="Q32" t="str">
        <f t="shared" si="3"/>
        <v>01</v>
      </c>
      <c r="R32" s="2">
        <v>480</v>
      </c>
      <c r="S32" t="str">
        <f t="shared" si="17"/>
        <v xml:space="preserve"> </v>
      </c>
      <c r="T32" t="str">
        <f t="shared" si="17"/>
        <v xml:space="preserve"> </v>
      </c>
      <c r="U32" t="str">
        <f t="shared" si="17"/>
        <v xml:space="preserve"> </v>
      </c>
      <c r="V32" s="2">
        <v>480</v>
      </c>
      <c r="W32" s="4">
        <v>1</v>
      </c>
      <c r="X32" t="str">
        <f>"METAREG"</f>
        <v>METAREG</v>
      </c>
      <c r="Y32" t="str">
        <f>"MP"</f>
        <v>MP</v>
      </c>
      <c r="Z32" s="1">
        <v>42115</v>
      </c>
      <c r="AA32" t="str">
        <f t="shared" si="6"/>
        <v xml:space="preserve"> </v>
      </c>
      <c r="AB32" s="2">
        <v>0</v>
      </c>
      <c r="AC32" t="str">
        <f>"EIFFAGE CONTRUCTION METALLIQUE"</f>
        <v>EIFFAGE CONTRUCTION METALLIQUE</v>
      </c>
      <c r="AD32" t="str">
        <f t="shared" si="7"/>
        <v xml:space="preserve"> </v>
      </c>
      <c r="AE32" t="str">
        <f>"33600"</f>
        <v>33600</v>
      </c>
      <c r="AF32" t="str">
        <f>"PESSAC"</f>
        <v>PESSAC</v>
      </c>
      <c r="AG32" t="str">
        <f t="shared" si="8"/>
        <v xml:space="preserve"> </v>
      </c>
      <c r="AH32" t="str">
        <f t="shared" si="9"/>
        <v>F</v>
      </c>
      <c r="AI32" s="1">
        <v>42110</v>
      </c>
      <c r="AJ32">
        <v>0</v>
      </c>
      <c r="AL32">
        <v>0</v>
      </c>
      <c r="AN32" t="str">
        <f t="shared" si="19"/>
        <v>DEBARROS</v>
      </c>
      <c r="AO32" t="str">
        <f>"EIFFAGE CONSTRUCTION METALLIQUE"</f>
        <v>EIFFAGE CONSTRUCTION METALLIQUE</v>
      </c>
      <c r="AP32" t="str">
        <f t="shared" si="11"/>
        <v xml:space="preserve"> </v>
      </c>
      <c r="AQ32" s="2">
        <v>0</v>
      </c>
      <c r="AR32" s="3">
        <v>0</v>
      </c>
      <c r="AS32" s="3">
        <v>0</v>
      </c>
      <c r="AT32" s="3">
        <v>0</v>
      </c>
      <c r="AU32">
        <v>0</v>
      </c>
      <c r="AV32">
        <v>0</v>
      </c>
      <c r="AW32">
        <v>0</v>
      </c>
      <c r="AX32" s="3">
        <v>0</v>
      </c>
      <c r="AY32">
        <v>0</v>
      </c>
      <c r="AZ32">
        <v>480</v>
      </c>
      <c r="BA32">
        <v>0</v>
      </c>
      <c r="BB32">
        <v>0</v>
      </c>
      <c r="BC32">
        <v>96</v>
      </c>
      <c r="BD32">
        <v>0</v>
      </c>
      <c r="BE32">
        <v>0</v>
      </c>
      <c r="BF32">
        <v>0</v>
      </c>
      <c r="BG32">
        <v>0</v>
      </c>
      <c r="BH32">
        <v>576</v>
      </c>
      <c r="BI32">
        <v>480</v>
      </c>
      <c r="BJ32" t="str">
        <f t="shared" si="15"/>
        <v>41</v>
      </c>
      <c r="BK32" t="str">
        <f t="shared" si="21"/>
        <v>VI</v>
      </c>
    </row>
    <row r="33" spans="1:63" x14ac:dyDescent="0.3">
      <c r="A33" t="str">
        <f>"186100"</f>
        <v>186100</v>
      </c>
      <c r="B33" t="str">
        <f>"HERAKLES ( SME )"</f>
        <v>HERAKLES ( SME )</v>
      </c>
      <c r="C33" t="str">
        <f>"16188"</f>
        <v>16188</v>
      </c>
      <c r="D33" t="str">
        <f>"ANS 0738851 1"</f>
        <v>ANS 0738851 1</v>
      </c>
      <c r="E33" t="str">
        <f t="shared" si="14"/>
        <v xml:space="preserve"> </v>
      </c>
      <c r="F33" s="1">
        <v>42110</v>
      </c>
      <c r="G33" t="str">
        <f>" "</f>
        <v xml:space="preserve"> </v>
      </c>
      <c r="H33" t="str">
        <f>" "</f>
        <v xml:space="preserve"> </v>
      </c>
      <c r="J33" s="1">
        <v>42167</v>
      </c>
      <c r="K33" t="str">
        <f t="shared" si="1"/>
        <v xml:space="preserve"> </v>
      </c>
      <c r="L33">
        <v>65863</v>
      </c>
      <c r="M33" s="2">
        <v>0</v>
      </c>
      <c r="N33" s="3">
        <v>1</v>
      </c>
      <c r="O33" t="str">
        <f t="shared" si="2"/>
        <v>EUR</v>
      </c>
      <c r="P33" s="4" t="str">
        <f>"16188"</f>
        <v>16188</v>
      </c>
      <c r="Q33" t="str">
        <f t="shared" si="3"/>
        <v>01</v>
      </c>
      <c r="R33" s="2">
        <v>65863</v>
      </c>
      <c r="S33" t="str">
        <f t="shared" si="17"/>
        <v xml:space="preserve"> </v>
      </c>
      <c r="T33" t="str">
        <f t="shared" si="17"/>
        <v xml:space="preserve"> </v>
      </c>
      <c r="U33" t="str">
        <f t="shared" si="17"/>
        <v xml:space="preserve"> </v>
      </c>
      <c r="V33" s="2">
        <v>65863</v>
      </c>
      <c r="W33" s="4">
        <v>1</v>
      </c>
      <c r="X33" t="str">
        <f>"HERAKLES ( SME )"</f>
        <v>HERAKLES ( SME )</v>
      </c>
      <c r="Y33" t="str">
        <f>"TS"</f>
        <v>TS</v>
      </c>
      <c r="Z33" s="1">
        <v>42167</v>
      </c>
      <c r="AA33" t="str">
        <f t="shared" si="6"/>
        <v xml:space="preserve"> </v>
      </c>
      <c r="AB33" s="2">
        <v>0</v>
      </c>
      <c r="AC33" t="str">
        <f>"SAFRAN HERAKLES"</f>
        <v>SAFRAN HERAKLES</v>
      </c>
      <c r="AD33" t="str">
        <f t="shared" si="7"/>
        <v xml:space="preserve"> </v>
      </c>
      <c r="AE33" t="str">
        <f>"33160"</f>
        <v>33160</v>
      </c>
      <c r="AF33" t="str">
        <f>"Saint Médard en Jalles"</f>
        <v>Saint Médard en Jalles</v>
      </c>
      <c r="AG33" t="str">
        <f t="shared" si="8"/>
        <v xml:space="preserve"> </v>
      </c>
      <c r="AH33" t="str">
        <f t="shared" si="9"/>
        <v>F</v>
      </c>
      <c r="AI33" s="1">
        <v>42110</v>
      </c>
      <c r="AJ33">
        <v>0</v>
      </c>
      <c r="AL33">
        <v>0</v>
      </c>
      <c r="AN33" t="str">
        <f t="shared" si="19"/>
        <v>DEBARROS</v>
      </c>
      <c r="AO33" t="str">
        <f>"HERAKLES ( SME )"</f>
        <v>HERAKLES ( SME )</v>
      </c>
      <c r="AP33" t="str">
        <f t="shared" si="11"/>
        <v xml:space="preserve"> </v>
      </c>
      <c r="AQ33" s="2">
        <v>0</v>
      </c>
      <c r="AR33" s="3">
        <v>0</v>
      </c>
      <c r="AS33" s="3">
        <v>0</v>
      </c>
      <c r="AT33" s="3">
        <v>0</v>
      </c>
      <c r="AU33">
        <v>0</v>
      </c>
      <c r="AV33">
        <v>0</v>
      </c>
      <c r="AW33">
        <v>0</v>
      </c>
      <c r="AX33" s="3">
        <v>0</v>
      </c>
      <c r="AY33">
        <v>0</v>
      </c>
      <c r="AZ33">
        <v>65863</v>
      </c>
      <c r="BA33">
        <v>0</v>
      </c>
      <c r="BB33">
        <v>0</v>
      </c>
      <c r="BC33">
        <v>13172.6</v>
      </c>
      <c r="BD33">
        <v>0</v>
      </c>
      <c r="BE33">
        <v>0</v>
      </c>
      <c r="BF33">
        <v>0</v>
      </c>
      <c r="BG33">
        <v>0</v>
      </c>
      <c r="BH33">
        <v>79035.600000000006</v>
      </c>
      <c r="BI33">
        <v>65863</v>
      </c>
      <c r="BJ33" t="str">
        <f t="shared" si="15"/>
        <v>41</v>
      </c>
      <c r="BK33" t="str">
        <f t="shared" si="21"/>
        <v>VI</v>
      </c>
    </row>
    <row r="34" spans="1:63" x14ac:dyDescent="0.3">
      <c r="A34" t="str">
        <f>"202302"</f>
        <v>202302</v>
      </c>
      <c r="B34" t="str">
        <f>"VALLOUREC DRILLING"</f>
        <v>VALLOUREC DRILLING</v>
      </c>
      <c r="C34" t="str">
        <f>"16187"</f>
        <v>16187</v>
      </c>
      <c r="D34" t="str">
        <f>"35011732 poste 10"</f>
        <v>35011732 poste 10</v>
      </c>
      <c r="E34" t="str">
        <f t="shared" si="14"/>
        <v xml:space="preserve"> </v>
      </c>
      <c r="F34" s="1">
        <v>42109</v>
      </c>
      <c r="G34" t="str">
        <f>" "</f>
        <v xml:space="preserve"> </v>
      </c>
      <c r="H34" t="str">
        <f>" "</f>
        <v xml:space="preserve"> </v>
      </c>
      <c r="J34" s="1">
        <v>42160</v>
      </c>
      <c r="K34" t="str">
        <f t="shared" ref="K34:K65" si="22">" "</f>
        <v xml:space="preserve"> </v>
      </c>
      <c r="L34">
        <v>2000</v>
      </c>
      <c r="M34" s="2">
        <v>0</v>
      </c>
      <c r="N34" s="3">
        <v>1</v>
      </c>
      <c r="O34" t="str">
        <f t="shared" ref="O34:O65" si="23">"EUR"</f>
        <v>EUR</v>
      </c>
      <c r="P34" s="4" t="str">
        <f>"16187"</f>
        <v>16187</v>
      </c>
      <c r="Q34" t="str">
        <f t="shared" ref="Q34:Q65" si="24">"01"</f>
        <v>01</v>
      </c>
      <c r="R34" s="2">
        <v>2000</v>
      </c>
      <c r="S34" t="str">
        <f t="shared" si="17"/>
        <v xml:space="preserve"> </v>
      </c>
      <c r="T34" t="str">
        <f t="shared" si="17"/>
        <v xml:space="preserve"> </v>
      </c>
      <c r="U34" t="str">
        <f t="shared" si="17"/>
        <v xml:space="preserve"> </v>
      </c>
      <c r="V34" s="2">
        <v>2000</v>
      </c>
      <c r="W34" s="4">
        <v>1</v>
      </c>
      <c r="X34" t="str">
        <f>"VALLOUREC DRILLING"</f>
        <v>VALLOUREC DRILLING</v>
      </c>
      <c r="Y34" t="str">
        <f>"MP"</f>
        <v>MP</v>
      </c>
      <c r="Z34" s="1">
        <v>42160</v>
      </c>
      <c r="AA34" t="str">
        <f t="shared" ref="AA34:AA65" si="25">" "</f>
        <v xml:space="preserve"> </v>
      </c>
      <c r="AB34" s="2">
        <v>0</v>
      </c>
      <c r="AC34" t="str">
        <f>"VALLOUREC DRILLING PRODUCTS FRANCE"</f>
        <v>VALLOUREC DRILLING PRODUCTS FRANCE</v>
      </c>
      <c r="AD34" t="str">
        <f t="shared" ref="AD34:AD65" si="26">" "</f>
        <v xml:space="preserve"> </v>
      </c>
      <c r="AE34" t="str">
        <f>"65000"</f>
        <v>65000</v>
      </c>
      <c r="AF34" t="str">
        <f>"TARBES"</f>
        <v>TARBES</v>
      </c>
      <c r="AG34" t="str">
        <f t="shared" ref="AG34:AG65" si="27">" "</f>
        <v xml:space="preserve"> </v>
      </c>
      <c r="AH34" t="str">
        <f t="shared" ref="AH34:AH65" si="28">"F"</f>
        <v>F</v>
      </c>
      <c r="AI34" s="1">
        <v>42109</v>
      </c>
      <c r="AJ34">
        <v>0</v>
      </c>
      <c r="AL34">
        <v>0</v>
      </c>
      <c r="AN34" t="str">
        <f t="shared" si="19"/>
        <v>DEBARROS</v>
      </c>
      <c r="AO34" t="str">
        <f>"VALLOUREC DRILLING PRODUCTS FRANCE"</f>
        <v>VALLOUREC DRILLING PRODUCTS FRANCE</v>
      </c>
      <c r="AP34" t="str">
        <f t="shared" ref="AP34:AP65" si="29">" "</f>
        <v xml:space="preserve"> </v>
      </c>
      <c r="AQ34" s="2">
        <v>0</v>
      </c>
      <c r="AR34" s="3">
        <v>0</v>
      </c>
      <c r="AS34" s="3">
        <v>0</v>
      </c>
      <c r="AT34" s="3">
        <v>0</v>
      </c>
      <c r="AU34">
        <v>0</v>
      </c>
      <c r="AV34">
        <v>0</v>
      </c>
      <c r="AW34">
        <v>0</v>
      </c>
      <c r="AX34" s="3">
        <v>0</v>
      </c>
      <c r="AY34">
        <v>0</v>
      </c>
      <c r="AZ34">
        <v>2000</v>
      </c>
      <c r="BA34">
        <v>0</v>
      </c>
      <c r="BB34">
        <v>0</v>
      </c>
      <c r="BC34">
        <v>400</v>
      </c>
      <c r="BD34">
        <v>0</v>
      </c>
      <c r="BE34">
        <v>0</v>
      </c>
      <c r="BF34">
        <v>0</v>
      </c>
      <c r="BG34">
        <v>0</v>
      </c>
      <c r="BH34">
        <v>2400</v>
      </c>
      <c r="BI34">
        <v>2000</v>
      </c>
      <c r="BJ34" t="str">
        <f t="shared" si="15"/>
        <v>41</v>
      </c>
      <c r="BK34" t="str">
        <f t="shared" si="21"/>
        <v>VI</v>
      </c>
    </row>
    <row r="35" spans="1:63" x14ac:dyDescent="0.3">
      <c r="A35" t="str">
        <f>"165300"</f>
        <v>165300</v>
      </c>
      <c r="B35" t="str">
        <f>"METAREG"</f>
        <v>METAREG</v>
      </c>
      <c r="C35" t="str">
        <f>"16186"</f>
        <v>16186</v>
      </c>
      <c r="D35" t="str">
        <f>"C150009927/1"</f>
        <v>C150009927/1</v>
      </c>
      <c r="E35" t="str">
        <f t="shared" ref="E35:E66" si="30">" "</f>
        <v xml:space="preserve"> </v>
      </c>
      <c r="F35" s="1">
        <v>42109</v>
      </c>
      <c r="G35" t="str">
        <f>"LT"</f>
        <v>LT</v>
      </c>
      <c r="H35" t="str">
        <f>"FT"</f>
        <v>FT</v>
      </c>
      <c r="I35" s="5">
        <v>42114</v>
      </c>
      <c r="J35" s="1">
        <v>42116</v>
      </c>
      <c r="K35" t="str">
        <f t="shared" si="22"/>
        <v xml:space="preserve"> </v>
      </c>
      <c r="L35">
        <v>1900</v>
      </c>
      <c r="M35" s="2">
        <v>0</v>
      </c>
      <c r="N35" s="3">
        <v>1</v>
      </c>
      <c r="O35" t="str">
        <f t="shared" si="23"/>
        <v>EUR</v>
      </c>
      <c r="P35" s="4" t="str">
        <f>"16186"</f>
        <v>16186</v>
      </c>
      <c r="Q35" t="str">
        <f t="shared" si="24"/>
        <v>01</v>
      </c>
      <c r="R35" s="2">
        <v>1900</v>
      </c>
      <c r="S35" t="str">
        <f t="shared" si="17"/>
        <v xml:space="preserve"> </v>
      </c>
      <c r="T35" t="str">
        <f t="shared" si="17"/>
        <v xml:space="preserve"> </v>
      </c>
      <c r="U35" t="str">
        <f t="shared" si="17"/>
        <v xml:space="preserve"> </v>
      </c>
      <c r="V35" s="2">
        <v>1900</v>
      </c>
      <c r="W35" s="4">
        <v>1</v>
      </c>
      <c r="X35" t="str">
        <f>"METAREG"</f>
        <v>METAREG</v>
      </c>
      <c r="Y35" t="str">
        <f>"MP"</f>
        <v>MP</v>
      </c>
      <c r="Z35" s="1">
        <v>42116</v>
      </c>
      <c r="AA35" t="str">
        <f t="shared" si="25"/>
        <v xml:space="preserve"> </v>
      </c>
      <c r="AB35" s="2">
        <v>0</v>
      </c>
      <c r="AC35" t="str">
        <f>"EIFFAGE CONTRUCTION METALLIQUE"</f>
        <v>EIFFAGE CONTRUCTION METALLIQUE</v>
      </c>
      <c r="AD35" t="str">
        <f t="shared" si="26"/>
        <v xml:space="preserve"> </v>
      </c>
      <c r="AE35" t="str">
        <f>"33600"</f>
        <v>33600</v>
      </c>
      <c r="AF35" t="str">
        <f>"PESSAC"</f>
        <v>PESSAC</v>
      </c>
      <c r="AG35" t="str">
        <f t="shared" si="27"/>
        <v xml:space="preserve"> </v>
      </c>
      <c r="AH35" t="str">
        <f t="shared" si="28"/>
        <v>F</v>
      </c>
      <c r="AI35" s="1">
        <v>42109</v>
      </c>
      <c r="AJ35">
        <v>0</v>
      </c>
      <c r="AL35">
        <v>0</v>
      </c>
      <c r="AN35" t="str">
        <f t="shared" si="19"/>
        <v>DEBARROS</v>
      </c>
      <c r="AO35" t="str">
        <f>"EIFFAGE CONSTRUCTION METALLIQUE"</f>
        <v>EIFFAGE CONSTRUCTION METALLIQUE</v>
      </c>
      <c r="AP35" t="str">
        <f t="shared" si="29"/>
        <v xml:space="preserve"> </v>
      </c>
      <c r="AQ35" s="2">
        <v>0</v>
      </c>
      <c r="AR35" s="3">
        <v>0</v>
      </c>
      <c r="AS35" s="3">
        <v>0</v>
      </c>
      <c r="AT35" s="3">
        <v>0</v>
      </c>
      <c r="AU35">
        <v>0</v>
      </c>
      <c r="AV35">
        <v>0</v>
      </c>
      <c r="AW35">
        <v>0</v>
      </c>
      <c r="AX35" s="3">
        <v>0</v>
      </c>
      <c r="AY35">
        <v>0</v>
      </c>
      <c r="AZ35">
        <v>1900</v>
      </c>
      <c r="BA35">
        <v>0</v>
      </c>
      <c r="BB35">
        <v>0</v>
      </c>
      <c r="BC35">
        <v>380</v>
      </c>
      <c r="BD35">
        <v>0</v>
      </c>
      <c r="BE35">
        <v>0</v>
      </c>
      <c r="BF35">
        <v>0</v>
      </c>
      <c r="BG35">
        <v>0</v>
      </c>
      <c r="BH35">
        <v>2280</v>
      </c>
      <c r="BI35">
        <v>1900</v>
      </c>
      <c r="BJ35" t="str">
        <f t="shared" si="15"/>
        <v>41</v>
      </c>
      <c r="BK35" t="str">
        <f t="shared" si="21"/>
        <v>VI</v>
      </c>
    </row>
    <row r="36" spans="1:63" x14ac:dyDescent="0.3">
      <c r="A36" t="str">
        <f>"199983"</f>
        <v>199983</v>
      </c>
      <c r="B36" t="str">
        <f>"DEDIENNE AEROSPACE"</f>
        <v>DEDIENNE AEROSPACE</v>
      </c>
      <c r="C36" t="str">
        <f>"16185"</f>
        <v>16185</v>
      </c>
      <c r="D36" t="str">
        <f>"TCC150520-1"</f>
        <v>TCC150520-1</v>
      </c>
      <c r="E36" t="str">
        <f t="shared" si="30"/>
        <v xml:space="preserve"> </v>
      </c>
      <c r="F36" s="1">
        <v>42109</v>
      </c>
      <c r="G36" t="str">
        <f>" "</f>
        <v xml:space="preserve"> </v>
      </c>
      <c r="H36" t="str">
        <f>" "</f>
        <v xml:space="preserve"> </v>
      </c>
      <c r="J36" s="1">
        <v>42144</v>
      </c>
      <c r="K36" t="str">
        <f t="shared" si="22"/>
        <v xml:space="preserve"> </v>
      </c>
      <c r="L36">
        <v>1500</v>
      </c>
      <c r="M36" s="2">
        <v>0</v>
      </c>
      <c r="N36" s="3">
        <v>1</v>
      </c>
      <c r="O36" t="str">
        <f t="shared" si="23"/>
        <v>EUR</v>
      </c>
      <c r="P36" s="4" t="str">
        <f>"16185"</f>
        <v>16185</v>
      </c>
      <c r="Q36" t="str">
        <f t="shared" si="24"/>
        <v>01</v>
      </c>
      <c r="R36" s="2">
        <v>1500</v>
      </c>
      <c r="S36" t="str">
        <f t="shared" si="17"/>
        <v xml:space="preserve"> </v>
      </c>
      <c r="T36" t="str">
        <f t="shared" si="17"/>
        <v xml:space="preserve"> </v>
      </c>
      <c r="U36" t="str">
        <f t="shared" si="17"/>
        <v xml:space="preserve"> </v>
      </c>
      <c r="V36" s="2">
        <v>1500</v>
      </c>
      <c r="W36" s="4">
        <v>1</v>
      </c>
      <c r="X36" t="str">
        <f>"DEDIENNE AEROSPACE"</f>
        <v>DEDIENNE AEROSPACE</v>
      </c>
      <c r="Y36" t="str">
        <f>"MP"</f>
        <v>MP</v>
      </c>
      <c r="Z36" s="1">
        <v>42144</v>
      </c>
      <c r="AA36" t="str">
        <f t="shared" si="25"/>
        <v xml:space="preserve"> </v>
      </c>
      <c r="AB36" s="2">
        <v>0</v>
      </c>
      <c r="AC36" t="str">
        <f>"DEDIENNE AEROSPACE"</f>
        <v>DEDIENNE AEROSPACE</v>
      </c>
      <c r="AD36" t="str">
        <f t="shared" si="26"/>
        <v xml:space="preserve"> </v>
      </c>
      <c r="AE36" t="str">
        <f>"31300"</f>
        <v>31300</v>
      </c>
      <c r="AF36" t="str">
        <f>"Toulouse"</f>
        <v>Toulouse</v>
      </c>
      <c r="AG36" t="str">
        <f t="shared" si="27"/>
        <v xml:space="preserve"> </v>
      </c>
      <c r="AH36" t="str">
        <f t="shared" si="28"/>
        <v>F</v>
      </c>
      <c r="AI36" s="1">
        <v>42108</v>
      </c>
      <c r="AJ36">
        <v>0</v>
      </c>
      <c r="AL36">
        <v>0</v>
      </c>
      <c r="AN36" t="str">
        <f t="shared" si="19"/>
        <v>DEBARROS</v>
      </c>
      <c r="AO36" t="str">
        <f>"DEDIENNE AEROSPACE"</f>
        <v>DEDIENNE AEROSPACE</v>
      </c>
      <c r="AP36" t="str">
        <f t="shared" si="29"/>
        <v xml:space="preserve"> </v>
      </c>
      <c r="AQ36" s="2">
        <v>0</v>
      </c>
      <c r="AR36" s="3">
        <v>0</v>
      </c>
      <c r="AS36" s="3">
        <v>0</v>
      </c>
      <c r="AT36" s="3">
        <v>0</v>
      </c>
      <c r="AU36">
        <v>0</v>
      </c>
      <c r="AV36">
        <v>0</v>
      </c>
      <c r="AW36">
        <v>0</v>
      </c>
      <c r="AX36" s="3">
        <v>0</v>
      </c>
      <c r="AY36">
        <v>0</v>
      </c>
      <c r="AZ36">
        <v>1500</v>
      </c>
      <c r="BA36">
        <v>0</v>
      </c>
      <c r="BB36">
        <v>0</v>
      </c>
      <c r="BC36">
        <v>300</v>
      </c>
      <c r="BD36">
        <v>0</v>
      </c>
      <c r="BE36">
        <v>0</v>
      </c>
      <c r="BF36">
        <v>0</v>
      </c>
      <c r="BG36">
        <v>0</v>
      </c>
      <c r="BH36">
        <v>1800</v>
      </c>
      <c r="BI36">
        <v>1500</v>
      </c>
      <c r="BJ36" t="str">
        <f t="shared" si="15"/>
        <v>41</v>
      </c>
      <c r="BK36" t="str">
        <f t="shared" si="21"/>
        <v>VI</v>
      </c>
    </row>
    <row r="37" spans="1:63" x14ac:dyDescent="0.3">
      <c r="A37" t="str">
        <f>"181600"</f>
        <v>181600</v>
      </c>
      <c r="B37" t="str">
        <f>"REDA"</f>
        <v>REDA</v>
      </c>
      <c r="C37" t="str">
        <f>"16184"</f>
        <v>16184</v>
      </c>
      <c r="D37" t="str">
        <f>"YF23155"</f>
        <v>YF23155</v>
      </c>
      <c r="E37" t="str">
        <f t="shared" si="30"/>
        <v xml:space="preserve"> </v>
      </c>
      <c r="F37" s="1">
        <v>42108</v>
      </c>
      <c r="G37" t="str">
        <f>"LT"</f>
        <v>LT</v>
      </c>
      <c r="H37" t="str">
        <f>"FT"</f>
        <v>FT</v>
      </c>
      <c r="I37" s="5">
        <v>42109</v>
      </c>
      <c r="J37" s="1">
        <v>42116</v>
      </c>
      <c r="K37" t="str">
        <f t="shared" si="22"/>
        <v xml:space="preserve"> </v>
      </c>
      <c r="L37">
        <v>150</v>
      </c>
      <c r="M37" s="2">
        <v>0</v>
      </c>
      <c r="N37" s="3">
        <v>1</v>
      </c>
      <c r="O37" t="str">
        <f t="shared" si="23"/>
        <v>EUR</v>
      </c>
      <c r="P37" s="4" t="str">
        <f>"16184"</f>
        <v>16184</v>
      </c>
      <c r="Q37" t="str">
        <f t="shared" si="24"/>
        <v>01</v>
      </c>
      <c r="R37" s="2">
        <v>150</v>
      </c>
      <c r="S37" t="str">
        <f t="shared" si="17"/>
        <v xml:space="preserve"> </v>
      </c>
      <c r="T37" t="str">
        <f t="shared" si="17"/>
        <v xml:space="preserve"> </v>
      </c>
      <c r="U37" t="str">
        <f t="shared" si="17"/>
        <v xml:space="preserve"> </v>
      </c>
      <c r="V37" s="2">
        <v>150</v>
      </c>
      <c r="W37" s="4">
        <v>1</v>
      </c>
      <c r="X37" t="str">
        <f>"REDA"</f>
        <v>REDA</v>
      </c>
      <c r="Y37" t="str">
        <f>"TS"</f>
        <v>TS</v>
      </c>
      <c r="Z37" s="1">
        <v>42116</v>
      </c>
      <c r="AA37" t="str">
        <f t="shared" si="25"/>
        <v xml:space="preserve"> </v>
      </c>
      <c r="AB37" s="2">
        <v>0</v>
      </c>
      <c r="AC37" t="str">
        <f>"REDA"</f>
        <v>REDA</v>
      </c>
      <c r="AD37" t="str">
        <f t="shared" si="26"/>
        <v xml:space="preserve"> </v>
      </c>
      <c r="AE37" t="str">
        <f>"33700"</f>
        <v>33700</v>
      </c>
      <c r="AF37" t="str">
        <f>"MERIGNAC"</f>
        <v>MERIGNAC</v>
      </c>
      <c r="AG37" t="str">
        <f t="shared" si="27"/>
        <v xml:space="preserve"> </v>
      </c>
      <c r="AH37" t="str">
        <f t="shared" si="28"/>
        <v>F</v>
      </c>
      <c r="AI37" s="1">
        <v>42108</v>
      </c>
      <c r="AJ37">
        <v>0</v>
      </c>
      <c r="AL37">
        <v>0</v>
      </c>
      <c r="AN37" t="str">
        <f t="shared" si="19"/>
        <v>DEBARROS</v>
      </c>
      <c r="AO37" t="str">
        <f>"REDA"</f>
        <v>REDA</v>
      </c>
      <c r="AP37" t="str">
        <f t="shared" si="29"/>
        <v xml:space="preserve"> </v>
      </c>
      <c r="AQ37" s="2">
        <v>0</v>
      </c>
      <c r="AR37" s="3">
        <v>0</v>
      </c>
      <c r="AS37" s="3">
        <v>0</v>
      </c>
      <c r="AT37" s="3">
        <v>0</v>
      </c>
      <c r="AU37">
        <v>0</v>
      </c>
      <c r="AV37">
        <v>0</v>
      </c>
      <c r="AW37">
        <v>0</v>
      </c>
      <c r="AX37" s="3">
        <v>0</v>
      </c>
      <c r="AY37">
        <v>0</v>
      </c>
      <c r="AZ37">
        <v>150</v>
      </c>
      <c r="BA37">
        <v>0</v>
      </c>
      <c r="BB37">
        <v>0</v>
      </c>
      <c r="BC37">
        <v>30</v>
      </c>
      <c r="BD37">
        <v>0</v>
      </c>
      <c r="BE37">
        <v>0</v>
      </c>
      <c r="BF37">
        <v>0</v>
      </c>
      <c r="BG37">
        <v>0</v>
      </c>
      <c r="BH37">
        <v>180</v>
      </c>
      <c r="BI37">
        <v>150</v>
      </c>
      <c r="BJ37" t="str">
        <f t="shared" si="15"/>
        <v>41</v>
      </c>
      <c r="BK37" t="str">
        <f t="shared" si="21"/>
        <v>VI</v>
      </c>
    </row>
    <row r="38" spans="1:63" x14ac:dyDescent="0.3">
      <c r="A38" t="str">
        <f>"186100"</f>
        <v>186100</v>
      </c>
      <c r="B38" t="str">
        <f>"HERAKLES ( SME )"</f>
        <v>HERAKLES ( SME )</v>
      </c>
      <c r="C38" t="str">
        <f>"16183"</f>
        <v>16183</v>
      </c>
      <c r="D38" t="str">
        <f>"ANS 0738823 1"</f>
        <v>ANS 0738823 1</v>
      </c>
      <c r="E38" t="str">
        <f t="shared" si="30"/>
        <v xml:space="preserve"> </v>
      </c>
      <c r="F38" s="1">
        <v>42108</v>
      </c>
      <c r="G38" t="str">
        <f>" "</f>
        <v xml:space="preserve"> </v>
      </c>
      <c r="H38" t="str">
        <f>" "</f>
        <v xml:space="preserve"> </v>
      </c>
      <c r="J38" s="1">
        <v>42142</v>
      </c>
      <c r="K38" t="str">
        <f t="shared" si="22"/>
        <v xml:space="preserve"> </v>
      </c>
      <c r="L38">
        <v>3245</v>
      </c>
      <c r="M38" s="2">
        <v>0</v>
      </c>
      <c r="N38" s="3">
        <v>1</v>
      </c>
      <c r="O38" t="str">
        <f t="shared" si="23"/>
        <v>EUR</v>
      </c>
      <c r="P38" s="4" t="str">
        <f>"16183"</f>
        <v>16183</v>
      </c>
      <c r="Q38" t="str">
        <f t="shared" si="24"/>
        <v>01</v>
      </c>
      <c r="R38" s="2">
        <v>3245</v>
      </c>
      <c r="S38" t="str">
        <f t="shared" si="17"/>
        <v xml:space="preserve"> </v>
      </c>
      <c r="T38" t="str">
        <f t="shared" si="17"/>
        <v xml:space="preserve"> </v>
      </c>
      <c r="U38" t="str">
        <f t="shared" si="17"/>
        <v xml:space="preserve"> </v>
      </c>
      <c r="V38" s="2">
        <v>3245</v>
      </c>
      <c r="W38" s="4">
        <v>1</v>
      </c>
      <c r="X38" t="str">
        <f>"HERAKLES ( SME )"</f>
        <v>HERAKLES ( SME )</v>
      </c>
      <c r="Y38" t="str">
        <f>"TS"</f>
        <v>TS</v>
      </c>
      <c r="Z38" s="1">
        <v>42142</v>
      </c>
      <c r="AA38" t="str">
        <f t="shared" si="25"/>
        <v xml:space="preserve"> </v>
      </c>
      <c r="AB38" s="2">
        <v>0</v>
      </c>
      <c r="AC38" t="str">
        <f>"SAFRAN HERAKLES"</f>
        <v>SAFRAN HERAKLES</v>
      </c>
      <c r="AD38" t="str">
        <f t="shared" si="26"/>
        <v xml:space="preserve"> </v>
      </c>
      <c r="AE38" t="str">
        <f>"33160"</f>
        <v>33160</v>
      </c>
      <c r="AF38" t="str">
        <f>"Saint Médard en Jalles"</f>
        <v>Saint Médard en Jalles</v>
      </c>
      <c r="AG38" t="str">
        <f t="shared" si="27"/>
        <v xml:space="preserve"> </v>
      </c>
      <c r="AH38" t="str">
        <f t="shared" si="28"/>
        <v>F</v>
      </c>
      <c r="AI38" s="1">
        <v>42108</v>
      </c>
      <c r="AJ38">
        <v>0</v>
      </c>
      <c r="AL38">
        <v>0</v>
      </c>
      <c r="AN38" t="str">
        <f t="shared" si="19"/>
        <v>DEBARROS</v>
      </c>
      <c r="AO38" t="str">
        <f>"HERAKLES ( SME )"</f>
        <v>HERAKLES ( SME )</v>
      </c>
      <c r="AP38" t="str">
        <f t="shared" si="29"/>
        <v xml:space="preserve"> </v>
      </c>
      <c r="AQ38" s="2">
        <v>0</v>
      </c>
      <c r="AR38" s="3">
        <v>0</v>
      </c>
      <c r="AS38" s="3">
        <v>0</v>
      </c>
      <c r="AT38" s="3">
        <v>0</v>
      </c>
      <c r="AU38">
        <v>0</v>
      </c>
      <c r="AV38">
        <v>0</v>
      </c>
      <c r="AW38">
        <v>0</v>
      </c>
      <c r="AX38" s="3">
        <v>0</v>
      </c>
      <c r="AY38">
        <v>0</v>
      </c>
      <c r="AZ38">
        <v>3245</v>
      </c>
      <c r="BA38">
        <v>0</v>
      </c>
      <c r="BB38">
        <v>0</v>
      </c>
      <c r="BC38">
        <v>649</v>
      </c>
      <c r="BD38">
        <v>0</v>
      </c>
      <c r="BE38">
        <v>0</v>
      </c>
      <c r="BF38">
        <v>0</v>
      </c>
      <c r="BG38">
        <v>0</v>
      </c>
      <c r="BH38">
        <v>3894</v>
      </c>
      <c r="BI38">
        <v>3245</v>
      </c>
      <c r="BJ38" t="str">
        <f t="shared" si="15"/>
        <v>41</v>
      </c>
      <c r="BK38" t="str">
        <f t="shared" si="21"/>
        <v>VI</v>
      </c>
    </row>
    <row r="39" spans="1:63" x14ac:dyDescent="0.3">
      <c r="A39" t="str">
        <f>"199917"</f>
        <v>199917</v>
      </c>
      <c r="B39" t="str">
        <f>"SERRES"</f>
        <v>SERRES</v>
      </c>
      <c r="C39" t="str">
        <f>"16181"</f>
        <v>16181</v>
      </c>
      <c r="D39" t="str">
        <f>" "</f>
        <v xml:space="preserve"> </v>
      </c>
      <c r="E39" t="str">
        <f t="shared" si="30"/>
        <v xml:space="preserve"> </v>
      </c>
      <c r="F39" s="1">
        <v>42108</v>
      </c>
      <c r="G39" t="str">
        <f>" "</f>
        <v xml:space="preserve"> </v>
      </c>
      <c r="H39" t="str">
        <f>" "</f>
        <v xml:space="preserve"> </v>
      </c>
      <c r="J39" s="1">
        <v>42369</v>
      </c>
      <c r="K39" t="str">
        <f t="shared" si="22"/>
        <v xml:space="preserve"> </v>
      </c>
      <c r="L39">
        <v>0</v>
      </c>
      <c r="M39" s="2">
        <v>0</v>
      </c>
      <c r="O39" t="str">
        <f t="shared" si="23"/>
        <v>EUR</v>
      </c>
      <c r="P39" s="4" t="str">
        <f>"16181"</f>
        <v>16181</v>
      </c>
      <c r="Q39" t="str">
        <f t="shared" si="24"/>
        <v>01</v>
      </c>
      <c r="R39" s="2">
        <v>0</v>
      </c>
      <c r="S39" t="str">
        <f t="shared" si="17"/>
        <v xml:space="preserve"> </v>
      </c>
      <c r="T39" t="str">
        <f t="shared" si="17"/>
        <v xml:space="preserve"> </v>
      </c>
      <c r="U39" t="str">
        <f t="shared" si="17"/>
        <v xml:space="preserve"> </v>
      </c>
      <c r="W39" s="4">
        <v>1</v>
      </c>
      <c r="X39" t="str">
        <f>"SERRES"</f>
        <v>SERRES</v>
      </c>
      <c r="Y39" t="str">
        <f>"MP"</f>
        <v>MP</v>
      </c>
      <c r="Z39" s="1">
        <v>42369</v>
      </c>
      <c r="AA39" t="str">
        <f t="shared" si="25"/>
        <v xml:space="preserve"> </v>
      </c>
      <c r="AB39" s="2">
        <v>0</v>
      </c>
      <c r="AC39" t="str">
        <f>"ATELIERS SERRES"</f>
        <v>ATELIERS SERRES</v>
      </c>
      <c r="AD39" t="str">
        <f t="shared" si="26"/>
        <v xml:space="preserve"> </v>
      </c>
      <c r="AE39" t="str">
        <f>"33320"</f>
        <v>33320</v>
      </c>
      <c r="AF39" t="str">
        <f>"EYSINES"</f>
        <v>EYSINES</v>
      </c>
      <c r="AG39" t="str">
        <f t="shared" si="27"/>
        <v xml:space="preserve"> </v>
      </c>
      <c r="AH39" t="str">
        <f t="shared" si="28"/>
        <v>F</v>
      </c>
      <c r="AI39" s="1">
        <v>42108</v>
      </c>
      <c r="AJ39">
        <v>0</v>
      </c>
      <c r="AL39">
        <v>0</v>
      </c>
      <c r="AN39" t="str">
        <f t="shared" si="19"/>
        <v>DEBARROS</v>
      </c>
      <c r="AO39" t="str">
        <f>"ATELIERS SERRES"</f>
        <v>ATELIERS SERRES</v>
      </c>
      <c r="AP39" t="str">
        <f t="shared" si="29"/>
        <v xml:space="preserve"> </v>
      </c>
      <c r="AQ39" s="2">
        <v>0</v>
      </c>
      <c r="AR39" s="3">
        <v>0</v>
      </c>
      <c r="AS39" s="3">
        <v>0</v>
      </c>
      <c r="AT39" s="3">
        <v>0</v>
      </c>
      <c r="AU39">
        <v>0</v>
      </c>
      <c r="AV39">
        <v>0</v>
      </c>
      <c r="AW39">
        <v>0</v>
      </c>
      <c r="AX39" s="3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 t="str">
        <f>"62"</f>
        <v>62</v>
      </c>
      <c r="BK39" t="str">
        <f t="shared" si="21"/>
        <v>VI</v>
      </c>
    </row>
    <row r="40" spans="1:63" x14ac:dyDescent="0.3">
      <c r="A40" t="str">
        <f>"119500"</f>
        <v>119500</v>
      </c>
      <c r="B40" t="str">
        <f>"STELIA"</f>
        <v>STELIA</v>
      </c>
      <c r="C40" t="str">
        <f>"16180"</f>
        <v>16180</v>
      </c>
      <c r="D40" t="str">
        <f>"27883+8278"</f>
        <v>27883+8278</v>
      </c>
      <c r="E40" t="str">
        <f t="shared" si="30"/>
        <v xml:space="preserve"> </v>
      </c>
      <c r="F40" s="1">
        <v>42108</v>
      </c>
      <c r="G40" t="str">
        <f>"LT"</f>
        <v>LT</v>
      </c>
      <c r="H40" t="str">
        <f>"FT"</f>
        <v>FT</v>
      </c>
      <c r="I40" s="5">
        <v>42123</v>
      </c>
      <c r="J40" s="1">
        <v>42131</v>
      </c>
      <c r="K40" t="str">
        <f t="shared" si="22"/>
        <v xml:space="preserve"> </v>
      </c>
      <c r="L40">
        <v>4992</v>
      </c>
      <c r="M40" s="2">
        <v>0</v>
      </c>
      <c r="N40" s="3">
        <v>1</v>
      </c>
      <c r="O40" t="str">
        <f t="shared" si="23"/>
        <v>EUR</v>
      </c>
      <c r="P40" s="4" t="str">
        <f>"16180"</f>
        <v>16180</v>
      </c>
      <c r="Q40" t="str">
        <f t="shared" si="24"/>
        <v>01</v>
      </c>
      <c r="R40" s="2">
        <v>4992</v>
      </c>
      <c r="S40" t="str">
        <f t="shared" si="17"/>
        <v xml:space="preserve"> </v>
      </c>
      <c r="T40" t="str">
        <f t="shared" si="17"/>
        <v xml:space="preserve"> </v>
      </c>
      <c r="U40" t="str">
        <f t="shared" si="17"/>
        <v xml:space="preserve"> </v>
      </c>
      <c r="V40" s="2">
        <v>4992</v>
      </c>
      <c r="W40" s="4">
        <v>1</v>
      </c>
      <c r="X40" t="str">
        <f>"STELI"</f>
        <v>STELI</v>
      </c>
      <c r="Y40" t="str">
        <f>"TS"</f>
        <v>TS</v>
      </c>
      <c r="Z40" s="1">
        <v>42131</v>
      </c>
      <c r="AA40" t="str">
        <f t="shared" si="25"/>
        <v xml:space="preserve"> </v>
      </c>
      <c r="AB40" s="2">
        <v>0</v>
      </c>
      <c r="AC40" t="str">
        <f>"STELIA AEROSPACE COMPOSITES"</f>
        <v>STELIA AEROSPACE COMPOSITES</v>
      </c>
      <c r="AD40" t="str">
        <f t="shared" si="26"/>
        <v xml:space="preserve"> </v>
      </c>
      <c r="AE40" t="str">
        <f>"33160"</f>
        <v>33160</v>
      </c>
      <c r="AF40" t="str">
        <f>"SALAUNES"</f>
        <v>SALAUNES</v>
      </c>
      <c r="AG40" t="str">
        <f t="shared" si="27"/>
        <v xml:space="preserve"> </v>
      </c>
      <c r="AH40" t="str">
        <f t="shared" si="28"/>
        <v>F</v>
      </c>
      <c r="AI40" s="1">
        <v>42108</v>
      </c>
      <c r="AJ40">
        <v>0</v>
      </c>
      <c r="AL40">
        <v>0</v>
      </c>
      <c r="AN40" t="str">
        <f t="shared" si="19"/>
        <v>DEBARROS</v>
      </c>
      <c r="AO40" t="str">
        <f>"STELIA Aerospace Composites"</f>
        <v>STELIA Aerospace Composites</v>
      </c>
      <c r="AP40" t="str">
        <f t="shared" si="29"/>
        <v xml:space="preserve"> </v>
      </c>
      <c r="AQ40" s="2">
        <v>0</v>
      </c>
      <c r="AR40" s="3">
        <v>0</v>
      </c>
      <c r="AS40" s="3">
        <v>0</v>
      </c>
      <c r="AT40" s="3">
        <v>0</v>
      </c>
      <c r="AU40">
        <v>0</v>
      </c>
      <c r="AV40">
        <v>0</v>
      </c>
      <c r="AW40">
        <v>0</v>
      </c>
      <c r="AX40" s="3">
        <v>0</v>
      </c>
      <c r="AY40">
        <v>0</v>
      </c>
      <c r="AZ40">
        <v>4992</v>
      </c>
      <c r="BA40">
        <v>0</v>
      </c>
      <c r="BB40">
        <v>0</v>
      </c>
      <c r="BC40">
        <v>998.4</v>
      </c>
      <c r="BD40">
        <v>0</v>
      </c>
      <c r="BE40">
        <v>0</v>
      </c>
      <c r="BF40">
        <v>0</v>
      </c>
      <c r="BG40">
        <v>0</v>
      </c>
      <c r="BH40">
        <v>5990.4</v>
      </c>
      <c r="BI40">
        <v>4992</v>
      </c>
      <c r="BJ40" t="str">
        <f t="shared" ref="BJ40:BJ46" si="31">"41"</f>
        <v>41</v>
      </c>
      <c r="BK40" t="str">
        <f t="shared" si="21"/>
        <v>VI</v>
      </c>
    </row>
    <row r="41" spans="1:63" x14ac:dyDescent="0.3">
      <c r="A41" t="str">
        <f>"199936"</f>
        <v>199936</v>
      </c>
      <c r="B41" t="str">
        <f>"SOE"</f>
        <v>SOE</v>
      </c>
      <c r="C41" t="str">
        <f>"16179"</f>
        <v>16179</v>
      </c>
      <c r="D41" t="str">
        <f>" "</f>
        <v xml:space="preserve"> </v>
      </c>
      <c r="E41" t="str">
        <f t="shared" si="30"/>
        <v xml:space="preserve"> </v>
      </c>
      <c r="F41" s="1">
        <v>42108</v>
      </c>
      <c r="G41" t="str">
        <f>"LT"</f>
        <v>LT</v>
      </c>
      <c r="H41" t="str">
        <f>"FT"</f>
        <v>FT</v>
      </c>
      <c r="I41" s="5">
        <v>42115</v>
      </c>
      <c r="J41" s="1">
        <v>42121</v>
      </c>
      <c r="K41" t="str">
        <f t="shared" si="22"/>
        <v xml:space="preserve"> </v>
      </c>
      <c r="L41">
        <v>1300</v>
      </c>
      <c r="M41" s="2">
        <v>0</v>
      </c>
      <c r="N41" s="3">
        <v>1</v>
      </c>
      <c r="O41" t="str">
        <f t="shared" si="23"/>
        <v>EUR</v>
      </c>
      <c r="P41" s="4" t="str">
        <f>"16179"</f>
        <v>16179</v>
      </c>
      <c r="Q41" t="str">
        <f t="shared" si="24"/>
        <v>01</v>
      </c>
      <c r="R41" s="2">
        <v>1300</v>
      </c>
      <c r="S41" t="str">
        <f t="shared" si="17"/>
        <v xml:space="preserve"> </v>
      </c>
      <c r="T41" t="str">
        <f t="shared" si="17"/>
        <v xml:space="preserve"> </v>
      </c>
      <c r="U41" t="str">
        <f t="shared" si="17"/>
        <v xml:space="preserve"> </v>
      </c>
      <c r="V41" s="2">
        <v>1300</v>
      </c>
      <c r="W41" s="4">
        <v>1</v>
      </c>
      <c r="X41" t="str">
        <f>"SOE"</f>
        <v>SOE</v>
      </c>
      <c r="Y41" t="str">
        <f>"TS"</f>
        <v>TS</v>
      </c>
      <c r="Z41" s="1">
        <v>42121</v>
      </c>
      <c r="AA41" t="str">
        <f t="shared" si="25"/>
        <v xml:space="preserve"> </v>
      </c>
      <c r="AB41" s="2">
        <v>0</v>
      </c>
      <c r="AC41" t="str">
        <f>"IMPRIMERIE SUD OUEST ETIQUETTES"</f>
        <v>IMPRIMERIE SUD OUEST ETIQUETTES</v>
      </c>
      <c r="AD41" t="str">
        <f t="shared" si="26"/>
        <v xml:space="preserve"> </v>
      </c>
      <c r="AE41" t="str">
        <f>"33083"</f>
        <v>33083</v>
      </c>
      <c r="AF41" t="str">
        <f>"BORDEAUX CEDEX"</f>
        <v>BORDEAUX CEDEX</v>
      </c>
      <c r="AG41" t="str">
        <f t="shared" si="27"/>
        <v xml:space="preserve"> </v>
      </c>
      <c r="AH41" t="str">
        <f t="shared" si="28"/>
        <v>F</v>
      </c>
      <c r="AI41" s="1">
        <v>42108</v>
      </c>
      <c r="AJ41">
        <v>0</v>
      </c>
      <c r="AL41">
        <v>0</v>
      </c>
      <c r="AN41" t="str">
        <f t="shared" si="19"/>
        <v>DEBARROS</v>
      </c>
      <c r="AO41" t="str">
        <f>"IMPRIMERIE SUD OUEST ETIQUETTES"</f>
        <v>IMPRIMERIE SUD OUEST ETIQUETTES</v>
      </c>
      <c r="AP41" t="str">
        <f t="shared" si="29"/>
        <v xml:space="preserve"> </v>
      </c>
      <c r="AQ41" s="2">
        <v>0</v>
      </c>
      <c r="AR41" s="3">
        <v>0</v>
      </c>
      <c r="AS41" s="3">
        <v>0</v>
      </c>
      <c r="AT41" s="3">
        <v>0</v>
      </c>
      <c r="AU41">
        <v>0</v>
      </c>
      <c r="AV41">
        <v>0</v>
      </c>
      <c r="AW41">
        <v>0</v>
      </c>
      <c r="AX41" s="3">
        <v>0</v>
      </c>
      <c r="AY41">
        <v>0</v>
      </c>
      <c r="AZ41">
        <v>1300</v>
      </c>
      <c r="BA41">
        <v>0</v>
      </c>
      <c r="BB41">
        <v>0</v>
      </c>
      <c r="BC41">
        <v>260</v>
      </c>
      <c r="BD41">
        <v>0</v>
      </c>
      <c r="BE41">
        <v>0</v>
      </c>
      <c r="BF41">
        <v>0</v>
      </c>
      <c r="BG41">
        <v>0</v>
      </c>
      <c r="BH41">
        <v>1560</v>
      </c>
      <c r="BI41">
        <v>1300</v>
      </c>
      <c r="BJ41" t="str">
        <f t="shared" si="31"/>
        <v>41</v>
      </c>
      <c r="BK41" t="str">
        <f>"CH"</f>
        <v>CH</v>
      </c>
    </row>
    <row r="42" spans="1:63" x14ac:dyDescent="0.3">
      <c r="A42" t="str">
        <f>"165300"</f>
        <v>165300</v>
      </c>
      <c r="B42" t="str">
        <f>"METAREG"</f>
        <v>METAREG</v>
      </c>
      <c r="C42" t="str">
        <f>"16178"</f>
        <v>16178</v>
      </c>
      <c r="D42" t="str">
        <f>"C150009927/2"</f>
        <v>C150009927/2</v>
      </c>
      <c r="E42" t="str">
        <f t="shared" si="30"/>
        <v xml:space="preserve"> </v>
      </c>
      <c r="F42" s="1">
        <v>42107</v>
      </c>
      <c r="G42" t="str">
        <f>"LT"</f>
        <v>LT</v>
      </c>
      <c r="H42" t="str">
        <f>"FT"</f>
        <v>FT</v>
      </c>
      <c r="I42" s="5">
        <v>42114</v>
      </c>
      <c r="J42" s="1">
        <v>42111</v>
      </c>
      <c r="K42" t="str">
        <f t="shared" si="22"/>
        <v xml:space="preserve"> </v>
      </c>
      <c r="L42">
        <v>430</v>
      </c>
      <c r="M42" s="2">
        <v>0</v>
      </c>
      <c r="N42" s="3">
        <v>1</v>
      </c>
      <c r="O42" t="str">
        <f t="shared" si="23"/>
        <v>EUR</v>
      </c>
      <c r="P42" s="4" t="str">
        <f>"16178"</f>
        <v>16178</v>
      </c>
      <c r="Q42" t="str">
        <f t="shared" si="24"/>
        <v>01</v>
      </c>
      <c r="R42" s="2">
        <v>430</v>
      </c>
      <c r="S42" t="str">
        <f t="shared" ref="S42:U61" si="32">" "</f>
        <v xml:space="preserve"> </v>
      </c>
      <c r="T42" t="str">
        <f t="shared" si="32"/>
        <v xml:space="preserve"> </v>
      </c>
      <c r="U42" t="str">
        <f t="shared" si="32"/>
        <v xml:space="preserve"> </v>
      </c>
      <c r="V42" s="2">
        <v>430</v>
      </c>
      <c r="W42" s="4">
        <v>1</v>
      </c>
      <c r="X42" t="str">
        <f>"METAREG"</f>
        <v>METAREG</v>
      </c>
      <c r="Y42" t="str">
        <f>"MP"</f>
        <v>MP</v>
      </c>
      <c r="Z42" s="1">
        <v>42111</v>
      </c>
      <c r="AA42" t="str">
        <f t="shared" si="25"/>
        <v xml:space="preserve"> </v>
      </c>
      <c r="AB42" s="2">
        <v>0</v>
      </c>
      <c r="AC42" t="str">
        <f>"EIFFAGE CONTRUCTION METALLIQUE"</f>
        <v>EIFFAGE CONTRUCTION METALLIQUE</v>
      </c>
      <c r="AD42" t="str">
        <f t="shared" si="26"/>
        <v xml:space="preserve"> </v>
      </c>
      <c r="AE42" t="str">
        <f>"33600"</f>
        <v>33600</v>
      </c>
      <c r="AF42" t="str">
        <f>"PESSAC"</f>
        <v>PESSAC</v>
      </c>
      <c r="AG42" t="str">
        <f t="shared" si="27"/>
        <v xml:space="preserve"> </v>
      </c>
      <c r="AH42" t="str">
        <f t="shared" si="28"/>
        <v>F</v>
      </c>
      <c r="AI42" s="1">
        <v>42107</v>
      </c>
      <c r="AJ42">
        <v>0</v>
      </c>
      <c r="AL42">
        <v>0</v>
      </c>
      <c r="AN42" t="str">
        <f t="shared" si="19"/>
        <v>DEBARROS</v>
      </c>
      <c r="AO42" t="str">
        <f>"EIFFAGE CONSTRUCTION METALLIQUE"</f>
        <v>EIFFAGE CONSTRUCTION METALLIQUE</v>
      </c>
      <c r="AP42" t="str">
        <f t="shared" si="29"/>
        <v xml:space="preserve"> </v>
      </c>
      <c r="AQ42" s="2">
        <v>0</v>
      </c>
      <c r="AR42" s="3">
        <v>0</v>
      </c>
      <c r="AS42" s="3">
        <v>0</v>
      </c>
      <c r="AT42" s="3">
        <v>0</v>
      </c>
      <c r="AU42">
        <v>0</v>
      </c>
      <c r="AV42">
        <v>0</v>
      </c>
      <c r="AW42">
        <v>0</v>
      </c>
      <c r="AX42" s="3">
        <v>0</v>
      </c>
      <c r="AY42">
        <v>0</v>
      </c>
      <c r="AZ42">
        <v>430</v>
      </c>
      <c r="BA42">
        <v>0</v>
      </c>
      <c r="BB42">
        <v>0</v>
      </c>
      <c r="BC42">
        <v>86</v>
      </c>
      <c r="BD42">
        <v>0</v>
      </c>
      <c r="BE42">
        <v>0</v>
      </c>
      <c r="BF42">
        <v>0</v>
      </c>
      <c r="BG42">
        <v>0</v>
      </c>
      <c r="BH42">
        <v>516</v>
      </c>
      <c r="BI42">
        <v>430</v>
      </c>
      <c r="BJ42" t="str">
        <f t="shared" si="31"/>
        <v>41</v>
      </c>
      <c r="BK42" t="str">
        <f>"VI"</f>
        <v>VI</v>
      </c>
    </row>
    <row r="43" spans="1:63" x14ac:dyDescent="0.3">
      <c r="A43" t="str">
        <f>"165300"</f>
        <v>165300</v>
      </c>
      <c r="B43" t="str">
        <f>"METAREG"</f>
        <v>METAREG</v>
      </c>
      <c r="C43" t="str">
        <f>"16177"</f>
        <v>16177</v>
      </c>
      <c r="D43" t="str">
        <f>"C150009885"</f>
        <v>C150009885</v>
      </c>
      <c r="E43" t="str">
        <f t="shared" si="30"/>
        <v xml:space="preserve"> </v>
      </c>
      <c r="F43" s="1">
        <v>42107</v>
      </c>
      <c r="G43" t="str">
        <f>"LT"</f>
        <v>LT</v>
      </c>
      <c r="H43" t="str">
        <f>"FT"</f>
        <v>FT</v>
      </c>
      <c r="I43" s="5">
        <v>42108</v>
      </c>
      <c r="J43" s="1">
        <v>42109</v>
      </c>
      <c r="K43" t="str">
        <f t="shared" si="22"/>
        <v xml:space="preserve"> </v>
      </c>
      <c r="L43">
        <v>100</v>
      </c>
      <c r="M43" s="2">
        <v>0</v>
      </c>
      <c r="N43" s="3">
        <v>1</v>
      </c>
      <c r="O43" t="str">
        <f t="shared" si="23"/>
        <v>EUR</v>
      </c>
      <c r="P43" s="4" t="str">
        <f>"16177"</f>
        <v>16177</v>
      </c>
      <c r="Q43" t="str">
        <f t="shared" si="24"/>
        <v>01</v>
      </c>
      <c r="R43" s="2">
        <v>100</v>
      </c>
      <c r="S43" t="str">
        <f t="shared" si="32"/>
        <v xml:space="preserve"> </v>
      </c>
      <c r="T43" t="str">
        <f t="shared" si="32"/>
        <v xml:space="preserve"> </v>
      </c>
      <c r="U43" t="str">
        <f t="shared" si="32"/>
        <v xml:space="preserve"> </v>
      </c>
      <c r="V43" s="2">
        <v>100</v>
      </c>
      <c r="W43" s="4">
        <v>1</v>
      </c>
      <c r="X43" t="str">
        <f>"METAREG"</f>
        <v>METAREG</v>
      </c>
      <c r="Y43" t="str">
        <f>"MP"</f>
        <v>MP</v>
      </c>
      <c r="Z43" s="1">
        <v>42109</v>
      </c>
      <c r="AA43" t="str">
        <f t="shared" si="25"/>
        <v xml:space="preserve"> </v>
      </c>
      <c r="AB43" s="2">
        <v>0</v>
      </c>
      <c r="AC43" t="str">
        <f>"EIFFAGE CONTRUCTION METALLIQUE"</f>
        <v>EIFFAGE CONTRUCTION METALLIQUE</v>
      </c>
      <c r="AD43" t="str">
        <f t="shared" si="26"/>
        <v xml:space="preserve"> </v>
      </c>
      <c r="AE43" t="str">
        <f>"33600"</f>
        <v>33600</v>
      </c>
      <c r="AF43" t="str">
        <f>"PESSAC"</f>
        <v>PESSAC</v>
      </c>
      <c r="AG43" t="str">
        <f t="shared" si="27"/>
        <v xml:space="preserve"> </v>
      </c>
      <c r="AH43" t="str">
        <f t="shared" si="28"/>
        <v>F</v>
      </c>
      <c r="AI43" s="1">
        <v>42107</v>
      </c>
      <c r="AJ43">
        <v>0</v>
      </c>
      <c r="AL43">
        <v>0</v>
      </c>
      <c r="AN43" t="str">
        <f t="shared" si="19"/>
        <v>DEBARROS</v>
      </c>
      <c r="AO43" t="str">
        <f>"EIFFAGE CONSTRUCTION METALLIQUE"</f>
        <v>EIFFAGE CONSTRUCTION METALLIQUE</v>
      </c>
      <c r="AP43" t="str">
        <f t="shared" si="29"/>
        <v xml:space="preserve"> </v>
      </c>
      <c r="AQ43" s="2">
        <v>0</v>
      </c>
      <c r="AR43" s="3">
        <v>0</v>
      </c>
      <c r="AS43" s="3">
        <v>0</v>
      </c>
      <c r="AT43" s="3">
        <v>0</v>
      </c>
      <c r="AU43">
        <v>0</v>
      </c>
      <c r="AV43">
        <v>0</v>
      </c>
      <c r="AW43">
        <v>0</v>
      </c>
      <c r="AX43" s="3">
        <v>0</v>
      </c>
      <c r="AY43">
        <v>0</v>
      </c>
      <c r="AZ43">
        <v>100</v>
      </c>
      <c r="BA43">
        <v>0</v>
      </c>
      <c r="BB43">
        <v>0</v>
      </c>
      <c r="BC43">
        <v>20</v>
      </c>
      <c r="BD43">
        <v>0</v>
      </c>
      <c r="BE43">
        <v>0</v>
      </c>
      <c r="BF43">
        <v>0</v>
      </c>
      <c r="BG43">
        <v>0</v>
      </c>
      <c r="BH43">
        <v>120</v>
      </c>
      <c r="BI43">
        <v>100</v>
      </c>
      <c r="BJ43" t="str">
        <f t="shared" si="31"/>
        <v>41</v>
      </c>
      <c r="BK43" t="str">
        <f>"VI"</f>
        <v>VI</v>
      </c>
    </row>
    <row r="44" spans="1:63" x14ac:dyDescent="0.3">
      <c r="A44" t="str">
        <f>"202302"</f>
        <v>202302</v>
      </c>
      <c r="B44" t="str">
        <f>"VALLOUREC DRILLING"</f>
        <v>VALLOUREC DRILLING</v>
      </c>
      <c r="C44" t="str">
        <f>"16172"</f>
        <v>16172</v>
      </c>
      <c r="D44" t="str">
        <f>"35011721 poste 10"</f>
        <v>35011721 poste 10</v>
      </c>
      <c r="E44" t="str">
        <f t="shared" si="30"/>
        <v xml:space="preserve"> </v>
      </c>
      <c r="F44" s="1">
        <v>42107</v>
      </c>
      <c r="G44" t="str">
        <f>" "</f>
        <v xml:space="preserve"> </v>
      </c>
      <c r="H44" t="str">
        <f>" "</f>
        <v xml:space="preserve"> </v>
      </c>
      <c r="J44" s="1">
        <v>42131</v>
      </c>
      <c r="K44" t="str">
        <f t="shared" si="22"/>
        <v xml:space="preserve"> </v>
      </c>
      <c r="L44">
        <v>800</v>
      </c>
      <c r="M44" s="2">
        <v>0</v>
      </c>
      <c r="N44" s="3">
        <v>1</v>
      </c>
      <c r="O44" t="str">
        <f t="shared" si="23"/>
        <v>EUR</v>
      </c>
      <c r="P44" s="4" t="str">
        <f>"16172"</f>
        <v>16172</v>
      </c>
      <c r="Q44" t="str">
        <f t="shared" si="24"/>
        <v>01</v>
      </c>
      <c r="R44" s="2">
        <v>800</v>
      </c>
      <c r="S44" t="str">
        <f t="shared" si="32"/>
        <v xml:space="preserve"> </v>
      </c>
      <c r="T44" t="str">
        <f t="shared" si="32"/>
        <v xml:space="preserve"> </v>
      </c>
      <c r="U44" t="str">
        <f t="shared" si="32"/>
        <v xml:space="preserve"> </v>
      </c>
      <c r="V44" s="2">
        <v>800</v>
      </c>
      <c r="W44" s="4">
        <v>1</v>
      </c>
      <c r="X44" t="str">
        <f>"VALLOUREC DRILLING"</f>
        <v>VALLOUREC DRILLING</v>
      </c>
      <c r="Y44" t="str">
        <f>"MP"</f>
        <v>MP</v>
      </c>
      <c r="Z44" s="1">
        <v>42131</v>
      </c>
      <c r="AA44" t="str">
        <f t="shared" si="25"/>
        <v xml:space="preserve"> </v>
      </c>
      <c r="AB44" s="2">
        <v>0</v>
      </c>
      <c r="AC44" t="str">
        <f>"VALLOUREC DRILLING PRODUCTS FRANCE"</f>
        <v>VALLOUREC DRILLING PRODUCTS FRANCE</v>
      </c>
      <c r="AD44" t="str">
        <f t="shared" si="26"/>
        <v xml:space="preserve"> </v>
      </c>
      <c r="AE44" t="str">
        <f>"65000"</f>
        <v>65000</v>
      </c>
      <c r="AF44" t="str">
        <f>"TARBES"</f>
        <v>TARBES</v>
      </c>
      <c r="AG44" t="str">
        <f t="shared" si="27"/>
        <v xml:space="preserve"> </v>
      </c>
      <c r="AH44" t="str">
        <f t="shared" si="28"/>
        <v>F</v>
      </c>
      <c r="AI44" s="1">
        <v>42107</v>
      </c>
      <c r="AJ44">
        <v>0</v>
      </c>
      <c r="AL44">
        <v>0</v>
      </c>
      <c r="AN44" t="str">
        <f t="shared" si="19"/>
        <v>DEBARROS</v>
      </c>
      <c r="AO44" t="str">
        <f>"VALLOUREC DRILLING PRODUCTS FRANCE"</f>
        <v>VALLOUREC DRILLING PRODUCTS FRANCE</v>
      </c>
      <c r="AP44" t="str">
        <f t="shared" si="29"/>
        <v xml:space="preserve"> </v>
      </c>
      <c r="AQ44" s="2">
        <v>0</v>
      </c>
      <c r="AR44" s="3">
        <v>0</v>
      </c>
      <c r="AS44" s="3">
        <v>0</v>
      </c>
      <c r="AT44" s="3">
        <v>0</v>
      </c>
      <c r="AU44">
        <v>0</v>
      </c>
      <c r="AV44">
        <v>0</v>
      </c>
      <c r="AW44">
        <v>0</v>
      </c>
      <c r="AX44" s="3">
        <v>0</v>
      </c>
      <c r="AY44">
        <v>0</v>
      </c>
      <c r="AZ44">
        <v>800</v>
      </c>
      <c r="BA44">
        <v>0</v>
      </c>
      <c r="BB44">
        <v>0</v>
      </c>
      <c r="BC44">
        <v>160</v>
      </c>
      <c r="BD44">
        <v>0</v>
      </c>
      <c r="BE44">
        <v>0</v>
      </c>
      <c r="BF44">
        <v>0</v>
      </c>
      <c r="BG44">
        <v>0</v>
      </c>
      <c r="BH44">
        <v>960</v>
      </c>
      <c r="BI44">
        <v>800</v>
      </c>
      <c r="BJ44" t="str">
        <f t="shared" si="31"/>
        <v>41</v>
      </c>
      <c r="BK44" t="str">
        <f>"VI"</f>
        <v>VI</v>
      </c>
    </row>
    <row r="45" spans="1:63" x14ac:dyDescent="0.3">
      <c r="A45" t="str">
        <f>"186100"</f>
        <v>186100</v>
      </c>
      <c r="B45" t="str">
        <f>"HERAKLES ( SME )"</f>
        <v>HERAKLES ( SME )</v>
      </c>
      <c r="C45" t="str">
        <f>"16171"</f>
        <v>16171</v>
      </c>
      <c r="D45" t="str">
        <f>"ANS 0738813 1"</f>
        <v>ANS 0738813 1</v>
      </c>
      <c r="E45" t="str">
        <f t="shared" si="30"/>
        <v xml:space="preserve"> </v>
      </c>
      <c r="F45" s="1">
        <v>42107</v>
      </c>
      <c r="G45" t="str">
        <f>"LT"</f>
        <v>LT</v>
      </c>
      <c r="H45" t="str">
        <f>"FT"</f>
        <v>FT</v>
      </c>
      <c r="I45" s="5">
        <v>42122</v>
      </c>
      <c r="J45" s="1">
        <v>42121</v>
      </c>
      <c r="K45" t="str">
        <f t="shared" si="22"/>
        <v xml:space="preserve"> </v>
      </c>
      <c r="L45">
        <v>820</v>
      </c>
      <c r="M45" s="2">
        <v>0</v>
      </c>
      <c r="N45" s="3">
        <v>1</v>
      </c>
      <c r="O45" t="str">
        <f t="shared" si="23"/>
        <v>EUR</v>
      </c>
      <c r="P45" s="4" t="str">
        <f>"16171"</f>
        <v>16171</v>
      </c>
      <c r="Q45" t="str">
        <f t="shared" si="24"/>
        <v>01</v>
      </c>
      <c r="R45" s="2">
        <v>820</v>
      </c>
      <c r="S45" t="str">
        <f t="shared" si="32"/>
        <v xml:space="preserve"> </v>
      </c>
      <c r="T45" t="str">
        <f t="shared" si="32"/>
        <v xml:space="preserve"> </v>
      </c>
      <c r="U45" t="str">
        <f t="shared" si="32"/>
        <v xml:space="preserve"> </v>
      </c>
      <c r="V45" s="2">
        <v>820</v>
      </c>
      <c r="W45" s="4">
        <v>1</v>
      </c>
      <c r="X45" t="str">
        <f>"HERAKLES ( SME )"</f>
        <v>HERAKLES ( SME )</v>
      </c>
      <c r="Y45" t="str">
        <f>"TS"</f>
        <v>TS</v>
      </c>
      <c r="Z45" s="1">
        <v>42121</v>
      </c>
      <c r="AA45" t="str">
        <f t="shared" si="25"/>
        <v xml:space="preserve"> </v>
      </c>
      <c r="AB45" s="2">
        <v>0</v>
      </c>
      <c r="AC45" t="str">
        <f>"SAFRAN HERAKLES"</f>
        <v>SAFRAN HERAKLES</v>
      </c>
      <c r="AD45" t="str">
        <f t="shared" si="26"/>
        <v xml:space="preserve"> </v>
      </c>
      <c r="AE45" t="str">
        <f>"33160"</f>
        <v>33160</v>
      </c>
      <c r="AF45" t="str">
        <f>"Saint Médard en Jalles"</f>
        <v>Saint Médard en Jalles</v>
      </c>
      <c r="AG45" t="str">
        <f t="shared" si="27"/>
        <v xml:space="preserve"> </v>
      </c>
      <c r="AH45" t="str">
        <f t="shared" si="28"/>
        <v>F</v>
      </c>
      <c r="AI45" s="1">
        <v>42107</v>
      </c>
      <c r="AJ45">
        <v>0</v>
      </c>
      <c r="AL45">
        <v>0</v>
      </c>
      <c r="AN45" t="str">
        <f t="shared" si="19"/>
        <v>DEBARROS</v>
      </c>
      <c r="AO45" t="str">
        <f>"HERAKLES ( SME )"</f>
        <v>HERAKLES ( SME )</v>
      </c>
      <c r="AP45" t="str">
        <f t="shared" si="29"/>
        <v xml:space="preserve"> </v>
      </c>
      <c r="AQ45" s="2">
        <v>0</v>
      </c>
      <c r="AR45" s="3">
        <v>0</v>
      </c>
      <c r="AS45" s="3">
        <v>0</v>
      </c>
      <c r="AT45" s="3">
        <v>0</v>
      </c>
      <c r="AU45">
        <v>0</v>
      </c>
      <c r="AV45">
        <v>0</v>
      </c>
      <c r="AW45">
        <v>0</v>
      </c>
      <c r="AX45" s="3">
        <v>0</v>
      </c>
      <c r="AY45">
        <v>0</v>
      </c>
      <c r="AZ45">
        <v>820</v>
      </c>
      <c r="BA45">
        <v>0</v>
      </c>
      <c r="BB45">
        <v>0</v>
      </c>
      <c r="BC45">
        <v>164</v>
      </c>
      <c r="BD45">
        <v>0</v>
      </c>
      <c r="BE45">
        <v>0</v>
      </c>
      <c r="BF45">
        <v>0</v>
      </c>
      <c r="BG45">
        <v>0</v>
      </c>
      <c r="BH45">
        <v>984</v>
      </c>
      <c r="BI45">
        <v>820</v>
      </c>
      <c r="BJ45" t="str">
        <f t="shared" si="31"/>
        <v>41</v>
      </c>
      <c r="BK45" t="str">
        <f>"VI"</f>
        <v>VI</v>
      </c>
    </row>
    <row r="46" spans="1:63" x14ac:dyDescent="0.3">
      <c r="A46" t="str">
        <f>"101000"</f>
        <v>101000</v>
      </c>
      <c r="B46" t="str">
        <f>"AIRBUS"</f>
        <v>AIRBUS</v>
      </c>
      <c r="C46" t="str">
        <f>"16170"</f>
        <v>16170</v>
      </c>
      <c r="D46" t="str">
        <f>"4577006750"</f>
        <v>4577006750</v>
      </c>
      <c r="E46" t="str">
        <f t="shared" si="30"/>
        <v xml:space="preserve"> </v>
      </c>
      <c r="F46" s="1">
        <v>42107</v>
      </c>
      <c r="G46" t="str">
        <f>"LP"</f>
        <v>LP</v>
      </c>
      <c r="H46" t="str">
        <f>"FP"</f>
        <v>FP</v>
      </c>
      <c r="I46" s="5">
        <v>42121</v>
      </c>
      <c r="J46" s="1">
        <v>42163</v>
      </c>
      <c r="K46" t="str">
        <f t="shared" si="22"/>
        <v xml:space="preserve"> </v>
      </c>
      <c r="L46">
        <v>4360</v>
      </c>
      <c r="M46" s="2">
        <v>0</v>
      </c>
      <c r="N46" s="3">
        <v>1</v>
      </c>
      <c r="O46" t="str">
        <f t="shared" si="23"/>
        <v>EUR</v>
      </c>
      <c r="P46" s="4" t="str">
        <f>"16170"</f>
        <v>16170</v>
      </c>
      <c r="Q46" t="str">
        <f t="shared" si="24"/>
        <v>01</v>
      </c>
      <c r="R46" s="2">
        <v>4360</v>
      </c>
      <c r="S46" t="str">
        <f t="shared" si="32"/>
        <v xml:space="preserve"> </v>
      </c>
      <c r="T46" t="str">
        <f t="shared" si="32"/>
        <v xml:space="preserve"> </v>
      </c>
      <c r="U46" t="str">
        <f t="shared" si="32"/>
        <v xml:space="preserve"> </v>
      </c>
      <c r="V46" s="2">
        <v>4360</v>
      </c>
      <c r="W46" s="4">
        <v>0</v>
      </c>
      <c r="X46" t="str">
        <f>"AIRBUS"</f>
        <v>AIRBUS</v>
      </c>
      <c r="Y46" t="str">
        <f>"MP"</f>
        <v>MP</v>
      </c>
      <c r="Z46" s="1">
        <v>42163</v>
      </c>
      <c r="AA46" t="str">
        <f t="shared" si="25"/>
        <v xml:space="preserve"> </v>
      </c>
      <c r="AB46" s="2">
        <v>0</v>
      </c>
      <c r="AC46" t="str">
        <f>"Airbus D &amp; S "</f>
        <v xml:space="preserve">Airbus D &amp; S </v>
      </c>
      <c r="AD46" t="str">
        <f t="shared" si="26"/>
        <v xml:space="preserve"> </v>
      </c>
      <c r="AE46" t="str">
        <f>"33165"</f>
        <v>33165</v>
      </c>
      <c r="AF46" t="str">
        <f>"SAINT MEDARD EN JALLES"</f>
        <v>SAINT MEDARD EN JALLES</v>
      </c>
      <c r="AG46" t="str">
        <f t="shared" si="27"/>
        <v xml:space="preserve"> </v>
      </c>
      <c r="AH46" t="str">
        <f t="shared" si="28"/>
        <v>F</v>
      </c>
      <c r="AI46" s="1">
        <v>42107</v>
      </c>
      <c r="AJ46">
        <v>0</v>
      </c>
      <c r="AL46">
        <v>0</v>
      </c>
      <c r="AN46" t="str">
        <f t="shared" si="19"/>
        <v>DEBARROS</v>
      </c>
      <c r="AO46" t="str">
        <f>"Airbus D &amp; S"</f>
        <v>Airbus D &amp; S</v>
      </c>
      <c r="AP46" t="str">
        <f t="shared" si="29"/>
        <v xml:space="preserve"> </v>
      </c>
      <c r="AQ46" s="2">
        <v>0</v>
      </c>
      <c r="AR46" s="3">
        <v>0</v>
      </c>
      <c r="AS46" s="3">
        <v>0</v>
      </c>
      <c r="AT46" s="3">
        <v>0</v>
      </c>
      <c r="AU46">
        <v>0</v>
      </c>
      <c r="AV46">
        <v>0</v>
      </c>
      <c r="AW46">
        <v>0</v>
      </c>
      <c r="AX46" s="3">
        <v>0</v>
      </c>
      <c r="AY46">
        <v>0</v>
      </c>
      <c r="AZ46">
        <v>4360</v>
      </c>
      <c r="BA46">
        <v>0</v>
      </c>
      <c r="BB46">
        <v>0</v>
      </c>
      <c r="BC46">
        <v>872</v>
      </c>
      <c r="BD46">
        <v>0</v>
      </c>
      <c r="BE46">
        <v>0</v>
      </c>
      <c r="BF46">
        <v>0</v>
      </c>
      <c r="BG46">
        <v>0</v>
      </c>
      <c r="BH46">
        <v>5232</v>
      </c>
      <c r="BI46">
        <v>4360</v>
      </c>
      <c r="BJ46" t="str">
        <f t="shared" si="31"/>
        <v>41</v>
      </c>
      <c r="BK46" t="str">
        <f>"VI"</f>
        <v>VI</v>
      </c>
    </row>
    <row r="47" spans="1:63" x14ac:dyDescent="0.3">
      <c r="A47" t="str">
        <f>"124000"</f>
        <v>124000</v>
      </c>
      <c r="B47" t="str">
        <f>"DIMETAL"</f>
        <v>DIMETAL</v>
      </c>
      <c r="C47" t="str">
        <f>"16169"</f>
        <v>16169</v>
      </c>
      <c r="D47" t="str">
        <f>"458 BS"</f>
        <v>458 BS</v>
      </c>
      <c r="E47" t="str">
        <f t="shared" si="30"/>
        <v xml:space="preserve"> </v>
      </c>
      <c r="F47" s="1">
        <v>42107</v>
      </c>
      <c r="G47" t="str">
        <f>" "</f>
        <v xml:space="preserve"> </v>
      </c>
      <c r="H47" t="str">
        <f>" "</f>
        <v xml:space="preserve"> </v>
      </c>
      <c r="J47" s="1">
        <v>42166</v>
      </c>
      <c r="K47" t="str">
        <f t="shared" si="22"/>
        <v xml:space="preserve"> </v>
      </c>
      <c r="L47">
        <v>26400</v>
      </c>
      <c r="M47" s="2">
        <v>0</v>
      </c>
      <c r="N47" s="3">
        <v>1</v>
      </c>
      <c r="O47" t="str">
        <f t="shared" si="23"/>
        <v>EUR</v>
      </c>
      <c r="P47" s="4" t="str">
        <f>"16169"</f>
        <v>16169</v>
      </c>
      <c r="Q47" t="str">
        <f t="shared" si="24"/>
        <v>01</v>
      </c>
      <c r="R47" s="2">
        <v>26400</v>
      </c>
      <c r="S47" t="str">
        <f t="shared" si="32"/>
        <v xml:space="preserve"> </v>
      </c>
      <c r="T47" t="str">
        <f t="shared" si="32"/>
        <v xml:space="preserve"> </v>
      </c>
      <c r="U47" t="str">
        <f t="shared" si="32"/>
        <v xml:space="preserve"> </v>
      </c>
      <c r="V47" s="2">
        <v>26400</v>
      </c>
      <c r="W47" s="4">
        <v>1</v>
      </c>
      <c r="X47" t="str">
        <f>"DIMETAL"</f>
        <v>DIMETAL</v>
      </c>
      <c r="Y47" t="str">
        <f>"TS"</f>
        <v>TS</v>
      </c>
      <c r="Z47" s="1">
        <v>42166</v>
      </c>
      <c r="AA47" t="str">
        <f t="shared" si="25"/>
        <v xml:space="preserve"> </v>
      </c>
      <c r="AB47" s="2">
        <v>0</v>
      </c>
      <c r="AC47" t="str">
        <f>"DIMETAL"</f>
        <v>DIMETAL</v>
      </c>
      <c r="AD47" t="str">
        <f t="shared" si="26"/>
        <v xml:space="preserve"> </v>
      </c>
      <c r="AE47" t="str">
        <f>"33700"</f>
        <v>33700</v>
      </c>
      <c r="AF47" t="str">
        <f>"MERIGNAC"</f>
        <v>MERIGNAC</v>
      </c>
      <c r="AG47" t="str">
        <f t="shared" si="27"/>
        <v xml:space="preserve"> </v>
      </c>
      <c r="AH47" t="str">
        <f t="shared" si="28"/>
        <v>F</v>
      </c>
      <c r="AI47" s="1">
        <v>42107</v>
      </c>
      <c r="AJ47">
        <v>0</v>
      </c>
      <c r="AL47">
        <v>0</v>
      </c>
      <c r="AN47" t="str">
        <f t="shared" si="19"/>
        <v>DEBARROS</v>
      </c>
      <c r="AO47" t="str">
        <f>"DIMETAL"</f>
        <v>DIMETAL</v>
      </c>
      <c r="AP47" t="str">
        <f t="shared" si="29"/>
        <v xml:space="preserve"> </v>
      </c>
      <c r="AQ47" s="2">
        <v>0</v>
      </c>
      <c r="AR47" s="3">
        <v>0</v>
      </c>
      <c r="AS47" s="3">
        <v>0</v>
      </c>
      <c r="AT47" s="3">
        <v>0</v>
      </c>
      <c r="AU47">
        <v>0</v>
      </c>
      <c r="AV47">
        <v>0</v>
      </c>
      <c r="AW47">
        <v>0</v>
      </c>
      <c r="AX47" s="3">
        <v>0</v>
      </c>
      <c r="AY47">
        <v>0</v>
      </c>
      <c r="AZ47">
        <v>26400</v>
      </c>
      <c r="BA47">
        <v>0</v>
      </c>
      <c r="BB47">
        <v>0</v>
      </c>
      <c r="BC47">
        <v>5280</v>
      </c>
      <c r="BD47">
        <v>0</v>
      </c>
      <c r="BE47">
        <v>0</v>
      </c>
      <c r="BF47">
        <v>0</v>
      </c>
      <c r="BG47">
        <v>0</v>
      </c>
      <c r="BH47">
        <v>31680</v>
      </c>
      <c r="BI47">
        <v>26400</v>
      </c>
      <c r="BJ47" t="str">
        <f>"10"</f>
        <v>10</v>
      </c>
      <c r="BK47" t="str">
        <f>"CH"</f>
        <v>CH</v>
      </c>
    </row>
    <row r="48" spans="1:63" x14ac:dyDescent="0.3">
      <c r="A48" t="str">
        <f>"220253"</f>
        <v>220253</v>
      </c>
      <c r="B48" t="str">
        <f>"SERCOVAM"</f>
        <v>SERCOVAM</v>
      </c>
      <c r="C48" t="str">
        <f>"16168"</f>
        <v>16168</v>
      </c>
      <c r="D48" t="str">
        <f>"6590-GOUR"</f>
        <v>6590-GOUR</v>
      </c>
      <c r="E48" t="str">
        <f t="shared" si="30"/>
        <v xml:space="preserve"> </v>
      </c>
      <c r="F48" s="1">
        <v>42107</v>
      </c>
      <c r="G48" t="str">
        <f>"LT"</f>
        <v>LT</v>
      </c>
      <c r="H48" t="str">
        <f>"FT"</f>
        <v>FT</v>
      </c>
      <c r="I48" s="5">
        <v>42117</v>
      </c>
      <c r="J48" s="1">
        <v>42124</v>
      </c>
      <c r="K48" t="str">
        <f t="shared" si="22"/>
        <v xml:space="preserve"> </v>
      </c>
      <c r="L48">
        <v>1350</v>
      </c>
      <c r="M48" s="2">
        <v>0</v>
      </c>
      <c r="N48" s="3">
        <v>1</v>
      </c>
      <c r="O48" t="str">
        <f t="shared" si="23"/>
        <v>EUR</v>
      </c>
      <c r="P48" s="4" t="str">
        <f>"16168"</f>
        <v>16168</v>
      </c>
      <c r="Q48" t="str">
        <f t="shared" si="24"/>
        <v>01</v>
      </c>
      <c r="R48" s="2">
        <v>1350</v>
      </c>
      <c r="S48" t="str">
        <f t="shared" si="32"/>
        <v xml:space="preserve"> </v>
      </c>
      <c r="T48" t="str">
        <f t="shared" si="32"/>
        <v xml:space="preserve"> </v>
      </c>
      <c r="U48" t="str">
        <f t="shared" si="32"/>
        <v xml:space="preserve"> </v>
      </c>
      <c r="V48" s="2">
        <v>1350</v>
      </c>
      <c r="W48" s="4">
        <v>1</v>
      </c>
      <c r="X48" t="str">
        <f>"SERCOVAM"</f>
        <v>SERCOVAM</v>
      </c>
      <c r="Y48" t="str">
        <f>"MP"</f>
        <v>MP</v>
      </c>
      <c r="Z48" s="1">
        <v>42124</v>
      </c>
      <c r="AA48" t="str">
        <f t="shared" si="25"/>
        <v xml:space="preserve"> </v>
      </c>
      <c r="AB48" s="2">
        <v>0</v>
      </c>
      <c r="AC48" t="str">
        <f>"SGS SERCOVAM"</f>
        <v>SGS SERCOVAM</v>
      </c>
      <c r="AD48" t="str">
        <f t="shared" si="26"/>
        <v xml:space="preserve"> </v>
      </c>
      <c r="AE48" t="str">
        <f>"33611"</f>
        <v>33611</v>
      </c>
      <c r="AF48" t="str">
        <f>"Cestas"</f>
        <v>Cestas</v>
      </c>
      <c r="AG48" t="str">
        <f t="shared" si="27"/>
        <v xml:space="preserve"> </v>
      </c>
      <c r="AH48" t="str">
        <f t="shared" si="28"/>
        <v>F</v>
      </c>
      <c r="AI48" s="1">
        <v>42104</v>
      </c>
      <c r="AJ48">
        <v>0</v>
      </c>
      <c r="AL48">
        <v>0</v>
      </c>
      <c r="AN48" t="str">
        <f t="shared" si="19"/>
        <v>DEBARROS</v>
      </c>
      <c r="AO48" t="str">
        <f>"SGS SERCOVAM"</f>
        <v>SGS SERCOVAM</v>
      </c>
      <c r="AP48" t="str">
        <f t="shared" si="29"/>
        <v xml:space="preserve"> </v>
      </c>
      <c r="AQ48" s="2">
        <v>0</v>
      </c>
      <c r="AR48" s="3">
        <v>0</v>
      </c>
      <c r="AS48" s="3">
        <v>0</v>
      </c>
      <c r="AT48" s="3">
        <v>0</v>
      </c>
      <c r="AU48">
        <v>0</v>
      </c>
      <c r="AV48">
        <v>0</v>
      </c>
      <c r="AW48">
        <v>0</v>
      </c>
      <c r="AX48" s="3">
        <v>0</v>
      </c>
      <c r="AY48">
        <v>0</v>
      </c>
      <c r="AZ48">
        <v>1350</v>
      </c>
      <c r="BA48">
        <v>0</v>
      </c>
      <c r="BB48">
        <v>0</v>
      </c>
      <c r="BC48">
        <v>270</v>
      </c>
      <c r="BD48">
        <v>0</v>
      </c>
      <c r="BE48">
        <v>0</v>
      </c>
      <c r="BF48">
        <v>0</v>
      </c>
      <c r="BG48">
        <v>0</v>
      </c>
      <c r="BH48">
        <v>1620</v>
      </c>
      <c r="BI48">
        <v>1350</v>
      </c>
      <c r="BJ48" t="str">
        <f t="shared" ref="BJ48:BJ57" si="33">"41"</f>
        <v>41</v>
      </c>
      <c r="BK48" t="str">
        <f t="shared" ref="BK48:BK53" si="34">"VI"</f>
        <v>VI</v>
      </c>
    </row>
    <row r="49" spans="1:63" x14ac:dyDescent="0.3">
      <c r="A49" t="str">
        <f>"202302"</f>
        <v>202302</v>
      </c>
      <c r="B49" t="str">
        <f>"VALLOUREC DRILLING"</f>
        <v>VALLOUREC DRILLING</v>
      </c>
      <c r="C49" t="str">
        <f>"16167"</f>
        <v>16167</v>
      </c>
      <c r="D49" t="str">
        <f>"35011677 POSTE 40"</f>
        <v>35011677 POSTE 40</v>
      </c>
      <c r="E49" t="str">
        <f t="shared" si="30"/>
        <v xml:space="preserve"> </v>
      </c>
      <c r="F49" s="1">
        <v>42104</v>
      </c>
      <c r="G49" t="str">
        <f t="shared" ref="G49:H51" si="35">" "</f>
        <v xml:space="preserve"> </v>
      </c>
      <c r="H49" t="str">
        <f t="shared" si="35"/>
        <v xml:space="preserve"> </v>
      </c>
      <c r="J49" s="1">
        <v>42146</v>
      </c>
      <c r="K49" t="str">
        <f t="shared" si="22"/>
        <v xml:space="preserve"> </v>
      </c>
      <c r="L49">
        <v>1200</v>
      </c>
      <c r="M49" s="2">
        <v>0</v>
      </c>
      <c r="N49" s="3">
        <v>1</v>
      </c>
      <c r="O49" t="str">
        <f t="shared" si="23"/>
        <v>EUR</v>
      </c>
      <c r="P49" s="4" t="str">
        <f>"16167"</f>
        <v>16167</v>
      </c>
      <c r="Q49" t="str">
        <f t="shared" si="24"/>
        <v>01</v>
      </c>
      <c r="R49" s="2">
        <v>1200</v>
      </c>
      <c r="S49" t="str">
        <f t="shared" si="32"/>
        <v xml:space="preserve"> </v>
      </c>
      <c r="T49" t="str">
        <f t="shared" si="32"/>
        <v xml:space="preserve"> </v>
      </c>
      <c r="U49" t="str">
        <f t="shared" si="32"/>
        <v xml:space="preserve"> </v>
      </c>
      <c r="V49" s="2">
        <v>1200</v>
      </c>
      <c r="W49" s="4">
        <v>1</v>
      </c>
      <c r="X49" t="str">
        <f>"VALLOUREC DRILLING"</f>
        <v>VALLOUREC DRILLING</v>
      </c>
      <c r="Y49" t="str">
        <f>"MP"</f>
        <v>MP</v>
      </c>
      <c r="Z49" s="1">
        <v>42146</v>
      </c>
      <c r="AA49" t="str">
        <f t="shared" si="25"/>
        <v xml:space="preserve"> </v>
      </c>
      <c r="AB49" s="2">
        <v>0</v>
      </c>
      <c r="AC49" t="str">
        <f>"VALLOUREC DRILLING PRODUCTS FRANCE"</f>
        <v>VALLOUREC DRILLING PRODUCTS FRANCE</v>
      </c>
      <c r="AD49" t="str">
        <f t="shared" si="26"/>
        <v xml:space="preserve"> </v>
      </c>
      <c r="AE49" t="str">
        <f>"65000"</f>
        <v>65000</v>
      </c>
      <c r="AF49" t="str">
        <f>"TARBES"</f>
        <v>TARBES</v>
      </c>
      <c r="AG49" t="str">
        <f t="shared" si="27"/>
        <v xml:space="preserve"> </v>
      </c>
      <c r="AH49" t="str">
        <f t="shared" si="28"/>
        <v>F</v>
      </c>
      <c r="AI49" s="1">
        <v>42104</v>
      </c>
      <c r="AJ49">
        <v>0</v>
      </c>
      <c r="AL49">
        <v>0</v>
      </c>
      <c r="AN49" t="str">
        <f t="shared" si="19"/>
        <v>DEBARROS</v>
      </c>
      <c r="AO49" t="str">
        <f>"VALLOUREC DRILLING PRODUCTS FRANCE"</f>
        <v>VALLOUREC DRILLING PRODUCTS FRANCE</v>
      </c>
      <c r="AP49" t="str">
        <f t="shared" si="29"/>
        <v xml:space="preserve"> </v>
      </c>
      <c r="AQ49" s="2">
        <v>0</v>
      </c>
      <c r="AR49" s="3">
        <v>0</v>
      </c>
      <c r="AS49" s="3">
        <v>0</v>
      </c>
      <c r="AT49" s="3">
        <v>0</v>
      </c>
      <c r="AU49">
        <v>0</v>
      </c>
      <c r="AV49">
        <v>0</v>
      </c>
      <c r="AW49">
        <v>0</v>
      </c>
      <c r="AX49" s="3">
        <v>0</v>
      </c>
      <c r="AY49">
        <v>0</v>
      </c>
      <c r="AZ49">
        <v>1200</v>
      </c>
      <c r="BA49">
        <v>0</v>
      </c>
      <c r="BB49">
        <v>0</v>
      </c>
      <c r="BC49">
        <v>240</v>
      </c>
      <c r="BD49">
        <v>0</v>
      </c>
      <c r="BE49">
        <v>0</v>
      </c>
      <c r="BF49">
        <v>0</v>
      </c>
      <c r="BG49">
        <v>0</v>
      </c>
      <c r="BH49">
        <v>1440</v>
      </c>
      <c r="BI49">
        <v>1200</v>
      </c>
      <c r="BJ49" t="str">
        <f t="shared" si="33"/>
        <v>41</v>
      </c>
      <c r="BK49" t="str">
        <f t="shared" si="34"/>
        <v>VI</v>
      </c>
    </row>
    <row r="50" spans="1:63" x14ac:dyDescent="0.3">
      <c r="A50" t="str">
        <f>"202302"</f>
        <v>202302</v>
      </c>
      <c r="B50" t="str">
        <f>"VALLOUREC DRILLING"</f>
        <v>VALLOUREC DRILLING</v>
      </c>
      <c r="C50" t="str">
        <f>"16166"</f>
        <v>16166</v>
      </c>
      <c r="D50" t="str">
        <f>"35011677 POSTE 30"</f>
        <v>35011677 POSTE 30</v>
      </c>
      <c r="E50" t="str">
        <f t="shared" si="30"/>
        <v xml:space="preserve"> </v>
      </c>
      <c r="F50" s="1">
        <v>42104</v>
      </c>
      <c r="G50" t="str">
        <f t="shared" si="35"/>
        <v xml:space="preserve"> </v>
      </c>
      <c r="H50" t="str">
        <f t="shared" si="35"/>
        <v xml:space="preserve"> </v>
      </c>
      <c r="J50" s="1">
        <v>42153</v>
      </c>
      <c r="K50" t="str">
        <f t="shared" si="22"/>
        <v xml:space="preserve"> </v>
      </c>
      <c r="L50">
        <v>2600</v>
      </c>
      <c r="M50" s="2">
        <v>0</v>
      </c>
      <c r="N50" s="3">
        <v>1</v>
      </c>
      <c r="O50" t="str">
        <f t="shared" si="23"/>
        <v>EUR</v>
      </c>
      <c r="P50" s="4" t="str">
        <f>"16166"</f>
        <v>16166</v>
      </c>
      <c r="Q50" t="str">
        <f t="shared" si="24"/>
        <v>01</v>
      </c>
      <c r="R50" s="2">
        <v>2600</v>
      </c>
      <c r="S50" t="str">
        <f t="shared" si="32"/>
        <v xml:space="preserve"> </v>
      </c>
      <c r="T50" t="str">
        <f t="shared" si="32"/>
        <v xml:space="preserve"> </v>
      </c>
      <c r="U50" t="str">
        <f t="shared" si="32"/>
        <v xml:space="preserve"> </v>
      </c>
      <c r="V50" s="2">
        <v>2600</v>
      </c>
      <c r="W50" s="4">
        <v>1</v>
      </c>
      <c r="X50" t="str">
        <f>"VALLOUREC DRILLING"</f>
        <v>VALLOUREC DRILLING</v>
      </c>
      <c r="Y50" t="str">
        <f>"MP"</f>
        <v>MP</v>
      </c>
      <c r="Z50" s="1">
        <v>42153</v>
      </c>
      <c r="AA50" t="str">
        <f t="shared" si="25"/>
        <v xml:space="preserve"> </v>
      </c>
      <c r="AB50" s="2">
        <v>0</v>
      </c>
      <c r="AC50" t="str">
        <f>"VALLOUREC DRILLING PRODUCTS FRANCE"</f>
        <v>VALLOUREC DRILLING PRODUCTS FRANCE</v>
      </c>
      <c r="AD50" t="str">
        <f t="shared" si="26"/>
        <v xml:space="preserve"> </v>
      </c>
      <c r="AE50" t="str">
        <f>"65000"</f>
        <v>65000</v>
      </c>
      <c r="AF50" t="str">
        <f>"TARBES"</f>
        <v>TARBES</v>
      </c>
      <c r="AG50" t="str">
        <f t="shared" si="27"/>
        <v xml:space="preserve"> </v>
      </c>
      <c r="AH50" t="str">
        <f t="shared" si="28"/>
        <v>F</v>
      </c>
      <c r="AI50" s="1">
        <v>42104</v>
      </c>
      <c r="AJ50">
        <v>0</v>
      </c>
      <c r="AL50">
        <v>0</v>
      </c>
      <c r="AN50" t="str">
        <f t="shared" si="19"/>
        <v>DEBARROS</v>
      </c>
      <c r="AO50" t="str">
        <f>"VALLOUREC DRILLING PRODUCTS FRANCE"</f>
        <v>VALLOUREC DRILLING PRODUCTS FRANCE</v>
      </c>
      <c r="AP50" t="str">
        <f t="shared" si="29"/>
        <v xml:space="preserve"> </v>
      </c>
      <c r="AQ50" s="2">
        <v>0</v>
      </c>
      <c r="AR50" s="3">
        <v>0</v>
      </c>
      <c r="AS50" s="3">
        <v>0</v>
      </c>
      <c r="AT50" s="3">
        <v>0</v>
      </c>
      <c r="AU50">
        <v>0</v>
      </c>
      <c r="AV50">
        <v>0</v>
      </c>
      <c r="AW50">
        <v>0</v>
      </c>
      <c r="AX50" s="3">
        <v>0</v>
      </c>
      <c r="AY50">
        <v>0</v>
      </c>
      <c r="AZ50">
        <v>2600</v>
      </c>
      <c r="BA50">
        <v>0</v>
      </c>
      <c r="BB50">
        <v>0</v>
      </c>
      <c r="BC50">
        <v>520</v>
      </c>
      <c r="BD50">
        <v>0</v>
      </c>
      <c r="BE50">
        <v>0</v>
      </c>
      <c r="BF50">
        <v>0</v>
      </c>
      <c r="BG50">
        <v>0</v>
      </c>
      <c r="BH50">
        <v>3120</v>
      </c>
      <c r="BI50">
        <v>2600</v>
      </c>
      <c r="BJ50" t="str">
        <f t="shared" si="33"/>
        <v>41</v>
      </c>
      <c r="BK50" t="str">
        <f t="shared" si="34"/>
        <v>VI</v>
      </c>
    </row>
    <row r="51" spans="1:63" x14ac:dyDescent="0.3">
      <c r="A51" t="str">
        <f>"202302"</f>
        <v>202302</v>
      </c>
      <c r="B51" t="str">
        <f>"VALLOUREC DRILLING"</f>
        <v>VALLOUREC DRILLING</v>
      </c>
      <c r="C51" t="str">
        <f>"16165"</f>
        <v>16165</v>
      </c>
      <c r="D51" t="str">
        <f>"35011677 POSTE 20"</f>
        <v>35011677 POSTE 20</v>
      </c>
      <c r="E51" t="str">
        <f t="shared" si="30"/>
        <v xml:space="preserve"> </v>
      </c>
      <c r="F51" s="1">
        <v>42104</v>
      </c>
      <c r="G51" t="str">
        <f t="shared" si="35"/>
        <v xml:space="preserve"> </v>
      </c>
      <c r="H51" t="str">
        <f t="shared" si="35"/>
        <v xml:space="preserve"> </v>
      </c>
      <c r="J51" s="1">
        <v>42146</v>
      </c>
      <c r="K51" t="str">
        <f t="shared" si="22"/>
        <v xml:space="preserve"> </v>
      </c>
      <c r="L51">
        <v>3900</v>
      </c>
      <c r="M51" s="2">
        <v>0</v>
      </c>
      <c r="N51" s="3">
        <v>1</v>
      </c>
      <c r="O51" t="str">
        <f t="shared" si="23"/>
        <v>EUR</v>
      </c>
      <c r="P51" s="4" t="str">
        <f>"16165"</f>
        <v>16165</v>
      </c>
      <c r="Q51" t="str">
        <f t="shared" si="24"/>
        <v>01</v>
      </c>
      <c r="R51" s="2">
        <v>3900</v>
      </c>
      <c r="S51" t="str">
        <f t="shared" si="32"/>
        <v xml:space="preserve"> </v>
      </c>
      <c r="T51" t="str">
        <f t="shared" si="32"/>
        <v xml:space="preserve"> </v>
      </c>
      <c r="U51" t="str">
        <f t="shared" si="32"/>
        <v xml:space="preserve"> </v>
      </c>
      <c r="V51" s="2">
        <v>3900</v>
      </c>
      <c r="W51" s="4">
        <v>1</v>
      </c>
      <c r="X51" t="str">
        <f>"VALLOUREC DRILLING"</f>
        <v>VALLOUREC DRILLING</v>
      </c>
      <c r="Y51" t="str">
        <f>"MP"</f>
        <v>MP</v>
      </c>
      <c r="Z51" s="1">
        <v>42146</v>
      </c>
      <c r="AA51" t="str">
        <f t="shared" si="25"/>
        <v xml:space="preserve"> </v>
      </c>
      <c r="AB51" s="2">
        <v>0</v>
      </c>
      <c r="AC51" t="str">
        <f>"VALLOUREC DRILLING PRODUCTS FRANCE"</f>
        <v>VALLOUREC DRILLING PRODUCTS FRANCE</v>
      </c>
      <c r="AD51" t="str">
        <f t="shared" si="26"/>
        <v xml:space="preserve"> </v>
      </c>
      <c r="AE51" t="str">
        <f>"65000"</f>
        <v>65000</v>
      </c>
      <c r="AF51" t="str">
        <f>"TARBES"</f>
        <v>TARBES</v>
      </c>
      <c r="AG51" t="str">
        <f t="shared" si="27"/>
        <v xml:space="preserve"> </v>
      </c>
      <c r="AH51" t="str">
        <f t="shared" si="28"/>
        <v>F</v>
      </c>
      <c r="AI51" s="1">
        <v>42104</v>
      </c>
      <c r="AJ51">
        <v>0</v>
      </c>
      <c r="AL51">
        <v>0</v>
      </c>
      <c r="AN51" t="str">
        <f t="shared" si="19"/>
        <v>DEBARROS</v>
      </c>
      <c r="AO51" t="str">
        <f>"VALLOUREC DRILLING PRODUCTS FRANCE"</f>
        <v>VALLOUREC DRILLING PRODUCTS FRANCE</v>
      </c>
      <c r="AP51" t="str">
        <f t="shared" si="29"/>
        <v xml:space="preserve"> </v>
      </c>
      <c r="AQ51" s="2">
        <v>0</v>
      </c>
      <c r="AR51" s="3">
        <v>0</v>
      </c>
      <c r="AS51" s="3">
        <v>0</v>
      </c>
      <c r="AT51" s="3">
        <v>0</v>
      </c>
      <c r="AU51">
        <v>0</v>
      </c>
      <c r="AV51">
        <v>0</v>
      </c>
      <c r="AW51">
        <v>0</v>
      </c>
      <c r="AX51" s="3">
        <v>0</v>
      </c>
      <c r="AY51">
        <v>0</v>
      </c>
      <c r="AZ51">
        <v>3900</v>
      </c>
      <c r="BA51">
        <v>0</v>
      </c>
      <c r="BB51">
        <v>0</v>
      </c>
      <c r="BC51">
        <v>780</v>
      </c>
      <c r="BD51">
        <v>0</v>
      </c>
      <c r="BE51">
        <v>0</v>
      </c>
      <c r="BF51">
        <v>0</v>
      </c>
      <c r="BG51">
        <v>0</v>
      </c>
      <c r="BH51">
        <v>4680</v>
      </c>
      <c r="BI51">
        <v>3900</v>
      </c>
      <c r="BJ51" t="str">
        <f t="shared" si="33"/>
        <v>41</v>
      </c>
      <c r="BK51" t="str">
        <f t="shared" si="34"/>
        <v>VI</v>
      </c>
    </row>
    <row r="52" spans="1:63" x14ac:dyDescent="0.3">
      <c r="A52" t="str">
        <f>"202302"</f>
        <v>202302</v>
      </c>
      <c r="B52" t="str">
        <f>"VALLOUREC DRILLING"</f>
        <v>VALLOUREC DRILLING</v>
      </c>
      <c r="C52" t="str">
        <f>"16164"</f>
        <v>16164</v>
      </c>
      <c r="D52" t="str">
        <f>"35011677 POSTE 10"</f>
        <v>35011677 POSTE 10</v>
      </c>
      <c r="E52" t="str">
        <f t="shared" si="30"/>
        <v xml:space="preserve"> </v>
      </c>
      <c r="F52" s="1">
        <v>42104</v>
      </c>
      <c r="G52" t="str">
        <f>"LT"</f>
        <v>LT</v>
      </c>
      <c r="H52" t="str">
        <f>"FT"</f>
        <v>FT</v>
      </c>
      <c r="I52" s="5">
        <v>42111</v>
      </c>
      <c r="J52" s="1">
        <v>42146</v>
      </c>
      <c r="K52" t="str">
        <f t="shared" si="22"/>
        <v xml:space="preserve"> </v>
      </c>
      <c r="L52">
        <v>280</v>
      </c>
      <c r="M52" s="2">
        <v>0</v>
      </c>
      <c r="N52" s="3">
        <v>1</v>
      </c>
      <c r="O52" t="str">
        <f t="shared" si="23"/>
        <v>EUR</v>
      </c>
      <c r="P52" s="4" t="str">
        <f>"16164"</f>
        <v>16164</v>
      </c>
      <c r="Q52" t="str">
        <f t="shared" si="24"/>
        <v>01</v>
      </c>
      <c r="R52" s="2">
        <v>280</v>
      </c>
      <c r="S52" t="str">
        <f t="shared" si="32"/>
        <v xml:space="preserve"> </v>
      </c>
      <c r="T52" t="str">
        <f t="shared" si="32"/>
        <v xml:space="preserve"> </v>
      </c>
      <c r="U52" t="str">
        <f t="shared" si="32"/>
        <v xml:space="preserve"> </v>
      </c>
      <c r="V52" s="2">
        <v>280</v>
      </c>
      <c r="W52" s="4">
        <v>1</v>
      </c>
      <c r="X52" t="str">
        <f>"VALLOUREC DRILLING"</f>
        <v>VALLOUREC DRILLING</v>
      </c>
      <c r="Y52" t="str">
        <f>"MP"</f>
        <v>MP</v>
      </c>
      <c r="Z52" s="1">
        <v>42146</v>
      </c>
      <c r="AA52" t="str">
        <f t="shared" si="25"/>
        <v xml:space="preserve"> </v>
      </c>
      <c r="AB52" s="2">
        <v>0</v>
      </c>
      <c r="AC52" t="str">
        <f>"VALLOUREC DRILLING PRODUCTS FRANCE"</f>
        <v>VALLOUREC DRILLING PRODUCTS FRANCE</v>
      </c>
      <c r="AD52" t="str">
        <f t="shared" si="26"/>
        <v xml:space="preserve"> </v>
      </c>
      <c r="AE52" t="str">
        <f>"65000"</f>
        <v>65000</v>
      </c>
      <c r="AF52" t="str">
        <f>"TARBES"</f>
        <v>TARBES</v>
      </c>
      <c r="AG52" t="str">
        <f t="shared" si="27"/>
        <v xml:space="preserve"> </v>
      </c>
      <c r="AH52" t="str">
        <f t="shared" si="28"/>
        <v>F</v>
      </c>
      <c r="AI52" s="1">
        <v>42104</v>
      </c>
      <c r="AJ52">
        <v>0</v>
      </c>
      <c r="AL52">
        <v>0</v>
      </c>
      <c r="AN52" t="str">
        <f t="shared" si="19"/>
        <v>DEBARROS</v>
      </c>
      <c r="AO52" t="str">
        <f>"VALLOUREC DRILLING PRODUCTS FRANCE"</f>
        <v>VALLOUREC DRILLING PRODUCTS FRANCE</v>
      </c>
      <c r="AP52" t="str">
        <f t="shared" si="29"/>
        <v xml:space="preserve"> </v>
      </c>
      <c r="AQ52" s="2">
        <v>0</v>
      </c>
      <c r="AR52" s="3">
        <v>0</v>
      </c>
      <c r="AS52" s="3">
        <v>0</v>
      </c>
      <c r="AT52" s="3">
        <v>0</v>
      </c>
      <c r="AU52">
        <v>0</v>
      </c>
      <c r="AV52">
        <v>0</v>
      </c>
      <c r="AW52">
        <v>0</v>
      </c>
      <c r="AX52" s="3">
        <v>0</v>
      </c>
      <c r="AY52">
        <v>0</v>
      </c>
      <c r="AZ52">
        <v>280</v>
      </c>
      <c r="BA52">
        <v>0</v>
      </c>
      <c r="BB52">
        <v>0</v>
      </c>
      <c r="BC52">
        <v>56</v>
      </c>
      <c r="BD52">
        <v>0</v>
      </c>
      <c r="BE52">
        <v>0</v>
      </c>
      <c r="BF52">
        <v>0</v>
      </c>
      <c r="BG52">
        <v>0</v>
      </c>
      <c r="BH52">
        <v>336</v>
      </c>
      <c r="BI52">
        <v>280</v>
      </c>
      <c r="BJ52" t="str">
        <f t="shared" si="33"/>
        <v>41</v>
      </c>
      <c r="BK52" t="str">
        <f t="shared" si="34"/>
        <v>VI</v>
      </c>
    </row>
    <row r="53" spans="1:63" x14ac:dyDescent="0.3">
      <c r="A53" t="str">
        <f>"186100"</f>
        <v>186100</v>
      </c>
      <c r="B53" t="str">
        <f>"HERAKLES ( SME )"</f>
        <v>HERAKLES ( SME )</v>
      </c>
      <c r="C53" t="str">
        <f>"16163"</f>
        <v>16163</v>
      </c>
      <c r="D53" t="str">
        <f>"AST 0120066 1"</f>
        <v>AST 0120066 1</v>
      </c>
      <c r="E53" t="str">
        <f t="shared" si="30"/>
        <v xml:space="preserve"> </v>
      </c>
      <c r="F53" s="1">
        <v>42103</v>
      </c>
      <c r="G53" t="str">
        <f>"LT"</f>
        <v>LT</v>
      </c>
      <c r="H53" t="str">
        <f>"FT"</f>
        <v>FT</v>
      </c>
      <c r="I53" s="5">
        <v>42117</v>
      </c>
      <c r="J53" s="1">
        <v>42121</v>
      </c>
      <c r="K53" t="str">
        <f t="shared" si="22"/>
        <v xml:space="preserve"> </v>
      </c>
      <c r="L53">
        <v>2400</v>
      </c>
      <c r="M53" s="2">
        <v>0</v>
      </c>
      <c r="N53" s="3">
        <v>1</v>
      </c>
      <c r="O53" t="str">
        <f t="shared" si="23"/>
        <v>EUR</v>
      </c>
      <c r="P53" s="4" t="str">
        <f>"16163"</f>
        <v>16163</v>
      </c>
      <c r="Q53" t="str">
        <f t="shared" si="24"/>
        <v>01</v>
      </c>
      <c r="R53" s="2">
        <v>2400</v>
      </c>
      <c r="S53" t="str">
        <f t="shared" si="32"/>
        <v xml:space="preserve"> </v>
      </c>
      <c r="T53" t="str">
        <f t="shared" si="32"/>
        <v xml:space="preserve"> </v>
      </c>
      <c r="U53" t="str">
        <f t="shared" si="32"/>
        <v xml:space="preserve"> </v>
      </c>
      <c r="V53" s="2">
        <v>2400</v>
      </c>
      <c r="W53" s="4">
        <v>1</v>
      </c>
      <c r="X53" t="str">
        <f>"HERAKLES ( SME )"</f>
        <v>HERAKLES ( SME )</v>
      </c>
      <c r="Y53" t="str">
        <f>"TS"</f>
        <v>TS</v>
      </c>
      <c r="Z53" s="1">
        <v>42121</v>
      </c>
      <c r="AA53" t="str">
        <f t="shared" si="25"/>
        <v xml:space="preserve"> </v>
      </c>
      <c r="AB53" s="2">
        <v>0</v>
      </c>
      <c r="AC53" t="str">
        <f>"SAFRAN HERAKLES"</f>
        <v>SAFRAN HERAKLES</v>
      </c>
      <c r="AD53" t="str">
        <f t="shared" si="26"/>
        <v xml:space="preserve"> </v>
      </c>
      <c r="AE53" t="str">
        <f>"33160"</f>
        <v>33160</v>
      </c>
      <c r="AF53" t="str">
        <f>"Saint Médard en Jalles"</f>
        <v>Saint Médard en Jalles</v>
      </c>
      <c r="AG53" t="str">
        <f t="shared" si="27"/>
        <v xml:space="preserve"> </v>
      </c>
      <c r="AH53" t="str">
        <f t="shared" si="28"/>
        <v>F</v>
      </c>
      <c r="AI53" s="1">
        <v>42103</v>
      </c>
      <c r="AJ53">
        <v>0</v>
      </c>
      <c r="AL53">
        <v>0</v>
      </c>
      <c r="AN53" t="str">
        <f t="shared" si="19"/>
        <v>DEBARROS</v>
      </c>
      <c r="AO53" t="str">
        <f>"HERAKLES ( SME )"</f>
        <v>HERAKLES ( SME )</v>
      </c>
      <c r="AP53" t="str">
        <f t="shared" si="29"/>
        <v xml:space="preserve"> </v>
      </c>
      <c r="AQ53" s="2">
        <v>0</v>
      </c>
      <c r="AR53" s="3">
        <v>0</v>
      </c>
      <c r="AS53" s="3">
        <v>0</v>
      </c>
      <c r="AT53" s="3">
        <v>0</v>
      </c>
      <c r="AU53">
        <v>0</v>
      </c>
      <c r="AV53">
        <v>0</v>
      </c>
      <c r="AW53">
        <v>0</v>
      </c>
      <c r="AX53" s="3">
        <v>0</v>
      </c>
      <c r="AY53">
        <v>0</v>
      </c>
      <c r="AZ53">
        <v>2400</v>
      </c>
      <c r="BA53">
        <v>0</v>
      </c>
      <c r="BB53">
        <v>0</v>
      </c>
      <c r="BC53">
        <v>480</v>
      </c>
      <c r="BD53">
        <v>0</v>
      </c>
      <c r="BE53">
        <v>0</v>
      </c>
      <c r="BF53">
        <v>0</v>
      </c>
      <c r="BG53">
        <v>0</v>
      </c>
      <c r="BH53">
        <v>2880</v>
      </c>
      <c r="BI53">
        <v>2400</v>
      </c>
      <c r="BJ53" t="str">
        <f t="shared" si="33"/>
        <v>41</v>
      </c>
      <c r="BK53" t="str">
        <f t="shared" si="34"/>
        <v>VI</v>
      </c>
    </row>
    <row r="54" spans="1:63" x14ac:dyDescent="0.3">
      <c r="A54" t="str">
        <f>"199962"</f>
        <v>199962</v>
      </c>
      <c r="B54" t="str">
        <f>"LAMARCHE"</f>
        <v>LAMARCHE</v>
      </c>
      <c r="C54" t="str">
        <f>"16162"</f>
        <v>16162</v>
      </c>
      <c r="D54" t="str">
        <f>"5862-01"</f>
        <v>5862-01</v>
      </c>
      <c r="E54" t="str">
        <f t="shared" si="30"/>
        <v xml:space="preserve"> </v>
      </c>
      <c r="F54" s="1">
        <v>42103</v>
      </c>
      <c r="G54" t="str">
        <f>" "</f>
        <v xml:space="preserve"> </v>
      </c>
      <c r="H54" t="str">
        <f>" "</f>
        <v xml:space="preserve"> </v>
      </c>
      <c r="J54" s="1">
        <v>42121</v>
      </c>
      <c r="K54" t="str">
        <f t="shared" si="22"/>
        <v xml:space="preserve"> </v>
      </c>
      <c r="L54">
        <v>3280</v>
      </c>
      <c r="M54" s="2">
        <v>0</v>
      </c>
      <c r="N54" s="3">
        <v>1</v>
      </c>
      <c r="O54" t="str">
        <f t="shared" si="23"/>
        <v>EUR</v>
      </c>
      <c r="P54" s="4" t="str">
        <f>"16162"</f>
        <v>16162</v>
      </c>
      <c r="Q54" t="str">
        <f t="shared" si="24"/>
        <v>01</v>
      </c>
      <c r="R54" s="2">
        <v>3280</v>
      </c>
      <c r="S54" t="str">
        <f t="shared" si="32"/>
        <v xml:space="preserve"> </v>
      </c>
      <c r="T54" t="str">
        <f t="shared" si="32"/>
        <v xml:space="preserve"> </v>
      </c>
      <c r="U54" t="str">
        <f t="shared" si="32"/>
        <v xml:space="preserve"> </v>
      </c>
      <c r="V54" s="2">
        <v>3280</v>
      </c>
      <c r="W54" s="4">
        <v>1</v>
      </c>
      <c r="X54" t="str">
        <f>"LAMARCHE"</f>
        <v>LAMARCHE</v>
      </c>
      <c r="Y54" t="str">
        <f>"MP"</f>
        <v>MP</v>
      </c>
      <c r="Z54" s="1">
        <v>42121</v>
      </c>
      <c r="AA54" t="str">
        <f t="shared" si="25"/>
        <v xml:space="preserve"> </v>
      </c>
      <c r="AB54" s="2">
        <v>0</v>
      </c>
      <c r="AC54" t="str">
        <f>"CABINET LAMARCHE"</f>
        <v>CABINET LAMARCHE</v>
      </c>
      <c r="AD54" t="str">
        <f t="shared" si="26"/>
        <v xml:space="preserve"> </v>
      </c>
      <c r="AE54" t="str">
        <f>"33160"</f>
        <v>33160</v>
      </c>
      <c r="AF54" t="str">
        <f>"Saint Aubin du Médoc"</f>
        <v>Saint Aubin du Médoc</v>
      </c>
      <c r="AG54" t="str">
        <f t="shared" si="27"/>
        <v xml:space="preserve"> </v>
      </c>
      <c r="AH54" t="str">
        <f t="shared" si="28"/>
        <v>F</v>
      </c>
      <c r="AI54" s="1">
        <v>42103</v>
      </c>
      <c r="AJ54">
        <v>0</v>
      </c>
      <c r="AL54">
        <v>0</v>
      </c>
      <c r="AN54" t="str">
        <f t="shared" si="19"/>
        <v>DEBARROS</v>
      </c>
      <c r="AO54" t="str">
        <f>"CABINET LAMARCHE"</f>
        <v>CABINET LAMARCHE</v>
      </c>
      <c r="AP54" t="str">
        <f t="shared" si="29"/>
        <v xml:space="preserve"> </v>
      </c>
      <c r="AQ54" s="2">
        <v>0</v>
      </c>
      <c r="AR54" s="3">
        <v>0</v>
      </c>
      <c r="AS54" s="3">
        <v>0</v>
      </c>
      <c r="AT54" s="3">
        <v>0</v>
      </c>
      <c r="AU54">
        <v>0</v>
      </c>
      <c r="AV54">
        <v>0</v>
      </c>
      <c r="AW54">
        <v>0</v>
      </c>
      <c r="AX54" s="3">
        <v>0</v>
      </c>
      <c r="AY54">
        <v>0</v>
      </c>
      <c r="AZ54">
        <v>3280</v>
      </c>
      <c r="BA54">
        <v>0</v>
      </c>
      <c r="BB54">
        <v>0</v>
      </c>
      <c r="BC54">
        <v>656</v>
      </c>
      <c r="BD54">
        <v>0</v>
      </c>
      <c r="BE54">
        <v>0</v>
      </c>
      <c r="BF54">
        <v>0</v>
      </c>
      <c r="BG54">
        <v>0</v>
      </c>
      <c r="BH54">
        <v>3936</v>
      </c>
      <c r="BI54">
        <v>3280</v>
      </c>
      <c r="BJ54" t="str">
        <f t="shared" si="33"/>
        <v>41</v>
      </c>
      <c r="BK54" t="str">
        <f>"CH"</f>
        <v>CH</v>
      </c>
    </row>
    <row r="55" spans="1:63" x14ac:dyDescent="0.3">
      <c r="A55" t="str">
        <f>"135200"</f>
        <v>135200</v>
      </c>
      <c r="B55" t="str">
        <f>"YARA FRANCE"</f>
        <v>YARA FRANCE</v>
      </c>
      <c r="C55" t="str">
        <f>"16161"</f>
        <v>16161</v>
      </c>
      <c r="D55" t="str">
        <f>"4501671991"</f>
        <v>4501671991</v>
      </c>
      <c r="E55" t="str">
        <f t="shared" si="30"/>
        <v xml:space="preserve"> </v>
      </c>
      <c r="F55" s="1">
        <v>42103</v>
      </c>
      <c r="G55" t="str">
        <f>"LT"</f>
        <v>LT</v>
      </c>
      <c r="H55" t="str">
        <f>"FT"</f>
        <v>FT</v>
      </c>
      <c r="I55" s="5">
        <v>42103</v>
      </c>
      <c r="J55" s="1">
        <v>42104</v>
      </c>
      <c r="K55" t="str">
        <f t="shared" si="22"/>
        <v xml:space="preserve"> </v>
      </c>
      <c r="L55">
        <v>500</v>
      </c>
      <c r="M55" s="2">
        <v>0</v>
      </c>
      <c r="N55" s="3">
        <v>1</v>
      </c>
      <c r="O55" t="str">
        <f t="shared" si="23"/>
        <v>EUR</v>
      </c>
      <c r="P55" s="4" t="str">
        <f>"16161"</f>
        <v>16161</v>
      </c>
      <c r="Q55" t="str">
        <f t="shared" si="24"/>
        <v>01</v>
      </c>
      <c r="R55" s="2">
        <v>500</v>
      </c>
      <c r="S55" t="str">
        <f t="shared" si="32"/>
        <v xml:space="preserve"> </v>
      </c>
      <c r="T55" t="str">
        <f t="shared" si="32"/>
        <v xml:space="preserve"> </v>
      </c>
      <c r="U55" t="str">
        <f t="shared" si="32"/>
        <v xml:space="preserve"> </v>
      </c>
      <c r="V55" s="2">
        <v>500</v>
      </c>
      <c r="W55" s="4">
        <v>1</v>
      </c>
      <c r="X55" t="str">
        <f>"YARA FRANCE"</f>
        <v>YARA FRANCE</v>
      </c>
      <c r="Y55" t="str">
        <f>"MP"</f>
        <v>MP</v>
      </c>
      <c r="Z55" s="1">
        <v>42104</v>
      </c>
      <c r="AA55" t="str">
        <f t="shared" si="25"/>
        <v xml:space="preserve"> </v>
      </c>
      <c r="AB55" s="2">
        <v>0</v>
      </c>
      <c r="AC55" t="str">
        <f>"YARA FRANCE"</f>
        <v>YARA FRANCE</v>
      </c>
      <c r="AD55" t="str">
        <f t="shared" si="26"/>
        <v xml:space="preserve"> </v>
      </c>
      <c r="AE55" t="str">
        <f>"33810"</f>
        <v>33810</v>
      </c>
      <c r="AF55" t="str">
        <f>"AMBES"</f>
        <v>AMBES</v>
      </c>
      <c r="AG55" t="str">
        <f t="shared" si="27"/>
        <v xml:space="preserve"> </v>
      </c>
      <c r="AH55" t="str">
        <f t="shared" si="28"/>
        <v>F</v>
      </c>
      <c r="AI55" s="1">
        <v>42103</v>
      </c>
      <c r="AJ55">
        <v>0</v>
      </c>
      <c r="AL55">
        <v>0</v>
      </c>
      <c r="AN55" t="str">
        <f t="shared" ref="AN55:AN79" si="36">"DEBARROS"</f>
        <v>DEBARROS</v>
      </c>
      <c r="AO55" t="str">
        <f>"YARA FRANCE"</f>
        <v>YARA FRANCE</v>
      </c>
      <c r="AP55" t="str">
        <f t="shared" si="29"/>
        <v xml:space="preserve"> </v>
      </c>
      <c r="AQ55" s="2">
        <v>0</v>
      </c>
      <c r="AR55" s="3">
        <v>0</v>
      </c>
      <c r="AS55" s="3">
        <v>0</v>
      </c>
      <c r="AT55" s="3">
        <v>0</v>
      </c>
      <c r="AU55">
        <v>0</v>
      </c>
      <c r="AV55">
        <v>0</v>
      </c>
      <c r="AW55">
        <v>0</v>
      </c>
      <c r="AX55" s="3">
        <v>0</v>
      </c>
      <c r="AY55">
        <v>0</v>
      </c>
      <c r="AZ55">
        <v>500</v>
      </c>
      <c r="BA55">
        <v>0</v>
      </c>
      <c r="BB55">
        <v>0</v>
      </c>
      <c r="BC55">
        <v>100</v>
      </c>
      <c r="BD55">
        <v>0</v>
      </c>
      <c r="BE55">
        <v>0</v>
      </c>
      <c r="BF55">
        <v>0</v>
      </c>
      <c r="BG55">
        <v>0</v>
      </c>
      <c r="BH55">
        <v>600</v>
      </c>
      <c r="BI55">
        <v>500</v>
      </c>
      <c r="BJ55" t="str">
        <f t="shared" si="33"/>
        <v>41</v>
      </c>
      <c r="BK55" t="str">
        <f>"VI"</f>
        <v>VI</v>
      </c>
    </row>
    <row r="56" spans="1:63" x14ac:dyDescent="0.3">
      <c r="A56" t="str">
        <f>"199962"</f>
        <v>199962</v>
      </c>
      <c r="B56" t="str">
        <f>"LAMARCHE"</f>
        <v>LAMARCHE</v>
      </c>
      <c r="C56" t="str">
        <f>"16160"</f>
        <v>16160</v>
      </c>
      <c r="D56" t="str">
        <f>"5856-01"</f>
        <v>5856-01</v>
      </c>
      <c r="E56" t="str">
        <f t="shared" si="30"/>
        <v xml:space="preserve"> </v>
      </c>
      <c r="F56" s="1">
        <v>42103</v>
      </c>
      <c r="G56" t="str">
        <f t="shared" ref="G56:H58" si="37">" "</f>
        <v xml:space="preserve"> </v>
      </c>
      <c r="H56" t="str">
        <f t="shared" si="37"/>
        <v xml:space="preserve"> </v>
      </c>
      <c r="J56" s="1">
        <v>42166</v>
      </c>
      <c r="K56" t="str">
        <f t="shared" si="22"/>
        <v xml:space="preserve"> </v>
      </c>
      <c r="L56">
        <v>9750</v>
      </c>
      <c r="M56" s="2">
        <v>0</v>
      </c>
      <c r="N56" s="3">
        <v>1</v>
      </c>
      <c r="O56" t="str">
        <f t="shared" si="23"/>
        <v>EUR</v>
      </c>
      <c r="P56" s="4" t="str">
        <f>"16160"</f>
        <v>16160</v>
      </c>
      <c r="Q56" t="str">
        <f t="shared" si="24"/>
        <v>01</v>
      </c>
      <c r="R56" s="2">
        <v>9750</v>
      </c>
      <c r="S56" t="str">
        <f t="shared" si="32"/>
        <v xml:space="preserve"> </v>
      </c>
      <c r="T56" t="str">
        <f t="shared" si="32"/>
        <v xml:space="preserve"> </v>
      </c>
      <c r="U56" t="str">
        <f t="shared" si="32"/>
        <v xml:space="preserve"> </v>
      </c>
      <c r="V56" s="2">
        <v>9750</v>
      </c>
      <c r="W56" s="4">
        <v>1</v>
      </c>
      <c r="X56" t="str">
        <f>"LAMARCHE"</f>
        <v>LAMARCHE</v>
      </c>
      <c r="Y56" t="str">
        <f>"MP"</f>
        <v>MP</v>
      </c>
      <c r="Z56" s="1">
        <v>42166</v>
      </c>
      <c r="AA56" t="str">
        <f t="shared" si="25"/>
        <v xml:space="preserve"> </v>
      </c>
      <c r="AB56" s="2">
        <v>0</v>
      </c>
      <c r="AC56" t="str">
        <f>"CABINET LAMARCHE"</f>
        <v>CABINET LAMARCHE</v>
      </c>
      <c r="AD56" t="str">
        <f t="shared" si="26"/>
        <v xml:space="preserve"> </v>
      </c>
      <c r="AE56" t="str">
        <f>"33160"</f>
        <v>33160</v>
      </c>
      <c r="AF56" t="str">
        <f>"Saint Aubin du Médoc"</f>
        <v>Saint Aubin du Médoc</v>
      </c>
      <c r="AG56" t="str">
        <f t="shared" si="27"/>
        <v xml:space="preserve"> </v>
      </c>
      <c r="AH56" t="str">
        <f t="shared" si="28"/>
        <v>F</v>
      </c>
      <c r="AI56" s="1">
        <v>42102</v>
      </c>
      <c r="AJ56">
        <v>0</v>
      </c>
      <c r="AL56">
        <v>0</v>
      </c>
      <c r="AN56" t="str">
        <f t="shared" si="36"/>
        <v>DEBARROS</v>
      </c>
      <c r="AO56" t="str">
        <f>"CABINET LAMARCHE"</f>
        <v>CABINET LAMARCHE</v>
      </c>
      <c r="AP56" t="str">
        <f t="shared" si="29"/>
        <v xml:space="preserve"> </v>
      </c>
      <c r="AQ56" s="2">
        <v>0</v>
      </c>
      <c r="AR56" s="3">
        <v>0</v>
      </c>
      <c r="AS56" s="3">
        <v>0</v>
      </c>
      <c r="AT56" s="3">
        <v>0</v>
      </c>
      <c r="AU56">
        <v>0</v>
      </c>
      <c r="AV56">
        <v>0</v>
      </c>
      <c r="AW56">
        <v>0</v>
      </c>
      <c r="AX56" s="3">
        <v>0</v>
      </c>
      <c r="AY56">
        <v>0</v>
      </c>
      <c r="AZ56">
        <v>9750</v>
      </c>
      <c r="BA56">
        <v>0</v>
      </c>
      <c r="BB56">
        <v>0</v>
      </c>
      <c r="BC56">
        <v>1950</v>
      </c>
      <c r="BD56">
        <v>0</v>
      </c>
      <c r="BE56">
        <v>0</v>
      </c>
      <c r="BF56">
        <v>0</v>
      </c>
      <c r="BG56">
        <v>0</v>
      </c>
      <c r="BH56">
        <v>11700</v>
      </c>
      <c r="BI56">
        <v>9750</v>
      </c>
      <c r="BJ56" t="str">
        <f t="shared" si="33"/>
        <v>41</v>
      </c>
      <c r="BK56" t="str">
        <f>"CH"</f>
        <v>CH</v>
      </c>
    </row>
    <row r="57" spans="1:63" x14ac:dyDescent="0.3">
      <c r="A57" t="str">
        <f>"202313"</f>
        <v>202313</v>
      </c>
      <c r="B57" t="str">
        <f>"SERTA"</f>
        <v>SERTA</v>
      </c>
      <c r="C57" t="str">
        <f>"16159"</f>
        <v>16159</v>
      </c>
      <c r="D57" t="str">
        <f>"2015/998"</f>
        <v>2015/998</v>
      </c>
      <c r="E57" t="str">
        <f t="shared" si="30"/>
        <v xml:space="preserve"> </v>
      </c>
      <c r="F57" s="1">
        <v>42103</v>
      </c>
      <c r="G57" t="str">
        <f t="shared" si="37"/>
        <v xml:space="preserve"> </v>
      </c>
      <c r="H57" t="str">
        <f t="shared" si="37"/>
        <v xml:space="preserve"> </v>
      </c>
      <c r="J57" s="1">
        <v>42145</v>
      </c>
      <c r="K57" t="str">
        <f t="shared" si="22"/>
        <v xml:space="preserve"> </v>
      </c>
      <c r="L57">
        <v>5080</v>
      </c>
      <c r="M57" s="2">
        <v>0</v>
      </c>
      <c r="N57" s="3">
        <v>1</v>
      </c>
      <c r="O57" t="str">
        <f t="shared" si="23"/>
        <v>EUR</v>
      </c>
      <c r="P57" s="4" t="str">
        <f>"16159"</f>
        <v>16159</v>
      </c>
      <c r="Q57" t="str">
        <f t="shared" si="24"/>
        <v>01</v>
      </c>
      <c r="R57" s="2">
        <v>5080</v>
      </c>
      <c r="S57" t="str">
        <f t="shared" si="32"/>
        <v xml:space="preserve"> </v>
      </c>
      <c r="T57" t="str">
        <f t="shared" si="32"/>
        <v xml:space="preserve"> </v>
      </c>
      <c r="U57" t="str">
        <f t="shared" si="32"/>
        <v xml:space="preserve"> </v>
      </c>
      <c r="V57" s="2">
        <v>5080</v>
      </c>
      <c r="W57" s="4">
        <v>0</v>
      </c>
      <c r="X57" t="str">
        <f>"SERTA"</f>
        <v>SERTA</v>
      </c>
      <c r="Y57" t="str">
        <f>"MP"</f>
        <v>MP</v>
      </c>
      <c r="Z57" s="1">
        <v>42145</v>
      </c>
      <c r="AA57" t="str">
        <f t="shared" si="25"/>
        <v xml:space="preserve"> </v>
      </c>
      <c r="AB57" s="2">
        <v>0</v>
      </c>
      <c r="AC57" t="str">
        <f>"SERTA ASD"</f>
        <v>SERTA ASD</v>
      </c>
      <c r="AD57" t="str">
        <f t="shared" si="26"/>
        <v xml:space="preserve"> </v>
      </c>
      <c r="AE57" t="str">
        <f>"33127"</f>
        <v>33127</v>
      </c>
      <c r="AF57" t="str">
        <f>"Saint Jean d'illac"</f>
        <v>Saint Jean d'illac</v>
      </c>
      <c r="AG57" t="str">
        <f t="shared" si="27"/>
        <v xml:space="preserve"> </v>
      </c>
      <c r="AH57" t="str">
        <f t="shared" si="28"/>
        <v>F</v>
      </c>
      <c r="AI57" s="1">
        <v>42103</v>
      </c>
      <c r="AJ57">
        <v>0</v>
      </c>
      <c r="AL57">
        <v>0</v>
      </c>
      <c r="AN57" t="str">
        <f t="shared" si="36"/>
        <v>DEBARROS</v>
      </c>
      <c r="AO57" t="str">
        <f>"SERTA ASD"</f>
        <v>SERTA ASD</v>
      </c>
      <c r="AP57" t="str">
        <f t="shared" si="29"/>
        <v xml:space="preserve"> </v>
      </c>
      <c r="AQ57" s="2">
        <v>0</v>
      </c>
      <c r="AR57" s="3">
        <v>0</v>
      </c>
      <c r="AS57" s="3">
        <v>0</v>
      </c>
      <c r="AT57" s="3">
        <v>0</v>
      </c>
      <c r="AU57">
        <v>0</v>
      </c>
      <c r="AV57">
        <v>0</v>
      </c>
      <c r="AW57">
        <v>0</v>
      </c>
      <c r="AX57" s="3">
        <v>0</v>
      </c>
      <c r="AY57">
        <v>0</v>
      </c>
      <c r="AZ57">
        <v>5080</v>
      </c>
      <c r="BA57">
        <v>0</v>
      </c>
      <c r="BB57">
        <v>0</v>
      </c>
      <c r="BC57">
        <v>1016</v>
      </c>
      <c r="BD57">
        <v>0</v>
      </c>
      <c r="BE57">
        <v>0</v>
      </c>
      <c r="BF57">
        <v>0</v>
      </c>
      <c r="BG57">
        <v>0</v>
      </c>
      <c r="BH57">
        <v>6096</v>
      </c>
      <c r="BI57">
        <v>5080</v>
      </c>
      <c r="BJ57" t="str">
        <f t="shared" si="33"/>
        <v>41</v>
      </c>
      <c r="BK57" t="str">
        <f>"VI"</f>
        <v>VI</v>
      </c>
    </row>
    <row r="58" spans="1:63" x14ac:dyDescent="0.3">
      <c r="A58" t="str">
        <f>"124000"</f>
        <v>124000</v>
      </c>
      <c r="B58" t="str">
        <f>"DIMETAL"</f>
        <v>DIMETAL</v>
      </c>
      <c r="C58" t="str">
        <f>"16158"</f>
        <v>16158</v>
      </c>
      <c r="D58" t="str">
        <f>" "</f>
        <v xml:space="preserve"> </v>
      </c>
      <c r="E58" t="str">
        <f t="shared" si="30"/>
        <v xml:space="preserve"> </v>
      </c>
      <c r="F58" s="1">
        <v>42103</v>
      </c>
      <c r="G58" t="str">
        <f t="shared" si="37"/>
        <v xml:space="preserve"> </v>
      </c>
      <c r="H58" t="str">
        <f t="shared" si="37"/>
        <v xml:space="preserve"> </v>
      </c>
      <c r="J58" s="1">
        <v>42124</v>
      </c>
      <c r="K58" t="str">
        <f t="shared" si="22"/>
        <v xml:space="preserve"> </v>
      </c>
      <c r="L58">
        <v>0</v>
      </c>
      <c r="M58" s="2">
        <v>0</v>
      </c>
      <c r="O58" t="str">
        <f t="shared" si="23"/>
        <v>EUR</v>
      </c>
      <c r="P58" s="4" t="str">
        <f>"16158"</f>
        <v>16158</v>
      </c>
      <c r="Q58" t="str">
        <f t="shared" si="24"/>
        <v>01</v>
      </c>
      <c r="R58" s="2">
        <v>0</v>
      </c>
      <c r="S58" t="str">
        <f t="shared" si="32"/>
        <v xml:space="preserve"> </v>
      </c>
      <c r="T58" t="str">
        <f t="shared" si="32"/>
        <v xml:space="preserve"> </v>
      </c>
      <c r="U58" t="str">
        <f t="shared" si="32"/>
        <v xml:space="preserve"> </v>
      </c>
      <c r="W58" s="4">
        <v>1</v>
      </c>
      <c r="X58" t="str">
        <f>"DIMETAL"</f>
        <v>DIMETAL</v>
      </c>
      <c r="Y58" t="str">
        <f>"TS"</f>
        <v>TS</v>
      </c>
      <c r="Z58" s="1">
        <v>42124</v>
      </c>
      <c r="AA58" t="str">
        <f t="shared" si="25"/>
        <v xml:space="preserve"> </v>
      </c>
      <c r="AB58" s="2">
        <v>0</v>
      </c>
      <c r="AC58" t="str">
        <f>"DIMETAL"</f>
        <v>DIMETAL</v>
      </c>
      <c r="AD58" t="str">
        <f t="shared" si="26"/>
        <v xml:space="preserve"> </v>
      </c>
      <c r="AE58" t="str">
        <f>"33700"</f>
        <v>33700</v>
      </c>
      <c r="AF58" t="str">
        <f>"MERIGNAC"</f>
        <v>MERIGNAC</v>
      </c>
      <c r="AG58" t="str">
        <f t="shared" si="27"/>
        <v xml:space="preserve"> </v>
      </c>
      <c r="AH58" t="str">
        <f t="shared" si="28"/>
        <v>F</v>
      </c>
      <c r="AI58" s="1">
        <v>42103</v>
      </c>
      <c r="AJ58">
        <v>0</v>
      </c>
      <c r="AL58">
        <v>0</v>
      </c>
      <c r="AN58" t="str">
        <f t="shared" si="36"/>
        <v>DEBARROS</v>
      </c>
      <c r="AO58" t="str">
        <f>"DIMETAL"</f>
        <v>DIMETAL</v>
      </c>
      <c r="AP58" t="str">
        <f t="shared" si="29"/>
        <v xml:space="preserve"> </v>
      </c>
      <c r="AQ58" s="2">
        <v>0</v>
      </c>
      <c r="AR58" s="3">
        <v>0</v>
      </c>
      <c r="AS58" s="3">
        <v>0</v>
      </c>
      <c r="AT58" s="3">
        <v>0</v>
      </c>
      <c r="AU58">
        <v>0</v>
      </c>
      <c r="AV58">
        <v>0</v>
      </c>
      <c r="AW58">
        <v>0</v>
      </c>
      <c r="AX58" s="3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 t="str">
        <f>"10"</f>
        <v>10</v>
      </c>
      <c r="BK58" t="str">
        <f>"CH"</f>
        <v>CH</v>
      </c>
    </row>
    <row r="59" spans="1:63" x14ac:dyDescent="0.3">
      <c r="A59" t="str">
        <f>"186100"</f>
        <v>186100</v>
      </c>
      <c r="B59" t="str">
        <f>"HERAKLES ( SME )"</f>
        <v>HERAKLES ( SME )</v>
      </c>
      <c r="C59" t="str">
        <f>"16157"</f>
        <v>16157</v>
      </c>
      <c r="D59" t="str">
        <f>"ANS 0738807 1"</f>
        <v>ANS 0738807 1</v>
      </c>
      <c r="E59" t="str">
        <f t="shared" si="30"/>
        <v xml:space="preserve"> </v>
      </c>
      <c r="F59" s="1">
        <v>42103</v>
      </c>
      <c r="G59" t="str">
        <f>"LT"</f>
        <v>LT</v>
      </c>
      <c r="H59" t="str">
        <f>"FT"</f>
        <v>FT</v>
      </c>
      <c r="I59" s="5">
        <v>42107</v>
      </c>
      <c r="J59" s="1">
        <v>42108</v>
      </c>
      <c r="K59" t="str">
        <f t="shared" si="22"/>
        <v xml:space="preserve"> </v>
      </c>
      <c r="L59">
        <v>450</v>
      </c>
      <c r="M59" s="2">
        <v>0</v>
      </c>
      <c r="N59" s="3">
        <v>1</v>
      </c>
      <c r="O59" t="str">
        <f t="shared" si="23"/>
        <v>EUR</v>
      </c>
      <c r="P59" s="4" t="str">
        <f>"16157"</f>
        <v>16157</v>
      </c>
      <c r="Q59" t="str">
        <f t="shared" si="24"/>
        <v>01</v>
      </c>
      <c r="R59" s="2">
        <v>450</v>
      </c>
      <c r="S59" t="str">
        <f t="shared" si="32"/>
        <v xml:space="preserve"> </v>
      </c>
      <c r="T59" t="str">
        <f t="shared" si="32"/>
        <v xml:space="preserve"> </v>
      </c>
      <c r="U59" t="str">
        <f t="shared" si="32"/>
        <v xml:space="preserve"> </v>
      </c>
      <c r="V59" s="2">
        <v>450</v>
      </c>
      <c r="W59" s="4">
        <v>1</v>
      </c>
      <c r="X59" t="str">
        <f>"HERAKLES ( SME )"</f>
        <v>HERAKLES ( SME )</v>
      </c>
      <c r="Y59" t="str">
        <f>"TS"</f>
        <v>TS</v>
      </c>
      <c r="Z59" s="1">
        <v>42108</v>
      </c>
      <c r="AA59" t="str">
        <f t="shared" si="25"/>
        <v xml:space="preserve"> </v>
      </c>
      <c r="AB59" s="2">
        <v>0</v>
      </c>
      <c r="AC59" t="str">
        <f>"SAFRAN HERAKLES"</f>
        <v>SAFRAN HERAKLES</v>
      </c>
      <c r="AD59" t="str">
        <f t="shared" si="26"/>
        <v xml:space="preserve"> </v>
      </c>
      <c r="AE59" t="str">
        <f>"33160"</f>
        <v>33160</v>
      </c>
      <c r="AF59" t="str">
        <f>"Saint Médard en Jalles"</f>
        <v>Saint Médard en Jalles</v>
      </c>
      <c r="AG59" t="str">
        <f t="shared" si="27"/>
        <v xml:space="preserve"> </v>
      </c>
      <c r="AH59" t="str">
        <f t="shared" si="28"/>
        <v>F</v>
      </c>
      <c r="AI59" s="1">
        <v>42103</v>
      </c>
      <c r="AJ59">
        <v>0</v>
      </c>
      <c r="AL59">
        <v>0</v>
      </c>
      <c r="AN59" t="str">
        <f t="shared" si="36"/>
        <v>DEBARROS</v>
      </c>
      <c r="AO59" t="str">
        <f>"HERAKLES ( SME )"</f>
        <v>HERAKLES ( SME )</v>
      </c>
      <c r="AP59" t="str">
        <f t="shared" si="29"/>
        <v xml:space="preserve"> </v>
      </c>
      <c r="AQ59" s="2">
        <v>0</v>
      </c>
      <c r="AR59" s="3">
        <v>0</v>
      </c>
      <c r="AS59" s="3">
        <v>0</v>
      </c>
      <c r="AT59" s="3">
        <v>0</v>
      </c>
      <c r="AU59">
        <v>0</v>
      </c>
      <c r="AV59">
        <v>0</v>
      </c>
      <c r="AW59">
        <v>0</v>
      </c>
      <c r="AX59" s="3">
        <v>0</v>
      </c>
      <c r="AY59">
        <v>0</v>
      </c>
      <c r="AZ59">
        <v>450</v>
      </c>
      <c r="BA59">
        <v>0</v>
      </c>
      <c r="BB59">
        <v>0</v>
      </c>
      <c r="BC59">
        <v>90</v>
      </c>
      <c r="BD59">
        <v>0</v>
      </c>
      <c r="BE59">
        <v>0</v>
      </c>
      <c r="BF59">
        <v>0</v>
      </c>
      <c r="BG59">
        <v>0</v>
      </c>
      <c r="BH59">
        <v>540</v>
      </c>
      <c r="BI59">
        <v>450</v>
      </c>
      <c r="BJ59" t="str">
        <f t="shared" ref="BJ59:BJ76" si="38">"41"</f>
        <v>41</v>
      </c>
      <c r="BK59" t="str">
        <f t="shared" ref="BK59:BK76" si="39">"VI"</f>
        <v>VI</v>
      </c>
    </row>
    <row r="60" spans="1:63" x14ac:dyDescent="0.3">
      <c r="A60" t="str">
        <f>"199921"</f>
        <v>199921</v>
      </c>
      <c r="B60" t="str">
        <f>"BET"</f>
        <v>BET</v>
      </c>
      <c r="C60" t="str">
        <f>"16156"</f>
        <v>16156</v>
      </c>
      <c r="D60" t="str">
        <f>" "</f>
        <v xml:space="preserve"> </v>
      </c>
      <c r="E60" t="str">
        <f t="shared" si="30"/>
        <v xml:space="preserve"> </v>
      </c>
      <c r="F60" s="1">
        <v>42102</v>
      </c>
      <c r="G60" t="str">
        <f>" "</f>
        <v xml:space="preserve"> </v>
      </c>
      <c r="H60" t="str">
        <f>" "</f>
        <v xml:space="preserve"> </v>
      </c>
      <c r="J60" s="1">
        <v>42144</v>
      </c>
      <c r="K60" t="str">
        <f t="shared" si="22"/>
        <v xml:space="preserve"> </v>
      </c>
      <c r="L60">
        <v>78116</v>
      </c>
      <c r="M60" s="2">
        <v>0</v>
      </c>
      <c r="N60" s="3">
        <v>1</v>
      </c>
      <c r="O60" t="str">
        <f t="shared" si="23"/>
        <v>EUR</v>
      </c>
      <c r="P60" s="4" t="str">
        <f>"16156"</f>
        <v>16156</v>
      </c>
      <c r="Q60" t="str">
        <f t="shared" si="24"/>
        <v>01</v>
      </c>
      <c r="R60" s="2">
        <v>78116</v>
      </c>
      <c r="S60" t="str">
        <f t="shared" si="32"/>
        <v xml:space="preserve"> </v>
      </c>
      <c r="T60" t="str">
        <f t="shared" si="32"/>
        <v xml:space="preserve"> </v>
      </c>
      <c r="U60" t="str">
        <f t="shared" si="32"/>
        <v xml:space="preserve"> </v>
      </c>
      <c r="V60" s="2">
        <v>78116</v>
      </c>
      <c r="W60" s="4">
        <v>1</v>
      </c>
      <c r="X60" t="str">
        <f>"BET"</f>
        <v>BET</v>
      </c>
      <c r="Y60" t="str">
        <f t="shared" ref="Y60:Y68" si="40">"MP"</f>
        <v>MP</v>
      </c>
      <c r="Z60" s="1">
        <v>42144</v>
      </c>
      <c r="AA60" t="str">
        <f t="shared" si="25"/>
        <v xml:space="preserve"> </v>
      </c>
      <c r="AB60" s="2">
        <v>0</v>
      </c>
      <c r="AC60" t="str">
        <f>"BET"</f>
        <v>BET</v>
      </c>
      <c r="AD60" t="str">
        <f t="shared" si="26"/>
        <v xml:space="preserve"> </v>
      </c>
      <c r="AE60" t="str">
        <f>"97388"</f>
        <v>97388</v>
      </c>
      <c r="AF60" t="str">
        <f>"KOUROU Cedex"</f>
        <v>KOUROU Cedex</v>
      </c>
      <c r="AG60" t="str">
        <f t="shared" si="27"/>
        <v xml:space="preserve"> </v>
      </c>
      <c r="AH60" t="str">
        <f t="shared" si="28"/>
        <v>F</v>
      </c>
      <c r="AI60" s="1">
        <v>42102</v>
      </c>
      <c r="AJ60">
        <v>0</v>
      </c>
      <c r="AL60">
        <v>0</v>
      </c>
      <c r="AN60" t="str">
        <f t="shared" si="36"/>
        <v>DEBARROS</v>
      </c>
      <c r="AO60" t="str">
        <f>"BET Centre Spatial Guyanais"</f>
        <v>BET Centre Spatial Guyanais</v>
      </c>
      <c r="AP60" t="str">
        <f t="shared" si="29"/>
        <v xml:space="preserve"> </v>
      </c>
      <c r="AQ60" s="2">
        <v>0</v>
      </c>
      <c r="AR60" s="3">
        <v>0</v>
      </c>
      <c r="AS60" s="3">
        <v>0</v>
      </c>
      <c r="AT60" s="3">
        <v>0</v>
      </c>
      <c r="AU60">
        <v>0</v>
      </c>
      <c r="AV60">
        <v>0</v>
      </c>
      <c r="AW60">
        <v>0</v>
      </c>
      <c r="AX60" s="3">
        <v>0</v>
      </c>
      <c r="AY60">
        <v>0</v>
      </c>
      <c r="AZ60">
        <v>78116</v>
      </c>
      <c r="BA60">
        <v>0</v>
      </c>
      <c r="BB60">
        <v>0</v>
      </c>
      <c r="BC60">
        <v>15623.2</v>
      </c>
      <c r="BD60">
        <v>0</v>
      </c>
      <c r="BE60">
        <v>0</v>
      </c>
      <c r="BF60">
        <v>0</v>
      </c>
      <c r="BG60">
        <v>0</v>
      </c>
      <c r="BH60">
        <v>93739.199999999997</v>
      </c>
      <c r="BI60">
        <v>78116</v>
      </c>
      <c r="BJ60" t="str">
        <f t="shared" si="38"/>
        <v>41</v>
      </c>
      <c r="BK60" t="str">
        <f t="shared" si="39"/>
        <v>VI</v>
      </c>
    </row>
    <row r="61" spans="1:63" x14ac:dyDescent="0.3">
      <c r="A61" t="str">
        <f>"199921"</f>
        <v>199921</v>
      </c>
      <c r="B61" t="str">
        <f>"BET"</f>
        <v>BET</v>
      </c>
      <c r="C61" t="str">
        <f>"16155"</f>
        <v>16155</v>
      </c>
      <c r="D61" t="str">
        <f>" "</f>
        <v xml:space="preserve"> </v>
      </c>
      <c r="E61" t="str">
        <f t="shared" si="30"/>
        <v xml:space="preserve"> </v>
      </c>
      <c r="F61" s="1">
        <v>42102</v>
      </c>
      <c r="G61" t="str">
        <f>" "</f>
        <v xml:space="preserve"> </v>
      </c>
      <c r="H61" t="str">
        <f>" "</f>
        <v xml:space="preserve"> </v>
      </c>
      <c r="J61" s="1">
        <v>42130</v>
      </c>
      <c r="K61" t="str">
        <f t="shared" si="22"/>
        <v xml:space="preserve"> </v>
      </c>
      <c r="L61">
        <v>24400</v>
      </c>
      <c r="M61" s="2">
        <v>0</v>
      </c>
      <c r="N61" s="3">
        <v>1</v>
      </c>
      <c r="O61" t="str">
        <f t="shared" si="23"/>
        <v>EUR</v>
      </c>
      <c r="P61" s="4" t="str">
        <f>"16155"</f>
        <v>16155</v>
      </c>
      <c r="Q61" t="str">
        <f t="shared" si="24"/>
        <v>01</v>
      </c>
      <c r="R61" s="2">
        <v>24400</v>
      </c>
      <c r="S61" t="str">
        <f t="shared" si="32"/>
        <v xml:space="preserve"> </v>
      </c>
      <c r="T61" t="str">
        <f t="shared" si="32"/>
        <v xml:space="preserve"> </v>
      </c>
      <c r="U61" t="str">
        <f t="shared" si="32"/>
        <v xml:space="preserve"> </v>
      </c>
      <c r="V61" s="2">
        <v>24400</v>
      </c>
      <c r="W61" s="4">
        <v>1</v>
      </c>
      <c r="X61" t="str">
        <f>"BET"</f>
        <v>BET</v>
      </c>
      <c r="Y61" t="str">
        <f t="shared" si="40"/>
        <v>MP</v>
      </c>
      <c r="Z61" s="1">
        <v>42130</v>
      </c>
      <c r="AA61" t="str">
        <f t="shared" si="25"/>
        <v xml:space="preserve"> </v>
      </c>
      <c r="AB61" s="2">
        <v>0</v>
      </c>
      <c r="AC61" t="str">
        <f>"BET"</f>
        <v>BET</v>
      </c>
      <c r="AD61" t="str">
        <f t="shared" si="26"/>
        <v xml:space="preserve"> </v>
      </c>
      <c r="AE61" t="str">
        <f>"97388"</f>
        <v>97388</v>
      </c>
      <c r="AF61" t="str">
        <f>"KOUROU Cedex"</f>
        <v>KOUROU Cedex</v>
      </c>
      <c r="AG61" t="str">
        <f t="shared" si="27"/>
        <v xml:space="preserve"> </v>
      </c>
      <c r="AH61" t="str">
        <f t="shared" si="28"/>
        <v>F</v>
      </c>
      <c r="AI61" s="1">
        <v>42102</v>
      </c>
      <c r="AJ61">
        <v>0</v>
      </c>
      <c r="AL61">
        <v>0</v>
      </c>
      <c r="AN61" t="str">
        <f t="shared" si="36"/>
        <v>DEBARROS</v>
      </c>
      <c r="AO61" t="str">
        <f>"BET Centre Spatial Guyanais"</f>
        <v>BET Centre Spatial Guyanais</v>
      </c>
      <c r="AP61" t="str">
        <f t="shared" si="29"/>
        <v xml:space="preserve"> </v>
      </c>
      <c r="AQ61" s="2">
        <v>0</v>
      </c>
      <c r="AR61" s="3">
        <v>0</v>
      </c>
      <c r="AS61" s="3">
        <v>0</v>
      </c>
      <c r="AT61" s="3">
        <v>0</v>
      </c>
      <c r="AU61">
        <v>0</v>
      </c>
      <c r="AV61">
        <v>0</v>
      </c>
      <c r="AW61">
        <v>0</v>
      </c>
      <c r="AX61" s="3">
        <v>0</v>
      </c>
      <c r="AY61">
        <v>0</v>
      </c>
      <c r="AZ61">
        <v>24400</v>
      </c>
      <c r="BA61">
        <v>0</v>
      </c>
      <c r="BB61">
        <v>0</v>
      </c>
      <c r="BC61">
        <v>4880</v>
      </c>
      <c r="BD61">
        <v>0</v>
      </c>
      <c r="BE61">
        <v>0</v>
      </c>
      <c r="BF61">
        <v>0</v>
      </c>
      <c r="BG61">
        <v>0</v>
      </c>
      <c r="BH61">
        <v>29280</v>
      </c>
      <c r="BI61">
        <v>24400</v>
      </c>
      <c r="BJ61" t="str">
        <f t="shared" si="38"/>
        <v>41</v>
      </c>
      <c r="BK61" t="str">
        <f t="shared" si="39"/>
        <v>VI</v>
      </c>
    </row>
    <row r="62" spans="1:63" x14ac:dyDescent="0.3">
      <c r="A62" t="str">
        <f>"165300"</f>
        <v>165300</v>
      </c>
      <c r="B62" t="str">
        <f>"METAREG"</f>
        <v>METAREG</v>
      </c>
      <c r="C62" t="str">
        <f>"16154"</f>
        <v>16154</v>
      </c>
      <c r="D62" t="str">
        <f>"C150009962/1"</f>
        <v>C150009962/1</v>
      </c>
      <c r="E62" t="str">
        <f t="shared" si="30"/>
        <v xml:space="preserve"> </v>
      </c>
      <c r="F62" s="1">
        <v>42102</v>
      </c>
      <c r="G62" t="str">
        <f>"LT"</f>
        <v>LT</v>
      </c>
      <c r="H62" t="str">
        <f>"FT"</f>
        <v>FT</v>
      </c>
      <c r="I62" s="5">
        <v>42109</v>
      </c>
      <c r="J62" s="1">
        <v>42108</v>
      </c>
      <c r="K62" t="str">
        <f t="shared" si="22"/>
        <v xml:space="preserve"> </v>
      </c>
      <c r="L62">
        <v>300</v>
      </c>
      <c r="M62" s="2">
        <v>0</v>
      </c>
      <c r="N62" s="3">
        <v>1</v>
      </c>
      <c r="O62" t="str">
        <f t="shared" si="23"/>
        <v>EUR</v>
      </c>
      <c r="P62" s="4" t="str">
        <f>"16154"</f>
        <v>16154</v>
      </c>
      <c r="Q62" t="str">
        <f t="shared" si="24"/>
        <v>01</v>
      </c>
      <c r="R62" s="2">
        <v>300</v>
      </c>
      <c r="S62" t="str">
        <f t="shared" ref="S62:U79" si="41">" "</f>
        <v xml:space="preserve"> </v>
      </c>
      <c r="T62" t="str">
        <f t="shared" si="41"/>
        <v xml:space="preserve"> </v>
      </c>
      <c r="U62" t="str">
        <f t="shared" si="41"/>
        <v xml:space="preserve"> </v>
      </c>
      <c r="V62" s="2">
        <v>300</v>
      </c>
      <c r="W62" s="4">
        <v>1</v>
      </c>
      <c r="X62" t="str">
        <f>"METAREG"</f>
        <v>METAREG</v>
      </c>
      <c r="Y62" t="str">
        <f t="shared" si="40"/>
        <v>MP</v>
      </c>
      <c r="Z62" s="1">
        <v>42108</v>
      </c>
      <c r="AA62" t="str">
        <f t="shared" si="25"/>
        <v xml:space="preserve"> </v>
      </c>
      <c r="AB62" s="2">
        <v>0</v>
      </c>
      <c r="AC62" t="str">
        <f>"EIFFAGE CONTRUCTION METALLIQUE"</f>
        <v>EIFFAGE CONTRUCTION METALLIQUE</v>
      </c>
      <c r="AD62" t="str">
        <f t="shared" si="26"/>
        <v xml:space="preserve"> </v>
      </c>
      <c r="AE62" t="str">
        <f>"33600"</f>
        <v>33600</v>
      </c>
      <c r="AF62" t="str">
        <f>"PESSAC"</f>
        <v>PESSAC</v>
      </c>
      <c r="AG62" t="str">
        <f t="shared" si="27"/>
        <v xml:space="preserve"> </v>
      </c>
      <c r="AH62" t="str">
        <f t="shared" si="28"/>
        <v>F</v>
      </c>
      <c r="AI62" s="1">
        <v>42102</v>
      </c>
      <c r="AJ62">
        <v>0</v>
      </c>
      <c r="AL62">
        <v>0</v>
      </c>
      <c r="AN62" t="str">
        <f t="shared" si="36"/>
        <v>DEBARROS</v>
      </c>
      <c r="AO62" t="str">
        <f>"EIFFAGE CONSTRUCTION METALLIQUE"</f>
        <v>EIFFAGE CONSTRUCTION METALLIQUE</v>
      </c>
      <c r="AP62" t="str">
        <f t="shared" si="29"/>
        <v xml:space="preserve"> </v>
      </c>
      <c r="AQ62" s="2">
        <v>0</v>
      </c>
      <c r="AR62" s="3">
        <v>0</v>
      </c>
      <c r="AS62" s="3">
        <v>0</v>
      </c>
      <c r="AT62" s="3">
        <v>0</v>
      </c>
      <c r="AU62">
        <v>0</v>
      </c>
      <c r="AV62">
        <v>0</v>
      </c>
      <c r="AW62">
        <v>0</v>
      </c>
      <c r="AX62" s="3">
        <v>0</v>
      </c>
      <c r="AY62">
        <v>0</v>
      </c>
      <c r="AZ62">
        <v>300</v>
      </c>
      <c r="BA62">
        <v>0</v>
      </c>
      <c r="BB62">
        <v>0</v>
      </c>
      <c r="BC62">
        <v>60</v>
      </c>
      <c r="BD62">
        <v>0</v>
      </c>
      <c r="BE62">
        <v>0</v>
      </c>
      <c r="BF62">
        <v>0</v>
      </c>
      <c r="BG62">
        <v>0</v>
      </c>
      <c r="BH62">
        <v>360</v>
      </c>
      <c r="BI62">
        <v>300</v>
      </c>
      <c r="BJ62" t="str">
        <f t="shared" si="38"/>
        <v>41</v>
      </c>
      <c r="BK62" t="str">
        <f t="shared" si="39"/>
        <v>VI</v>
      </c>
    </row>
    <row r="63" spans="1:63" x14ac:dyDescent="0.3">
      <c r="A63" t="str">
        <f>"165300"</f>
        <v>165300</v>
      </c>
      <c r="B63" t="str">
        <f>"METAREG"</f>
        <v>METAREG</v>
      </c>
      <c r="C63" t="str">
        <f>"16153"</f>
        <v>16153</v>
      </c>
      <c r="D63" t="str">
        <f>"C150009962/1"</f>
        <v>C150009962/1</v>
      </c>
      <c r="E63" t="str">
        <f t="shared" si="30"/>
        <v xml:space="preserve"> </v>
      </c>
      <c r="F63" s="1">
        <v>42102</v>
      </c>
      <c r="G63" t="str">
        <f>"LT"</f>
        <v>LT</v>
      </c>
      <c r="H63" t="str">
        <f>"FT"</f>
        <v>FT</v>
      </c>
      <c r="I63" s="5">
        <v>42109</v>
      </c>
      <c r="J63" s="1">
        <v>42108</v>
      </c>
      <c r="K63" t="str">
        <f t="shared" si="22"/>
        <v xml:space="preserve"> </v>
      </c>
      <c r="L63">
        <v>300</v>
      </c>
      <c r="M63" s="2">
        <v>0</v>
      </c>
      <c r="N63" s="3">
        <v>1</v>
      </c>
      <c r="O63" t="str">
        <f t="shared" si="23"/>
        <v>EUR</v>
      </c>
      <c r="P63" s="4" t="str">
        <f>"16153"</f>
        <v>16153</v>
      </c>
      <c r="Q63" t="str">
        <f t="shared" si="24"/>
        <v>01</v>
      </c>
      <c r="R63" s="2">
        <v>300</v>
      </c>
      <c r="S63" t="str">
        <f t="shared" si="41"/>
        <v xml:space="preserve"> </v>
      </c>
      <c r="T63" t="str">
        <f t="shared" si="41"/>
        <v xml:space="preserve"> </v>
      </c>
      <c r="U63" t="str">
        <f t="shared" si="41"/>
        <v xml:space="preserve"> </v>
      </c>
      <c r="V63" s="2">
        <v>300</v>
      </c>
      <c r="W63" s="4">
        <v>1</v>
      </c>
      <c r="X63" t="str">
        <f>"METAREG"</f>
        <v>METAREG</v>
      </c>
      <c r="Y63" t="str">
        <f t="shared" si="40"/>
        <v>MP</v>
      </c>
      <c r="Z63" s="1">
        <v>42108</v>
      </c>
      <c r="AA63" t="str">
        <f t="shared" si="25"/>
        <v xml:space="preserve"> </v>
      </c>
      <c r="AB63" s="2">
        <v>0</v>
      </c>
      <c r="AC63" t="str">
        <f>"EIFFAGE CONTRUCTION METALLIQUE"</f>
        <v>EIFFAGE CONTRUCTION METALLIQUE</v>
      </c>
      <c r="AD63" t="str">
        <f t="shared" si="26"/>
        <v xml:space="preserve"> </v>
      </c>
      <c r="AE63" t="str">
        <f>"33600"</f>
        <v>33600</v>
      </c>
      <c r="AF63" t="str">
        <f>"PESSAC"</f>
        <v>PESSAC</v>
      </c>
      <c r="AG63" t="str">
        <f t="shared" si="27"/>
        <v xml:space="preserve"> </v>
      </c>
      <c r="AH63" t="str">
        <f t="shared" si="28"/>
        <v>F</v>
      </c>
      <c r="AI63" s="1">
        <v>42102</v>
      </c>
      <c r="AJ63">
        <v>0</v>
      </c>
      <c r="AL63">
        <v>0</v>
      </c>
      <c r="AN63" t="str">
        <f t="shared" si="36"/>
        <v>DEBARROS</v>
      </c>
      <c r="AO63" t="str">
        <f>"EIFFAGE CONSTRUCTION METALLIQUE"</f>
        <v>EIFFAGE CONSTRUCTION METALLIQUE</v>
      </c>
      <c r="AP63" t="str">
        <f t="shared" si="29"/>
        <v xml:space="preserve"> </v>
      </c>
      <c r="AQ63" s="2">
        <v>0</v>
      </c>
      <c r="AR63" s="3">
        <v>0</v>
      </c>
      <c r="AS63" s="3">
        <v>0</v>
      </c>
      <c r="AT63" s="3">
        <v>0</v>
      </c>
      <c r="AU63">
        <v>0</v>
      </c>
      <c r="AV63">
        <v>0</v>
      </c>
      <c r="AW63">
        <v>0</v>
      </c>
      <c r="AX63" s="3">
        <v>0</v>
      </c>
      <c r="AY63">
        <v>0</v>
      </c>
      <c r="AZ63">
        <v>300</v>
      </c>
      <c r="BA63">
        <v>0</v>
      </c>
      <c r="BB63">
        <v>0</v>
      </c>
      <c r="BC63">
        <v>60</v>
      </c>
      <c r="BD63">
        <v>0</v>
      </c>
      <c r="BE63">
        <v>0</v>
      </c>
      <c r="BF63">
        <v>0</v>
      </c>
      <c r="BG63">
        <v>0</v>
      </c>
      <c r="BH63">
        <v>360</v>
      </c>
      <c r="BI63">
        <v>300</v>
      </c>
      <c r="BJ63" t="str">
        <f t="shared" si="38"/>
        <v>41</v>
      </c>
      <c r="BK63" t="str">
        <f t="shared" si="39"/>
        <v>VI</v>
      </c>
    </row>
    <row r="64" spans="1:63" x14ac:dyDescent="0.3">
      <c r="A64" t="str">
        <f>"165300"</f>
        <v>165300</v>
      </c>
      <c r="B64" t="str">
        <f>"METAREG"</f>
        <v>METAREG</v>
      </c>
      <c r="C64" t="str">
        <f>"16152"</f>
        <v>16152</v>
      </c>
      <c r="D64" t="str">
        <f>"C150009962/1"</f>
        <v>C150009962/1</v>
      </c>
      <c r="E64" t="str">
        <f t="shared" si="30"/>
        <v xml:space="preserve"> </v>
      </c>
      <c r="F64" s="1">
        <v>42102</v>
      </c>
      <c r="G64" t="str">
        <f>"LT"</f>
        <v>LT</v>
      </c>
      <c r="H64" t="str">
        <f>"FT"</f>
        <v>FT</v>
      </c>
      <c r="I64" s="5">
        <v>42108</v>
      </c>
      <c r="J64" s="1">
        <v>42108</v>
      </c>
      <c r="K64" t="str">
        <f t="shared" si="22"/>
        <v xml:space="preserve"> </v>
      </c>
      <c r="L64">
        <v>275</v>
      </c>
      <c r="M64" s="2">
        <v>0</v>
      </c>
      <c r="N64" s="3">
        <v>1</v>
      </c>
      <c r="O64" t="str">
        <f t="shared" si="23"/>
        <v>EUR</v>
      </c>
      <c r="P64" s="4" t="str">
        <f>"16152"</f>
        <v>16152</v>
      </c>
      <c r="Q64" t="str">
        <f t="shared" si="24"/>
        <v>01</v>
      </c>
      <c r="R64" s="2">
        <v>275</v>
      </c>
      <c r="S64" t="str">
        <f t="shared" si="41"/>
        <v xml:space="preserve"> </v>
      </c>
      <c r="T64" t="str">
        <f t="shared" si="41"/>
        <v xml:space="preserve"> </v>
      </c>
      <c r="U64" t="str">
        <f t="shared" si="41"/>
        <v xml:space="preserve"> </v>
      </c>
      <c r="V64" s="2">
        <v>275</v>
      </c>
      <c r="W64" s="4">
        <v>1</v>
      </c>
      <c r="X64" t="str">
        <f>"METAREG"</f>
        <v>METAREG</v>
      </c>
      <c r="Y64" t="str">
        <f t="shared" si="40"/>
        <v>MP</v>
      </c>
      <c r="Z64" s="1">
        <v>42108</v>
      </c>
      <c r="AA64" t="str">
        <f t="shared" si="25"/>
        <v xml:space="preserve"> </v>
      </c>
      <c r="AB64" s="2">
        <v>0</v>
      </c>
      <c r="AC64" t="str">
        <f>"EIFFAGE CONTRUCTION METALLIQUE"</f>
        <v>EIFFAGE CONTRUCTION METALLIQUE</v>
      </c>
      <c r="AD64" t="str">
        <f t="shared" si="26"/>
        <v xml:space="preserve"> </v>
      </c>
      <c r="AE64" t="str">
        <f>"33600"</f>
        <v>33600</v>
      </c>
      <c r="AF64" t="str">
        <f>"PESSAC"</f>
        <v>PESSAC</v>
      </c>
      <c r="AG64" t="str">
        <f t="shared" si="27"/>
        <v xml:space="preserve"> </v>
      </c>
      <c r="AH64" t="str">
        <f t="shared" si="28"/>
        <v>F</v>
      </c>
      <c r="AI64" s="1">
        <v>42102</v>
      </c>
      <c r="AJ64">
        <v>0</v>
      </c>
      <c r="AL64">
        <v>0</v>
      </c>
      <c r="AN64" t="str">
        <f t="shared" si="36"/>
        <v>DEBARROS</v>
      </c>
      <c r="AO64" t="str">
        <f>"EIFFAGE CONSTRUCTION METALLIQUE"</f>
        <v>EIFFAGE CONSTRUCTION METALLIQUE</v>
      </c>
      <c r="AP64" t="str">
        <f t="shared" si="29"/>
        <v xml:space="preserve"> </v>
      </c>
      <c r="AQ64" s="2">
        <v>0</v>
      </c>
      <c r="AR64" s="3">
        <v>0</v>
      </c>
      <c r="AS64" s="3">
        <v>0</v>
      </c>
      <c r="AT64" s="3">
        <v>0</v>
      </c>
      <c r="AU64">
        <v>0</v>
      </c>
      <c r="AV64">
        <v>0</v>
      </c>
      <c r="AW64">
        <v>0</v>
      </c>
      <c r="AX64" s="3">
        <v>0</v>
      </c>
      <c r="AY64">
        <v>0</v>
      </c>
      <c r="AZ64">
        <v>275</v>
      </c>
      <c r="BA64">
        <v>0</v>
      </c>
      <c r="BB64">
        <v>0</v>
      </c>
      <c r="BC64">
        <v>55</v>
      </c>
      <c r="BD64">
        <v>0</v>
      </c>
      <c r="BE64">
        <v>0</v>
      </c>
      <c r="BF64">
        <v>0</v>
      </c>
      <c r="BG64">
        <v>0</v>
      </c>
      <c r="BH64">
        <v>330</v>
      </c>
      <c r="BI64">
        <v>275</v>
      </c>
      <c r="BJ64" t="str">
        <f t="shared" si="38"/>
        <v>41</v>
      </c>
      <c r="BK64" t="str">
        <f t="shared" si="39"/>
        <v>VI</v>
      </c>
    </row>
    <row r="65" spans="1:63" x14ac:dyDescent="0.3">
      <c r="A65" t="str">
        <f>"202302"</f>
        <v>202302</v>
      </c>
      <c r="B65" t="str">
        <f>"VALLOUREC DRILLING"</f>
        <v>VALLOUREC DRILLING</v>
      </c>
      <c r="C65" t="str">
        <f>"16151"</f>
        <v>16151</v>
      </c>
      <c r="D65" t="str">
        <f>"35011619 POSTE 40"</f>
        <v>35011619 POSTE 40</v>
      </c>
      <c r="E65" t="str">
        <f t="shared" si="30"/>
        <v xml:space="preserve"> </v>
      </c>
      <c r="F65" s="1">
        <v>42102</v>
      </c>
      <c r="G65" t="str">
        <f t="shared" ref="G65:H68" si="42">" "</f>
        <v xml:space="preserve"> </v>
      </c>
      <c r="H65" t="str">
        <f t="shared" si="42"/>
        <v xml:space="preserve"> </v>
      </c>
      <c r="J65" s="1">
        <v>42146</v>
      </c>
      <c r="K65" t="str">
        <f t="shared" si="22"/>
        <v xml:space="preserve"> </v>
      </c>
      <c r="L65">
        <v>6150</v>
      </c>
      <c r="M65" s="2">
        <v>0</v>
      </c>
      <c r="N65" s="3">
        <v>1</v>
      </c>
      <c r="O65" t="str">
        <f t="shared" si="23"/>
        <v>EUR</v>
      </c>
      <c r="P65" s="4" t="str">
        <f>"16151"</f>
        <v>16151</v>
      </c>
      <c r="Q65" t="str">
        <f t="shared" si="24"/>
        <v>01</v>
      </c>
      <c r="R65" s="2">
        <v>6150</v>
      </c>
      <c r="S65" t="str">
        <f t="shared" si="41"/>
        <v xml:space="preserve"> </v>
      </c>
      <c r="T65" t="str">
        <f t="shared" si="41"/>
        <v xml:space="preserve"> </v>
      </c>
      <c r="U65" t="str">
        <f t="shared" si="41"/>
        <v xml:space="preserve"> </v>
      </c>
      <c r="V65" s="2">
        <v>6150</v>
      </c>
      <c r="W65" s="4">
        <v>1</v>
      </c>
      <c r="X65" t="str">
        <f>"VALLOUREC DRILLING"</f>
        <v>VALLOUREC DRILLING</v>
      </c>
      <c r="Y65" t="str">
        <f t="shared" si="40"/>
        <v>MP</v>
      </c>
      <c r="Z65" s="1">
        <v>42146</v>
      </c>
      <c r="AA65" t="str">
        <f t="shared" si="25"/>
        <v xml:space="preserve"> </v>
      </c>
      <c r="AB65" s="2">
        <v>0</v>
      </c>
      <c r="AC65" t="str">
        <f>"VALLOUREC DRILLING PRODUCTS FRANCE"</f>
        <v>VALLOUREC DRILLING PRODUCTS FRANCE</v>
      </c>
      <c r="AD65" t="str">
        <f t="shared" si="26"/>
        <v xml:space="preserve"> </v>
      </c>
      <c r="AE65" t="str">
        <f>"65000"</f>
        <v>65000</v>
      </c>
      <c r="AF65" t="str">
        <f>"TARBES"</f>
        <v>TARBES</v>
      </c>
      <c r="AG65" t="str">
        <f t="shared" si="27"/>
        <v xml:space="preserve"> </v>
      </c>
      <c r="AH65" t="str">
        <f t="shared" si="28"/>
        <v>F</v>
      </c>
      <c r="AI65" s="1">
        <v>42101</v>
      </c>
      <c r="AJ65">
        <v>0</v>
      </c>
      <c r="AL65">
        <v>0</v>
      </c>
      <c r="AN65" t="str">
        <f t="shared" si="36"/>
        <v>DEBARROS</v>
      </c>
      <c r="AO65" t="str">
        <f>"VALLOUREC DRILLING PRODUCTS FRANCE"</f>
        <v>VALLOUREC DRILLING PRODUCTS FRANCE</v>
      </c>
      <c r="AP65" t="str">
        <f t="shared" si="29"/>
        <v xml:space="preserve"> </v>
      </c>
      <c r="AQ65" s="2">
        <v>0</v>
      </c>
      <c r="AR65" s="3">
        <v>0</v>
      </c>
      <c r="AS65" s="3">
        <v>0</v>
      </c>
      <c r="AT65" s="3">
        <v>0</v>
      </c>
      <c r="AU65">
        <v>0</v>
      </c>
      <c r="AV65">
        <v>0</v>
      </c>
      <c r="AW65">
        <v>0</v>
      </c>
      <c r="AX65" s="3">
        <v>0</v>
      </c>
      <c r="AY65">
        <v>0</v>
      </c>
      <c r="AZ65">
        <v>6150</v>
      </c>
      <c r="BA65">
        <v>0</v>
      </c>
      <c r="BB65">
        <v>0</v>
      </c>
      <c r="BC65">
        <v>1230</v>
      </c>
      <c r="BD65">
        <v>0</v>
      </c>
      <c r="BE65">
        <v>0</v>
      </c>
      <c r="BF65">
        <v>0</v>
      </c>
      <c r="BG65">
        <v>0</v>
      </c>
      <c r="BH65">
        <v>7380</v>
      </c>
      <c r="BI65">
        <v>6150</v>
      </c>
      <c r="BJ65" t="str">
        <f t="shared" si="38"/>
        <v>41</v>
      </c>
      <c r="BK65" t="str">
        <f t="shared" si="39"/>
        <v>VI</v>
      </c>
    </row>
    <row r="66" spans="1:63" x14ac:dyDescent="0.3">
      <c r="A66" t="str">
        <f>"202302"</f>
        <v>202302</v>
      </c>
      <c r="B66" t="str">
        <f>"VALLOUREC DRILLING"</f>
        <v>VALLOUREC DRILLING</v>
      </c>
      <c r="C66" t="str">
        <f>"16150"</f>
        <v>16150</v>
      </c>
      <c r="D66" t="str">
        <f>"35011619 POSTE 30"</f>
        <v>35011619 POSTE 30</v>
      </c>
      <c r="E66" t="str">
        <f t="shared" si="30"/>
        <v xml:space="preserve"> </v>
      </c>
      <c r="F66" s="1">
        <v>42102</v>
      </c>
      <c r="G66" t="str">
        <f t="shared" si="42"/>
        <v xml:space="preserve"> </v>
      </c>
      <c r="H66" t="str">
        <f t="shared" si="42"/>
        <v xml:space="preserve"> </v>
      </c>
      <c r="J66" s="1">
        <v>42146</v>
      </c>
      <c r="K66" t="str">
        <f t="shared" ref="K66:K79" si="43">" "</f>
        <v xml:space="preserve"> </v>
      </c>
      <c r="L66">
        <v>2000</v>
      </c>
      <c r="M66" s="2">
        <v>0</v>
      </c>
      <c r="N66" s="3">
        <v>1</v>
      </c>
      <c r="O66" t="str">
        <f t="shared" ref="O66:O79" si="44">"EUR"</f>
        <v>EUR</v>
      </c>
      <c r="P66" s="4" t="str">
        <f>"16150"</f>
        <v>16150</v>
      </c>
      <c r="Q66" t="str">
        <f t="shared" ref="Q66:Q79" si="45">"01"</f>
        <v>01</v>
      </c>
      <c r="R66" s="2">
        <v>2000</v>
      </c>
      <c r="S66" t="str">
        <f t="shared" si="41"/>
        <v xml:space="preserve"> </v>
      </c>
      <c r="T66" t="str">
        <f t="shared" si="41"/>
        <v xml:space="preserve"> </v>
      </c>
      <c r="U66" t="str">
        <f t="shared" si="41"/>
        <v xml:space="preserve"> </v>
      </c>
      <c r="V66" s="2">
        <v>2000</v>
      </c>
      <c r="W66" s="4">
        <v>1</v>
      </c>
      <c r="X66" t="str">
        <f>"VALLOUREC DRILLING"</f>
        <v>VALLOUREC DRILLING</v>
      </c>
      <c r="Y66" t="str">
        <f t="shared" si="40"/>
        <v>MP</v>
      </c>
      <c r="Z66" s="1">
        <v>42146</v>
      </c>
      <c r="AA66" t="str">
        <f t="shared" ref="AA66:AA79" si="46">" "</f>
        <v xml:space="preserve"> </v>
      </c>
      <c r="AB66" s="2">
        <v>0</v>
      </c>
      <c r="AC66" t="str">
        <f>"VALLOUREC DRILLING PRODUCTS FRANCE"</f>
        <v>VALLOUREC DRILLING PRODUCTS FRANCE</v>
      </c>
      <c r="AD66" t="str">
        <f t="shared" ref="AD66:AD79" si="47">" "</f>
        <v xml:space="preserve"> </v>
      </c>
      <c r="AE66" t="str">
        <f>"65000"</f>
        <v>65000</v>
      </c>
      <c r="AF66" t="str">
        <f>"TARBES"</f>
        <v>TARBES</v>
      </c>
      <c r="AG66" t="str">
        <f t="shared" ref="AG66:AG79" si="48">" "</f>
        <v xml:space="preserve"> </v>
      </c>
      <c r="AH66" t="str">
        <f t="shared" ref="AH66:AH79" si="49">"F"</f>
        <v>F</v>
      </c>
      <c r="AI66" s="1">
        <v>42101</v>
      </c>
      <c r="AJ66">
        <v>0</v>
      </c>
      <c r="AL66">
        <v>0</v>
      </c>
      <c r="AN66" t="str">
        <f t="shared" si="36"/>
        <v>DEBARROS</v>
      </c>
      <c r="AO66" t="str">
        <f>"VALLOUREC DRILLING PRODUCTS FRANCE"</f>
        <v>VALLOUREC DRILLING PRODUCTS FRANCE</v>
      </c>
      <c r="AP66" t="str">
        <f t="shared" ref="AP66:AP79" si="50">" "</f>
        <v xml:space="preserve"> </v>
      </c>
      <c r="AQ66" s="2">
        <v>0</v>
      </c>
      <c r="AR66" s="3">
        <v>0</v>
      </c>
      <c r="AS66" s="3">
        <v>0</v>
      </c>
      <c r="AT66" s="3">
        <v>0</v>
      </c>
      <c r="AU66">
        <v>0</v>
      </c>
      <c r="AV66">
        <v>0</v>
      </c>
      <c r="AW66">
        <v>0</v>
      </c>
      <c r="AX66" s="3">
        <v>0</v>
      </c>
      <c r="AY66">
        <v>0</v>
      </c>
      <c r="AZ66">
        <v>2000</v>
      </c>
      <c r="BA66">
        <v>0</v>
      </c>
      <c r="BB66">
        <v>0</v>
      </c>
      <c r="BC66">
        <v>400</v>
      </c>
      <c r="BD66">
        <v>0</v>
      </c>
      <c r="BE66">
        <v>0</v>
      </c>
      <c r="BF66">
        <v>0</v>
      </c>
      <c r="BG66">
        <v>0</v>
      </c>
      <c r="BH66">
        <v>2400</v>
      </c>
      <c r="BI66">
        <v>2000</v>
      </c>
      <c r="BJ66" t="str">
        <f t="shared" si="38"/>
        <v>41</v>
      </c>
      <c r="BK66" t="str">
        <f t="shared" si="39"/>
        <v>VI</v>
      </c>
    </row>
    <row r="67" spans="1:63" x14ac:dyDescent="0.3">
      <c r="A67" t="str">
        <f>"202302"</f>
        <v>202302</v>
      </c>
      <c r="B67" t="str">
        <f>"VALLOUREC DRILLING"</f>
        <v>VALLOUREC DRILLING</v>
      </c>
      <c r="C67" t="str">
        <f>"16149"</f>
        <v>16149</v>
      </c>
      <c r="D67" t="str">
        <f>"35011619 POSTE 20"</f>
        <v>35011619 POSTE 20</v>
      </c>
      <c r="E67" t="str">
        <f t="shared" ref="E67:E79" si="51">" "</f>
        <v xml:space="preserve"> </v>
      </c>
      <c r="F67" s="1">
        <v>42102</v>
      </c>
      <c r="G67" t="str">
        <f t="shared" si="42"/>
        <v xml:space="preserve"> </v>
      </c>
      <c r="H67" t="str">
        <f t="shared" si="42"/>
        <v xml:space="preserve"> </v>
      </c>
      <c r="J67" s="1">
        <v>42146</v>
      </c>
      <c r="K67" t="str">
        <f t="shared" si="43"/>
        <v xml:space="preserve"> </v>
      </c>
      <c r="L67">
        <v>1980</v>
      </c>
      <c r="M67" s="2">
        <v>0</v>
      </c>
      <c r="N67" s="3">
        <v>1</v>
      </c>
      <c r="O67" t="str">
        <f t="shared" si="44"/>
        <v>EUR</v>
      </c>
      <c r="P67" s="4" t="str">
        <f>"16149"</f>
        <v>16149</v>
      </c>
      <c r="Q67" t="str">
        <f t="shared" si="45"/>
        <v>01</v>
      </c>
      <c r="R67" s="2">
        <v>1980</v>
      </c>
      <c r="S67" t="str">
        <f t="shared" si="41"/>
        <v xml:space="preserve"> </v>
      </c>
      <c r="T67" t="str">
        <f t="shared" si="41"/>
        <v xml:space="preserve"> </v>
      </c>
      <c r="U67" t="str">
        <f t="shared" si="41"/>
        <v xml:space="preserve"> </v>
      </c>
      <c r="V67" s="2">
        <v>1980</v>
      </c>
      <c r="W67" s="4">
        <v>1</v>
      </c>
      <c r="X67" t="str">
        <f>"VALLOUREC DRILLING"</f>
        <v>VALLOUREC DRILLING</v>
      </c>
      <c r="Y67" t="str">
        <f t="shared" si="40"/>
        <v>MP</v>
      </c>
      <c r="Z67" s="1">
        <v>42146</v>
      </c>
      <c r="AA67" t="str">
        <f t="shared" si="46"/>
        <v xml:space="preserve"> </v>
      </c>
      <c r="AB67" s="2">
        <v>0</v>
      </c>
      <c r="AC67" t="str">
        <f>"VALLOUREC DRILLING PRODUCTS FRANCE"</f>
        <v>VALLOUREC DRILLING PRODUCTS FRANCE</v>
      </c>
      <c r="AD67" t="str">
        <f t="shared" si="47"/>
        <v xml:space="preserve"> </v>
      </c>
      <c r="AE67" t="str">
        <f>"65000"</f>
        <v>65000</v>
      </c>
      <c r="AF67" t="str">
        <f>"TARBES"</f>
        <v>TARBES</v>
      </c>
      <c r="AG67" t="str">
        <f t="shared" si="48"/>
        <v xml:space="preserve"> </v>
      </c>
      <c r="AH67" t="str">
        <f t="shared" si="49"/>
        <v>F</v>
      </c>
      <c r="AI67" s="1">
        <v>42101</v>
      </c>
      <c r="AJ67">
        <v>0</v>
      </c>
      <c r="AL67">
        <v>0</v>
      </c>
      <c r="AN67" t="str">
        <f t="shared" si="36"/>
        <v>DEBARROS</v>
      </c>
      <c r="AO67" t="str">
        <f>"VALLOUREC DRILLING PRODUCTS FRANCE"</f>
        <v>VALLOUREC DRILLING PRODUCTS FRANCE</v>
      </c>
      <c r="AP67" t="str">
        <f t="shared" si="50"/>
        <v xml:space="preserve"> </v>
      </c>
      <c r="AQ67" s="2">
        <v>0</v>
      </c>
      <c r="AR67" s="3">
        <v>0</v>
      </c>
      <c r="AS67" s="3">
        <v>0</v>
      </c>
      <c r="AT67" s="3">
        <v>0</v>
      </c>
      <c r="AU67">
        <v>0</v>
      </c>
      <c r="AV67">
        <v>0</v>
      </c>
      <c r="AW67">
        <v>0</v>
      </c>
      <c r="AX67" s="3">
        <v>0</v>
      </c>
      <c r="AY67">
        <v>0</v>
      </c>
      <c r="AZ67">
        <v>1980</v>
      </c>
      <c r="BA67">
        <v>0</v>
      </c>
      <c r="BB67">
        <v>0</v>
      </c>
      <c r="BC67">
        <v>396</v>
      </c>
      <c r="BD67">
        <v>0</v>
      </c>
      <c r="BE67">
        <v>0</v>
      </c>
      <c r="BF67">
        <v>0</v>
      </c>
      <c r="BG67">
        <v>0</v>
      </c>
      <c r="BH67">
        <v>2376</v>
      </c>
      <c r="BI67">
        <v>1980</v>
      </c>
      <c r="BJ67" t="str">
        <f t="shared" si="38"/>
        <v>41</v>
      </c>
      <c r="BK67" t="str">
        <f t="shared" si="39"/>
        <v>VI</v>
      </c>
    </row>
    <row r="68" spans="1:63" x14ac:dyDescent="0.3">
      <c r="A68" t="str">
        <f>"202302"</f>
        <v>202302</v>
      </c>
      <c r="B68" t="str">
        <f>"VALLOUREC DRILLING"</f>
        <v>VALLOUREC DRILLING</v>
      </c>
      <c r="C68" t="str">
        <f>"16148"</f>
        <v>16148</v>
      </c>
      <c r="D68" t="str">
        <f>"35011619 POSTE 10"</f>
        <v>35011619 POSTE 10</v>
      </c>
      <c r="E68" t="str">
        <f t="shared" si="51"/>
        <v xml:space="preserve"> </v>
      </c>
      <c r="F68" s="1">
        <v>42102</v>
      </c>
      <c r="G68" t="str">
        <f t="shared" si="42"/>
        <v xml:space="preserve"> </v>
      </c>
      <c r="H68" t="str">
        <f t="shared" si="42"/>
        <v xml:space="preserve"> </v>
      </c>
      <c r="J68" s="1">
        <v>42146</v>
      </c>
      <c r="K68" t="str">
        <f t="shared" si="43"/>
        <v xml:space="preserve"> </v>
      </c>
      <c r="L68">
        <v>1632</v>
      </c>
      <c r="M68" s="2">
        <v>0</v>
      </c>
      <c r="N68" s="3">
        <v>1</v>
      </c>
      <c r="O68" t="str">
        <f t="shared" si="44"/>
        <v>EUR</v>
      </c>
      <c r="P68" s="4" t="str">
        <f>"16148"</f>
        <v>16148</v>
      </c>
      <c r="Q68" t="str">
        <f t="shared" si="45"/>
        <v>01</v>
      </c>
      <c r="R68" s="2">
        <v>1632</v>
      </c>
      <c r="S68" t="str">
        <f t="shared" si="41"/>
        <v xml:space="preserve"> </v>
      </c>
      <c r="T68" t="str">
        <f t="shared" si="41"/>
        <v xml:space="preserve"> </v>
      </c>
      <c r="U68" t="str">
        <f t="shared" si="41"/>
        <v xml:space="preserve"> </v>
      </c>
      <c r="V68" s="2">
        <v>1632</v>
      </c>
      <c r="W68" s="4">
        <v>1</v>
      </c>
      <c r="X68" t="str">
        <f>"VALLOUREC DRILLING"</f>
        <v>VALLOUREC DRILLING</v>
      </c>
      <c r="Y68" t="str">
        <f t="shared" si="40"/>
        <v>MP</v>
      </c>
      <c r="Z68" s="1">
        <v>42146</v>
      </c>
      <c r="AA68" t="str">
        <f t="shared" si="46"/>
        <v xml:space="preserve"> </v>
      </c>
      <c r="AB68" s="2">
        <v>0</v>
      </c>
      <c r="AC68" t="str">
        <f>"VALLOUREC DRILLING PRODUCTS FRANCE"</f>
        <v>VALLOUREC DRILLING PRODUCTS FRANCE</v>
      </c>
      <c r="AD68" t="str">
        <f t="shared" si="47"/>
        <v xml:space="preserve"> </v>
      </c>
      <c r="AE68" t="str">
        <f>"65000"</f>
        <v>65000</v>
      </c>
      <c r="AF68" t="str">
        <f>"TARBES"</f>
        <v>TARBES</v>
      </c>
      <c r="AG68" t="str">
        <f t="shared" si="48"/>
        <v xml:space="preserve"> </v>
      </c>
      <c r="AH68" t="str">
        <f t="shared" si="49"/>
        <v>F</v>
      </c>
      <c r="AI68" s="1">
        <v>42101</v>
      </c>
      <c r="AJ68">
        <v>0</v>
      </c>
      <c r="AL68">
        <v>0</v>
      </c>
      <c r="AN68" t="str">
        <f t="shared" si="36"/>
        <v>DEBARROS</v>
      </c>
      <c r="AO68" t="str">
        <f>"VALLOUREC DRILLING PRODUCTS FRANCE"</f>
        <v>VALLOUREC DRILLING PRODUCTS FRANCE</v>
      </c>
      <c r="AP68" t="str">
        <f t="shared" si="50"/>
        <v xml:space="preserve"> </v>
      </c>
      <c r="AQ68" s="2">
        <v>0</v>
      </c>
      <c r="AR68" s="3">
        <v>0</v>
      </c>
      <c r="AS68" s="3">
        <v>0</v>
      </c>
      <c r="AT68" s="3">
        <v>0</v>
      </c>
      <c r="AU68">
        <v>0</v>
      </c>
      <c r="AV68">
        <v>0</v>
      </c>
      <c r="AW68">
        <v>0</v>
      </c>
      <c r="AX68" s="3">
        <v>0</v>
      </c>
      <c r="AY68">
        <v>0</v>
      </c>
      <c r="AZ68">
        <v>1632</v>
      </c>
      <c r="BA68">
        <v>0</v>
      </c>
      <c r="BB68">
        <v>0</v>
      </c>
      <c r="BC68">
        <v>326.39999999999998</v>
      </c>
      <c r="BD68">
        <v>0</v>
      </c>
      <c r="BE68">
        <v>0</v>
      </c>
      <c r="BF68">
        <v>0</v>
      </c>
      <c r="BG68">
        <v>0</v>
      </c>
      <c r="BH68">
        <v>1958.4</v>
      </c>
      <c r="BI68">
        <v>1632</v>
      </c>
      <c r="BJ68" t="str">
        <f t="shared" si="38"/>
        <v>41</v>
      </c>
      <c r="BK68" t="str">
        <f t="shared" si="39"/>
        <v>VI</v>
      </c>
    </row>
    <row r="69" spans="1:63" x14ac:dyDescent="0.3">
      <c r="A69" t="str">
        <f>"186100"</f>
        <v>186100</v>
      </c>
      <c r="B69" t="str">
        <f>"HERAKLES ( SME )"</f>
        <v>HERAKLES ( SME )</v>
      </c>
      <c r="C69" t="str">
        <f>"16147"</f>
        <v>16147</v>
      </c>
      <c r="D69" t="str">
        <f>" "</f>
        <v xml:space="preserve"> </v>
      </c>
      <c r="E69" t="str">
        <f t="shared" si="51"/>
        <v xml:space="preserve"> </v>
      </c>
      <c r="F69" s="1">
        <v>42101</v>
      </c>
      <c r="G69" t="str">
        <f t="shared" ref="G69:G76" si="52">"LT"</f>
        <v>LT</v>
      </c>
      <c r="H69" t="str">
        <f t="shared" ref="H69:H76" si="53">"FT"</f>
        <v>FT</v>
      </c>
      <c r="I69" s="5">
        <v>42115</v>
      </c>
      <c r="J69" s="1">
        <v>42115</v>
      </c>
      <c r="K69" t="str">
        <f t="shared" si="43"/>
        <v xml:space="preserve"> </v>
      </c>
      <c r="L69">
        <v>480</v>
      </c>
      <c r="M69" s="2">
        <v>0</v>
      </c>
      <c r="N69" s="3">
        <v>1</v>
      </c>
      <c r="O69" t="str">
        <f t="shared" si="44"/>
        <v>EUR</v>
      </c>
      <c r="P69" s="4" t="str">
        <f>"16147"</f>
        <v>16147</v>
      </c>
      <c r="Q69" t="str">
        <f t="shared" si="45"/>
        <v>01</v>
      </c>
      <c r="R69" s="2">
        <v>480</v>
      </c>
      <c r="S69" t="str">
        <f t="shared" si="41"/>
        <v xml:space="preserve"> </v>
      </c>
      <c r="T69" t="str">
        <f t="shared" si="41"/>
        <v xml:space="preserve"> </v>
      </c>
      <c r="U69" t="str">
        <f t="shared" si="41"/>
        <v xml:space="preserve"> </v>
      </c>
      <c r="V69" s="2">
        <v>480</v>
      </c>
      <c r="W69" s="4">
        <v>1</v>
      </c>
      <c r="X69" t="str">
        <f>"HERAKLES ( SME )"</f>
        <v>HERAKLES ( SME )</v>
      </c>
      <c r="Y69" t="str">
        <f>"TS"</f>
        <v>TS</v>
      </c>
      <c r="Z69" s="1">
        <v>42115</v>
      </c>
      <c r="AA69" t="str">
        <f t="shared" si="46"/>
        <v xml:space="preserve"> </v>
      </c>
      <c r="AB69" s="2">
        <v>0</v>
      </c>
      <c r="AC69" t="str">
        <f>"SAFRAN HERAKLES"</f>
        <v>SAFRAN HERAKLES</v>
      </c>
      <c r="AD69" t="str">
        <f t="shared" si="47"/>
        <v xml:space="preserve"> </v>
      </c>
      <c r="AE69" t="str">
        <f>"33160"</f>
        <v>33160</v>
      </c>
      <c r="AF69" t="str">
        <f>"Saint Médard en Jalles"</f>
        <v>Saint Médard en Jalles</v>
      </c>
      <c r="AG69" t="str">
        <f t="shared" si="48"/>
        <v xml:space="preserve"> </v>
      </c>
      <c r="AH69" t="str">
        <f t="shared" si="49"/>
        <v>F</v>
      </c>
      <c r="AI69" s="1">
        <v>42101</v>
      </c>
      <c r="AJ69">
        <v>0</v>
      </c>
      <c r="AL69">
        <v>0</v>
      </c>
      <c r="AN69" t="str">
        <f t="shared" si="36"/>
        <v>DEBARROS</v>
      </c>
      <c r="AO69" t="str">
        <f>"HERAKLES ( SME )"</f>
        <v>HERAKLES ( SME )</v>
      </c>
      <c r="AP69" t="str">
        <f t="shared" si="50"/>
        <v xml:space="preserve"> </v>
      </c>
      <c r="AQ69" s="2">
        <v>0</v>
      </c>
      <c r="AR69" s="3">
        <v>0</v>
      </c>
      <c r="AS69" s="3">
        <v>0</v>
      </c>
      <c r="AT69" s="3">
        <v>0</v>
      </c>
      <c r="AU69">
        <v>0</v>
      </c>
      <c r="AV69">
        <v>0</v>
      </c>
      <c r="AW69">
        <v>0</v>
      </c>
      <c r="AX69" s="3">
        <v>0</v>
      </c>
      <c r="AY69">
        <v>0</v>
      </c>
      <c r="AZ69">
        <v>480</v>
      </c>
      <c r="BA69">
        <v>0</v>
      </c>
      <c r="BB69">
        <v>0</v>
      </c>
      <c r="BC69">
        <v>96</v>
      </c>
      <c r="BD69">
        <v>0</v>
      </c>
      <c r="BE69">
        <v>0</v>
      </c>
      <c r="BF69">
        <v>0</v>
      </c>
      <c r="BG69">
        <v>0</v>
      </c>
      <c r="BH69">
        <v>576</v>
      </c>
      <c r="BI69">
        <v>480</v>
      </c>
      <c r="BJ69" t="str">
        <f t="shared" si="38"/>
        <v>41</v>
      </c>
      <c r="BK69" t="str">
        <f t="shared" si="39"/>
        <v>VI</v>
      </c>
    </row>
    <row r="70" spans="1:63" x14ac:dyDescent="0.3">
      <c r="A70" t="str">
        <f>"185900"</f>
        <v>185900</v>
      </c>
      <c r="B70" t="str">
        <f>"HERAKLES"</f>
        <v>HERAKLES</v>
      </c>
      <c r="C70" t="str">
        <f>"16146"</f>
        <v>16146</v>
      </c>
      <c r="D70" t="str">
        <f>"121 500089504"</f>
        <v>121 500089504</v>
      </c>
      <c r="E70" t="str">
        <f t="shared" si="51"/>
        <v xml:space="preserve"> </v>
      </c>
      <c r="F70" s="1">
        <v>42097</v>
      </c>
      <c r="G70" t="str">
        <f t="shared" si="52"/>
        <v>LT</v>
      </c>
      <c r="H70" t="str">
        <f t="shared" si="53"/>
        <v>FT</v>
      </c>
      <c r="I70" s="5">
        <v>42124</v>
      </c>
      <c r="J70" s="1">
        <v>42139</v>
      </c>
      <c r="K70" t="str">
        <f t="shared" si="43"/>
        <v xml:space="preserve"> </v>
      </c>
      <c r="L70">
        <v>5700</v>
      </c>
      <c r="M70" s="2">
        <v>0</v>
      </c>
      <c r="N70" s="3">
        <v>1</v>
      </c>
      <c r="O70" t="str">
        <f t="shared" si="44"/>
        <v>EUR</v>
      </c>
      <c r="P70" s="4" t="str">
        <f>"16146"</f>
        <v>16146</v>
      </c>
      <c r="Q70" t="str">
        <f t="shared" si="45"/>
        <v>01</v>
      </c>
      <c r="R70" s="2">
        <v>5700</v>
      </c>
      <c r="S70" t="str">
        <f t="shared" si="41"/>
        <v xml:space="preserve"> </v>
      </c>
      <c r="T70" t="str">
        <f t="shared" si="41"/>
        <v xml:space="preserve"> </v>
      </c>
      <c r="U70" t="str">
        <f t="shared" si="41"/>
        <v xml:space="preserve"> </v>
      </c>
      <c r="V70" s="2">
        <v>5700</v>
      </c>
      <c r="W70" s="4">
        <v>1</v>
      </c>
      <c r="X70" t="str">
        <f>"HERAKLES"</f>
        <v>HERAKLES</v>
      </c>
      <c r="Y70" t="str">
        <f>"MP"</f>
        <v>MP</v>
      </c>
      <c r="Z70" s="1">
        <v>42139</v>
      </c>
      <c r="AA70" t="str">
        <f t="shared" si="46"/>
        <v xml:space="preserve"> </v>
      </c>
      <c r="AB70" s="2">
        <v>0</v>
      </c>
      <c r="AC70" t="str">
        <f>"HERAKLES"</f>
        <v>HERAKLES</v>
      </c>
      <c r="AD70" t="str">
        <f t="shared" si="47"/>
        <v xml:space="preserve"> </v>
      </c>
      <c r="AE70" t="str">
        <f>"33187"</f>
        <v>33187</v>
      </c>
      <c r="AF70" t="str">
        <f>"LE HAILLAN CEDEX"</f>
        <v>LE HAILLAN CEDEX</v>
      </c>
      <c r="AG70" t="str">
        <f t="shared" si="48"/>
        <v xml:space="preserve"> </v>
      </c>
      <c r="AH70" t="str">
        <f t="shared" si="49"/>
        <v>F</v>
      </c>
      <c r="AI70" s="1">
        <v>42095</v>
      </c>
      <c r="AJ70">
        <v>0</v>
      </c>
      <c r="AL70">
        <v>0</v>
      </c>
      <c r="AN70" t="str">
        <f t="shared" si="36"/>
        <v>DEBARROS</v>
      </c>
      <c r="AO70" t="str">
        <f>"HERAKLES"</f>
        <v>HERAKLES</v>
      </c>
      <c r="AP70" t="str">
        <f t="shared" si="50"/>
        <v xml:space="preserve"> </v>
      </c>
      <c r="AQ70" s="2">
        <v>0</v>
      </c>
      <c r="AR70" s="3">
        <v>0</v>
      </c>
      <c r="AS70" s="3">
        <v>0</v>
      </c>
      <c r="AT70" s="3">
        <v>0</v>
      </c>
      <c r="AU70">
        <v>0</v>
      </c>
      <c r="AV70">
        <v>0</v>
      </c>
      <c r="AW70">
        <v>0</v>
      </c>
      <c r="AX70" s="3">
        <v>0</v>
      </c>
      <c r="AY70">
        <v>0</v>
      </c>
      <c r="AZ70">
        <v>5700</v>
      </c>
      <c r="BA70">
        <v>0</v>
      </c>
      <c r="BB70">
        <v>0</v>
      </c>
      <c r="BC70">
        <v>1140</v>
      </c>
      <c r="BD70">
        <v>0</v>
      </c>
      <c r="BE70">
        <v>0</v>
      </c>
      <c r="BF70">
        <v>0</v>
      </c>
      <c r="BG70">
        <v>0</v>
      </c>
      <c r="BH70">
        <v>6840</v>
      </c>
      <c r="BI70">
        <v>5700</v>
      </c>
      <c r="BJ70" t="str">
        <f t="shared" si="38"/>
        <v>41</v>
      </c>
      <c r="BK70" t="str">
        <f t="shared" si="39"/>
        <v>VI</v>
      </c>
    </row>
    <row r="71" spans="1:63" x14ac:dyDescent="0.3">
      <c r="A71" t="str">
        <f>"185900"</f>
        <v>185900</v>
      </c>
      <c r="B71" t="str">
        <f>"HERAKLES"</f>
        <v>HERAKLES</v>
      </c>
      <c r="C71" t="str">
        <f>"16145"</f>
        <v>16145</v>
      </c>
      <c r="D71" t="str">
        <f>"121 500089507"</f>
        <v>121 500089507</v>
      </c>
      <c r="E71" t="str">
        <f t="shared" si="51"/>
        <v xml:space="preserve"> </v>
      </c>
      <c r="F71" s="1">
        <v>42097</v>
      </c>
      <c r="G71" t="str">
        <f t="shared" si="52"/>
        <v>LT</v>
      </c>
      <c r="H71" t="str">
        <f t="shared" si="53"/>
        <v>FT</v>
      </c>
      <c r="I71" s="5">
        <v>42124</v>
      </c>
      <c r="J71" s="1">
        <v>42139</v>
      </c>
      <c r="K71" t="str">
        <f t="shared" si="43"/>
        <v xml:space="preserve"> </v>
      </c>
      <c r="L71">
        <v>5700</v>
      </c>
      <c r="M71" s="2">
        <v>0</v>
      </c>
      <c r="N71" s="3">
        <v>1</v>
      </c>
      <c r="O71" t="str">
        <f t="shared" si="44"/>
        <v>EUR</v>
      </c>
      <c r="P71" s="4" t="str">
        <f>"16145"</f>
        <v>16145</v>
      </c>
      <c r="Q71" t="str">
        <f t="shared" si="45"/>
        <v>01</v>
      </c>
      <c r="R71" s="2">
        <v>5700</v>
      </c>
      <c r="S71" t="str">
        <f t="shared" si="41"/>
        <v xml:space="preserve"> </v>
      </c>
      <c r="T71" t="str">
        <f t="shared" si="41"/>
        <v xml:space="preserve"> </v>
      </c>
      <c r="U71" t="str">
        <f t="shared" si="41"/>
        <v xml:space="preserve"> </v>
      </c>
      <c r="V71" s="2">
        <v>5700</v>
      </c>
      <c r="W71" s="4">
        <v>1</v>
      </c>
      <c r="X71" t="str">
        <f>"HERAKLES"</f>
        <v>HERAKLES</v>
      </c>
      <c r="Y71" t="str">
        <f>"MP"</f>
        <v>MP</v>
      </c>
      <c r="Z71" s="1">
        <v>42139</v>
      </c>
      <c r="AA71" t="str">
        <f t="shared" si="46"/>
        <v xml:space="preserve"> </v>
      </c>
      <c r="AB71" s="2">
        <v>0</v>
      </c>
      <c r="AC71" t="str">
        <f>"HERAKLES"</f>
        <v>HERAKLES</v>
      </c>
      <c r="AD71" t="str">
        <f t="shared" si="47"/>
        <v xml:space="preserve"> </v>
      </c>
      <c r="AE71" t="str">
        <f>"33187"</f>
        <v>33187</v>
      </c>
      <c r="AF71" t="str">
        <f>"LE HAILLAN CEDEX"</f>
        <v>LE HAILLAN CEDEX</v>
      </c>
      <c r="AG71" t="str">
        <f t="shared" si="48"/>
        <v xml:space="preserve"> </v>
      </c>
      <c r="AH71" t="str">
        <f t="shared" si="49"/>
        <v>F</v>
      </c>
      <c r="AI71" s="1">
        <v>42095</v>
      </c>
      <c r="AJ71">
        <v>0</v>
      </c>
      <c r="AL71">
        <v>0</v>
      </c>
      <c r="AN71" t="str">
        <f t="shared" si="36"/>
        <v>DEBARROS</v>
      </c>
      <c r="AO71" t="str">
        <f>"HERAKLES"</f>
        <v>HERAKLES</v>
      </c>
      <c r="AP71" t="str">
        <f t="shared" si="50"/>
        <v xml:space="preserve"> </v>
      </c>
      <c r="AQ71" s="2">
        <v>0</v>
      </c>
      <c r="AR71" s="3">
        <v>0</v>
      </c>
      <c r="AS71" s="3">
        <v>0</v>
      </c>
      <c r="AT71" s="3">
        <v>0</v>
      </c>
      <c r="AU71">
        <v>0</v>
      </c>
      <c r="AV71">
        <v>0</v>
      </c>
      <c r="AW71">
        <v>0</v>
      </c>
      <c r="AX71" s="3">
        <v>0</v>
      </c>
      <c r="AY71">
        <v>0</v>
      </c>
      <c r="AZ71">
        <v>5700</v>
      </c>
      <c r="BA71">
        <v>0</v>
      </c>
      <c r="BB71">
        <v>0</v>
      </c>
      <c r="BC71">
        <v>1140</v>
      </c>
      <c r="BD71">
        <v>0</v>
      </c>
      <c r="BE71">
        <v>0</v>
      </c>
      <c r="BF71">
        <v>0</v>
      </c>
      <c r="BG71">
        <v>0</v>
      </c>
      <c r="BH71">
        <v>6840</v>
      </c>
      <c r="BI71">
        <v>5700</v>
      </c>
      <c r="BJ71" t="str">
        <f t="shared" si="38"/>
        <v>41</v>
      </c>
      <c r="BK71" t="str">
        <f t="shared" si="39"/>
        <v>VI</v>
      </c>
    </row>
    <row r="72" spans="1:63" x14ac:dyDescent="0.3">
      <c r="A72" t="str">
        <f>"181600"</f>
        <v>181600</v>
      </c>
      <c r="B72" t="str">
        <f>"REDA"</f>
        <v>REDA</v>
      </c>
      <c r="C72" t="str">
        <f>"16144"</f>
        <v>16144</v>
      </c>
      <c r="D72" t="str">
        <f>" "</f>
        <v xml:space="preserve"> </v>
      </c>
      <c r="E72" t="str">
        <f t="shared" si="51"/>
        <v xml:space="preserve"> </v>
      </c>
      <c r="F72" s="1">
        <v>42097</v>
      </c>
      <c r="G72" t="str">
        <f t="shared" si="52"/>
        <v>LT</v>
      </c>
      <c r="H72" t="str">
        <f t="shared" si="53"/>
        <v>FT</v>
      </c>
      <c r="I72" s="5">
        <v>42103</v>
      </c>
      <c r="J72" s="1">
        <v>42104</v>
      </c>
      <c r="K72" t="str">
        <f t="shared" si="43"/>
        <v xml:space="preserve"> </v>
      </c>
      <c r="L72">
        <v>750</v>
      </c>
      <c r="M72" s="2">
        <v>0</v>
      </c>
      <c r="N72" s="3">
        <v>1</v>
      </c>
      <c r="O72" t="str">
        <f t="shared" si="44"/>
        <v>EUR</v>
      </c>
      <c r="P72" s="4" t="str">
        <f>"16144"</f>
        <v>16144</v>
      </c>
      <c r="Q72" t="str">
        <f t="shared" si="45"/>
        <v>01</v>
      </c>
      <c r="R72" s="2">
        <v>750</v>
      </c>
      <c r="S72" t="str">
        <f t="shared" si="41"/>
        <v xml:space="preserve"> </v>
      </c>
      <c r="T72" t="str">
        <f t="shared" si="41"/>
        <v xml:space="preserve"> </v>
      </c>
      <c r="U72" t="str">
        <f t="shared" si="41"/>
        <v xml:space="preserve"> </v>
      </c>
      <c r="V72" s="2">
        <v>750</v>
      </c>
      <c r="W72" s="4">
        <v>1</v>
      </c>
      <c r="X72" t="str">
        <f>"REDA"</f>
        <v>REDA</v>
      </c>
      <c r="Y72" t="str">
        <f>"TS"</f>
        <v>TS</v>
      </c>
      <c r="Z72" s="1">
        <v>42104</v>
      </c>
      <c r="AA72" t="str">
        <f t="shared" si="46"/>
        <v xml:space="preserve"> </v>
      </c>
      <c r="AB72" s="2">
        <v>0</v>
      </c>
      <c r="AC72" t="str">
        <f>"REDA"</f>
        <v>REDA</v>
      </c>
      <c r="AD72" t="str">
        <f t="shared" si="47"/>
        <v xml:space="preserve"> </v>
      </c>
      <c r="AE72" t="str">
        <f>"33700"</f>
        <v>33700</v>
      </c>
      <c r="AF72" t="str">
        <f>"MERIGNAC"</f>
        <v>MERIGNAC</v>
      </c>
      <c r="AG72" t="str">
        <f t="shared" si="48"/>
        <v xml:space="preserve"> </v>
      </c>
      <c r="AH72" t="str">
        <f t="shared" si="49"/>
        <v>F</v>
      </c>
      <c r="AI72" s="1">
        <v>42097</v>
      </c>
      <c r="AJ72">
        <v>0</v>
      </c>
      <c r="AL72">
        <v>0</v>
      </c>
      <c r="AN72" t="str">
        <f t="shared" si="36"/>
        <v>DEBARROS</v>
      </c>
      <c r="AO72" t="str">
        <f>"REDA"</f>
        <v>REDA</v>
      </c>
      <c r="AP72" t="str">
        <f t="shared" si="50"/>
        <v xml:space="preserve"> </v>
      </c>
      <c r="AQ72" s="2">
        <v>0</v>
      </c>
      <c r="AR72" s="3">
        <v>0</v>
      </c>
      <c r="AS72" s="3">
        <v>0</v>
      </c>
      <c r="AT72" s="3">
        <v>0</v>
      </c>
      <c r="AU72">
        <v>0</v>
      </c>
      <c r="AV72">
        <v>0</v>
      </c>
      <c r="AW72">
        <v>0</v>
      </c>
      <c r="AX72" s="3">
        <v>0</v>
      </c>
      <c r="AY72">
        <v>0</v>
      </c>
      <c r="AZ72">
        <v>750</v>
      </c>
      <c r="BA72">
        <v>0</v>
      </c>
      <c r="BB72">
        <v>0</v>
      </c>
      <c r="BC72">
        <v>150</v>
      </c>
      <c r="BD72">
        <v>0</v>
      </c>
      <c r="BE72">
        <v>0</v>
      </c>
      <c r="BF72">
        <v>0</v>
      </c>
      <c r="BG72">
        <v>0</v>
      </c>
      <c r="BH72">
        <v>900</v>
      </c>
      <c r="BI72">
        <v>750</v>
      </c>
      <c r="BJ72" t="str">
        <f t="shared" si="38"/>
        <v>41</v>
      </c>
      <c r="BK72" t="str">
        <f t="shared" si="39"/>
        <v>VI</v>
      </c>
    </row>
    <row r="73" spans="1:63" x14ac:dyDescent="0.3">
      <c r="A73" t="str">
        <f>"650119"</f>
        <v>650119</v>
      </c>
      <c r="B73" t="str">
        <f>"AIR INDUSTRIE"</f>
        <v>AIR INDUSTRIE</v>
      </c>
      <c r="C73" t="str">
        <f>"16143"</f>
        <v>16143</v>
      </c>
      <c r="D73" t="str">
        <f>"582"</f>
        <v>582</v>
      </c>
      <c r="E73" t="str">
        <f t="shared" si="51"/>
        <v xml:space="preserve"> </v>
      </c>
      <c r="F73" s="1">
        <v>42097</v>
      </c>
      <c r="G73" t="str">
        <f t="shared" si="52"/>
        <v>LT</v>
      </c>
      <c r="H73" t="str">
        <f t="shared" si="53"/>
        <v>FT</v>
      </c>
      <c r="I73" s="5">
        <v>42102</v>
      </c>
      <c r="J73" s="1">
        <v>42102</v>
      </c>
      <c r="K73" t="str">
        <f t="shared" si="43"/>
        <v xml:space="preserve"> </v>
      </c>
      <c r="L73">
        <v>405</v>
      </c>
      <c r="M73" s="2">
        <v>0</v>
      </c>
      <c r="N73" s="3">
        <v>1</v>
      </c>
      <c r="O73" t="str">
        <f t="shared" si="44"/>
        <v>EUR</v>
      </c>
      <c r="P73" s="4" t="str">
        <f>"16143"</f>
        <v>16143</v>
      </c>
      <c r="Q73" t="str">
        <f t="shared" si="45"/>
        <v>01</v>
      </c>
      <c r="R73" s="2">
        <v>405</v>
      </c>
      <c r="S73" t="str">
        <f t="shared" si="41"/>
        <v xml:space="preserve"> </v>
      </c>
      <c r="T73" t="str">
        <f t="shared" si="41"/>
        <v xml:space="preserve"> </v>
      </c>
      <c r="U73" t="str">
        <f t="shared" si="41"/>
        <v xml:space="preserve"> </v>
      </c>
      <c r="V73" s="2">
        <v>405</v>
      </c>
      <c r="W73" s="4">
        <v>1</v>
      </c>
      <c r="X73" t="str">
        <f>"AIR INDUSTRIE"</f>
        <v>AIR INDUSTRIE</v>
      </c>
      <c r="Y73" t="str">
        <f>"MP"</f>
        <v>MP</v>
      </c>
      <c r="Z73" s="1">
        <v>42102</v>
      </c>
      <c r="AA73" t="str">
        <f t="shared" si="46"/>
        <v xml:space="preserve"> </v>
      </c>
      <c r="AB73" s="2">
        <v>0</v>
      </c>
      <c r="AC73" t="str">
        <f>"AIR INDUSTRIE"</f>
        <v>AIR INDUSTRIE</v>
      </c>
      <c r="AD73" t="str">
        <f t="shared" si="47"/>
        <v xml:space="preserve"> </v>
      </c>
      <c r="AE73" t="str">
        <f>"33700"</f>
        <v>33700</v>
      </c>
      <c r="AF73" t="str">
        <f>"MERIGNAC"</f>
        <v>MERIGNAC</v>
      </c>
      <c r="AG73" t="str">
        <f t="shared" si="48"/>
        <v xml:space="preserve"> </v>
      </c>
      <c r="AH73" t="str">
        <f t="shared" si="49"/>
        <v>F</v>
      </c>
      <c r="AI73" s="1">
        <v>42097</v>
      </c>
      <c r="AJ73">
        <v>0</v>
      </c>
      <c r="AL73">
        <v>0</v>
      </c>
      <c r="AN73" t="str">
        <f t="shared" si="36"/>
        <v>DEBARROS</v>
      </c>
      <c r="AO73" t="str">
        <f>"AIR INDUSTRIE"</f>
        <v>AIR INDUSTRIE</v>
      </c>
      <c r="AP73" t="str">
        <f t="shared" si="50"/>
        <v xml:space="preserve"> </v>
      </c>
      <c r="AQ73" s="2">
        <v>0</v>
      </c>
      <c r="AR73" s="3">
        <v>0</v>
      </c>
      <c r="AS73" s="3">
        <v>0</v>
      </c>
      <c r="AT73" s="3">
        <v>0</v>
      </c>
      <c r="AU73">
        <v>0</v>
      </c>
      <c r="AV73">
        <v>0</v>
      </c>
      <c r="AW73">
        <v>0</v>
      </c>
      <c r="AX73" s="3">
        <v>0</v>
      </c>
      <c r="AY73">
        <v>0</v>
      </c>
      <c r="AZ73">
        <v>405</v>
      </c>
      <c r="BA73">
        <v>0</v>
      </c>
      <c r="BB73">
        <v>0</v>
      </c>
      <c r="BC73">
        <v>81</v>
      </c>
      <c r="BD73">
        <v>0</v>
      </c>
      <c r="BE73">
        <v>0</v>
      </c>
      <c r="BF73">
        <v>0</v>
      </c>
      <c r="BG73">
        <v>0</v>
      </c>
      <c r="BH73">
        <v>486</v>
      </c>
      <c r="BI73">
        <v>405</v>
      </c>
      <c r="BJ73" t="str">
        <f t="shared" si="38"/>
        <v>41</v>
      </c>
      <c r="BK73" t="str">
        <f t="shared" si="39"/>
        <v>VI</v>
      </c>
    </row>
    <row r="74" spans="1:63" x14ac:dyDescent="0.3">
      <c r="A74" t="str">
        <f>"165300"</f>
        <v>165300</v>
      </c>
      <c r="B74" t="str">
        <f>"METAREG"</f>
        <v>METAREG</v>
      </c>
      <c r="C74" t="str">
        <f>"16142"</f>
        <v>16142</v>
      </c>
      <c r="D74" t="str">
        <f>"C150009962"</f>
        <v>C150009962</v>
      </c>
      <c r="E74" t="str">
        <f t="shared" si="51"/>
        <v xml:space="preserve"> </v>
      </c>
      <c r="F74" s="1">
        <v>42097</v>
      </c>
      <c r="G74" t="str">
        <f t="shared" si="52"/>
        <v>LT</v>
      </c>
      <c r="H74" t="str">
        <f t="shared" si="53"/>
        <v>FT</v>
      </c>
      <c r="I74" s="5">
        <v>42118</v>
      </c>
      <c r="J74" s="1">
        <v>42103</v>
      </c>
      <c r="K74" t="str">
        <f t="shared" si="43"/>
        <v xml:space="preserve"> </v>
      </c>
      <c r="L74">
        <v>930</v>
      </c>
      <c r="M74" s="2">
        <v>0</v>
      </c>
      <c r="N74" s="3">
        <v>1</v>
      </c>
      <c r="O74" t="str">
        <f t="shared" si="44"/>
        <v>EUR</v>
      </c>
      <c r="P74" s="4" t="str">
        <f>"16142"</f>
        <v>16142</v>
      </c>
      <c r="Q74" t="str">
        <f t="shared" si="45"/>
        <v>01</v>
      </c>
      <c r="R74" s="2">
        <v>930</v>
      </c>
      <c r="S74" t="str">
        <f t="shared" si="41"/>
        <v xml:space="preserve"> </v>
      </c>
      <c r="T74" t="str">
        <f t="shared" si="41"/>
        <v xml:space="preserve"> </v>
      </c>
      <c r="U74" t="str">
        <f t="shared" si="41"/>
        <v xml:space="preserve"> </v>
      </c>
      <c r="V74" s="2">
        <v>930</v>
      </c>
      <c r="W74" s="4">
        <v>1</v>
      </c>
      <c r="X74" t="str">
        <f>"METAREG"</f>
        <v>METAREG</v>
      </c>
      <c r="Y74" t="str">
        <f>"MP"</f>
        <v>MP</v>
      </c>
      <c r="Z74" s="1">
        <v>42103</v>
      </c>
      <c r="AA74" t="str">
        <f t="shared" si="46"/>
        <v xml:space="preserve"> </v>
      </c>
      <c r="AB74" s="2">
        <v>0</v>
      </c>
      <c r="AC74" t="str">
        <f>"EIFFAGE CONTRUCTION METALLIQUE"</f>
        <v>EIFFAGE CONTRUCTION METALLIQUE</v>
      </c>
      <c r="AD74" t="str">
        <f t="shared" si="47"/>
        <v xml:space="preserve"> </v>
      </c>
      <c r="AE74" t="str">
        <f>"33600"</f>
        <v>33600</v>
      </c>
      <c r="AF74" t="str">
        <f>"PESSAC"</f>
        <v>PESSAC</v>
      </c>
      <c r="AG74" t="str">
        <f t="shared" si="48"/>
        <v xml:space="preserve"> </v>
      </c>
      <c r="AH74" t="str">
        <f t="shared" si="49"/>
        <v>F</v>
      </c>
      <c r="AI74" s="1">
        <v>42096</v>
      </c>
      <c r="AJ74">
        <v>0</v>
      </c>
      <c r="AL74">
        <v>0</v>
      </c>
      <c r="AN74" t="str">
        <f t="shared" si="36"/>
        <v>DEBARROS</v>
      </c>
      <c r="AO74" t="str">
        <f>"EIFFAGE CONSTRUCTION METALLIQUE"</f>
        <v>EIFFAGE CONSTRUCTION METALLIQUE</v>
      </c>
      <c r="AP74" t="str">
        <f t="shared" si="50"/>
        <v xml:space="preserve"> </v>
      </c>
      <c r="AQ74" s="2">
        <v>0</v>
      </c>
      <c r="AR74" s="3">
        <v>0</v>
      </c>
      <c r="AS74" s="3">
        <v>0</v>
      </c>
      <c r="AT74" s="3">
        <v>0</v>
      </c>
      <c r="AU74">
        <v>0</v>
      </c>
      <c r="AV74">
        <v>0</v>
      </c>
      <c r="AW74">
        <v>0</v>
      </c>
      <c r="AX74" s="3">
        <v>0</v>
      </c>
      <c r="AY74">
        <v>0</v>
      </c>
      <c r="AZ74">
        <v>930</v>
      </c>
      <c r="BA74">
        <v>0</v>
      </c>
      <c r="BB74">
        <v>0</v>
      </c>
      <c r="BC74">
        <v>186</v>
      </c>
      <c r="BD74">
        <v>0</v>
      </c>
      <c r="BE74">
        <v>0</v>
      </c>
      <c r="BF74">
        <v>0</v>
      </c>
      <c r="BG74">
        <v>0</v>
      </c>
      <c r="BH74">
        <v>1116</v>
      </c>
      <c r="BI74">
        <v>930</v>
      </c>
      <c r="BJ74" t="str">
        <f t="shared" si="38"/>
        <v>41</v>
      </c>
      <c r="BK74" t="str">
        <f t="shared" si="39"/>
        <v>VI</v>
      </c>
    </row>
    <row r="75" spans="1:63" x14ac:dyDescent="0.3">
      <c r="A75" t="str">
        <f>"165300"</f>
        <v>165300</v>
      </c>
      <c r="B75" t="str">
        <f>"METAREG"</f>
        <v>METAREG</v>
      </c>
      <c r="C75" t="str">
        <f>"16141"</f>
        <v>16141</v>
      </c>
      <c r="D75" t="str">
        <f>"C150009824"</f>
        <v>C150009824</v>
      </c>
      <c r="E75" t="str">
        <f t="shared" si="51"/>
        <v xml:space="preserve"> </v>
      </c>
      <c r="F75" s="1">
        <v>42097</v>
      </c>
      <c r="G75" t="str">
        <f t="shared" si="52"/>
        <v>LT</v>
      </c>
      <c r="H75" t="str">
        <f t="shared" si="53"/>
        <v>FT</v>
      </c>
      <c r="I75" s="5">
        <v>42097</v>
      </c>
      <c r="J75" s="1">
        <v>42101</v>
      </c>
      <c r="K75" t="str">
        <f t="shared" si="43"/>
        <v xml:space="preserve"> </v>
      </c>
      <c r="L75">
        <v>100</v>
      </c>
      <c r="M75" s="2">
        <v>0</v>
      </c>
      <c r="N75" s="3">
        <v>1</v>
      </c>
      <c r="O75" t="str">
        <f t="shared" si="44"/>
        <v>EUR</v>
      </c>
      <c r="P75" s="4" t="str">
        <f>"16141"</f>
        <v>16141</v>
      </c>
      <c r="Q75" t="str">
        <f t="shared" si="45"/>
        <v>01</v>
      </c>
      <c r="R75" s="2">
        <v>100</v>
      </c>
      <c r="S75" t="str">
        <f t="shared" si="41"/>
        <v xml:space="preserve"> </v>
      </c>
      <c r="T75" t="str">
        <f t="shared" si="41"/>
        <v xml:space="preserve"> </v>
      </c>
      <c r="U75" t="str">
        <f t="shared" si="41"/>
        <v xml:space="preserve"> </v>
      </c>
      <c r="V75" s="2">
        <v>100</v>
      </c>
      <c r="W75" s="4">
        <v>1</v>
      </c>
      <c r="X75" t="str">
        <f>"METAREG"</f>
        <v>METAREG</v>
      </c>
      <c r="Y75" t="str">
        <f>"MP"</f>
        <v>MP</v>
      </c>
      <c r="Z75" s="1">
        <v>42101</v>
      </c>
      <c r="AA75" t="str">
        <f t="shared" si="46"/>
        <v xml:space="preserve"> </v>
      </c>
      <c r="AB75" s="2">
        <v>0</v>
      </c>
      <c r="AC75" t="str">
        <f>"EIFFAGE CONTRUCTION METALLIQUE"</f>
        <v>EIFFAGE CONTRUCTION METALLIQUE</v>
      </c>
      <c r="AD75" t="str">
        <f t="shared" si="47"/>
        <v xml:space="preserve"> </v>
      </c>
      <c r="AE75" t="str">
        <f>"33600"</f>
        <v>33600</v>
      </c>
      <c r="AF75" t="str">
        <f>"PESSAC"</f>
        <v>PESSAC</v>
      </c>
      <c r="AG75" t="str">
        <f t="shared" si="48"/>
        <v xml:space="preserve"> </v>
      </c>
      <c r="AH75" t="str">
        <f t="shared" si="49"/>
        <v>F</v>
      </c>
      <c r="AI75" s="1">
        <v>42097</v>
      </c>
      <c r="AJ75">
        <v>0</v>
      </c>
      <c r="AL75">
        <v>0</v>
      </c>
      <c r="AN75" t="str">
        <f t="shared" si="36"/>
        <v>DEBARROS</v>
      </c>
      <c r="AO75" t="str">
        <f>"EIFFAGE CONSTRUCTION METALLIQUE"</f>
        <v>EIFFAGE CONSTRUCTION METALLIQUE</v>
      </c>
      <c r="AP75" t="str">
        <f t="shared" si="50"/>
        <v xml:space="preserve"> </v>
      </c>
      <c r="AQ75" s="2">
        <v>0</v>
      </c>
      <c r="AR75" s="3">
        <v>0</v>
      </c>
      <c r="AS75" s="3">
        <v>0</v>
      </c>
      <c r="AT75" s="3">
        <v>0</v>
      </c>
      <c r="AU75">
        <v>0</v>
      </c>
      <c r="AV75">
        <v>0</v>
      </c>
      <c r="AW75">
        <v>0</v>
      </c>
      <c r="AX75" s="3">
        <v>0</v>
      </c>
      <c r="AY75">
        <v>0</v>
      </c>
      <c r="AZ75">
        <v>100</v>
      </c>
      <c r="BA75">
        <v>0</v>
      </c>
      <c r="BB75">
        <v>0</v>
      </c>
      <c r="BC75">
        <v>20</v>
      </c>
      <c r="BD75">
        <v>0</v>
      </c>
      <c r="BE75">
        <v>0</v>
      </c>
      <c r="BF75">
        <v>0</v>
      </c>
      <c r="BG75">
        <v>0</v>
      </c>
      <c r="BH75">
        <v>120</v>
      </c>
      <c r="BI75">
        <v>100</v>
      </c>
      <c r="BJ75" t="str">
        <f t="shared" si="38"/>
        <v>41</v>
      </c>
      <c r="BK75" t="str">
        <f t="shared" si="39"/>
        <v>VI</v>
      </c>
    </row>
    <row r="76" spans="1:63" x14ac:dyDescent="0.3">
      <c r="A76" t="str">
        <f>"165300"</f>
        <v>165300</v>
      </c>
      <c r="B76" t="str">
        <f>"METAREG"</f>
        <v>METAREG</v>
      </c>
      <c r="C76" t="str">
        <f>"16140"</f>
        <v>16140</v>
      </c>
      <c r="D76" t="str">
        <f>"C150009886"</f>
        <v>C150009886</v>
      </c>
      <c r="E76" t="str">
        <f t="shared" si="51"/>
        <v xml:space="preserve"> </v>
      </c>
      <c r="F76" s="1">
        <v>42097</v>
      </c>
      <c r="G76" t="str">
        <f t="shared" si="52"/>
        <v>LT</v>
      </c>
      <c r="H76" t="str">
        <f t="shared" si="53"/>
        <v>FT</v>
      </c>
      <c r="I76" s="5">
        <v>42108</v>
      </c>
      <c r="J76" s="1">
        <v>42116</v>
      </c>
      <c r="K76" t="str">
        <f t="shared" si="43"/>
        <v xml:space="preserve"> </v>
      </c>
      <c r="L76">
        <v>1600</v>
      </c>
      <c r="M76" s="2">
        <v>0</v>
      </c>
      <c r="N76" s="3">
        <v>1</v>
      </c>
      <c r="O76" t="str">
        <f t="shared" si="44"/>
        <v>EUR</v>
      </c>
      <c r="P76" s="4" t="str">
        <f>"16140"</f>
        <v>16140</v>
      </c>
      <c r="Q76" t="str">
        <f t="shared" si="45"/>
        <v>01</v>
      </c>
      <c r="R76" s="2">
        <v>1600</v>
      </c>
      <c r="S76" t="str">
        <f t="shared" si="41"/>
        <v xml:space="preserve"> </v>
      </c>
      <c r="T76" t="str">
        <f t="shared" si="41"/>
        <v xml:space="preserve"> </v>
      </c>
      <c r="U76" t="str">
        <f t="shared" si="41"/>
        <v xml:space="preserve"> </v>
      </c>
      <c r="V76" s="2">
        <v>1600</v>
      </c>
      <c r="W76" s="4">
        <v>1</v>
      </c>
      <c r="X76" t="str">
        <f>"METAREG"</f>
        <v>METAREG</v>
      </c>
      <c r="Y76" t="str">
        <f>"MP"</f>
        <v>MP</v>
      </c>
      <c r="Z76" s="1">
        <v>42116</v>
      </c>
      <c r="AA76" t="str">
        <f t="shared" si="46"/>
        <v xml:space="preserve"> </v>
      </c>
      <c r="AB76" s="2">
        <v>0</v>
      </c>
      <c r="AC76" t="str">
        <f>"EIFFAGE CONTRUCTION METALLIQUE"</f>
        <v>EIFFAGE CONTRUCTION METALLIQUE</v>
      </c>
      <c r="AD76" t="str">
        <f t="shared" si="47"/>
        <v xml:space="preserve"> </v>
      </c>
      <c r="AE76" t="str">
        <f>"33600"</f>
        <v>33600</v>
      </c>
      <c r="AF76" t="str">
        <f>"PESSAC"</f>
        <v>PESSAC</v>
      </c>
      <c r="AG76" t="str">
        <f t="shared" si="48"/>
        <v xml:space="preserve"> </v>
      </c>
      <c r="AH76" t="str">
        <f t="shared" si="49"/>
        <v>F</v>
      </c>
      <c r="AJ76">
        <v>0</v>
      </c>
      <c r="AL76">
        <v>0</v>
      </c>
      <c r="AN76" t="str">
        <f t="shared" si="36"/>
        <v>DEBARROS</v>
      </c>
      <c r="AO76" t="str">
        <f>"EIFFAGE CONSTRUCTION METALLIQUE"</f>
        <v>EIFFAGE CONSTRUCTION METALLIQUE</v>
      </c>
      <c r="AP76" t="str">
        <f t="shared" si="50"/>
        <v xml:space="preserve"> </v>
      </c>
      <c r="AQ76" s="2">
        <v>0</v>
      </c>
      <c r="AR76" s="3">
        <v>0</v>
      </c>
      <c r="AS76" s="3">
        <v>0</v>
      </c>
      <c r="AT76" s="3">
        <v>0</v>
      </c>
      <c r="AU76">
        <v>0</v>
      </c>
      <c r="AV76">
        <v>0</v>
      </c>
      <c r="AW76">
        <v>0</v>
      </c>
      <c r="AX76" s="3">
        <v>0</v>
      </c>
      <c r="AY76">
        <v>0</v>
      </c>
      <c r="AZ76">
        <v>1600</v>
      </c>
      <c r="BA76">
        <v>0</v>
      </c>
      <c r="BB76">
        <v>0</v>
      </c>
      <c r="BC76">
        <v>320</v>
      </c>
      <c r="BD76">
        <v>0</v>
      </c>
      <c r="BE76">
        <v>0</v>
      </c>
      <c r="BF76">
        <v>0</v>
      </c>
      <c r="BG76">
        <v>0</v>
      </c>
      <c r="BH76">
        <v>1920</v>
      </c>
      <c r="BI76">
        <v>1600</v>
      </c>
      <c r="BJ76" t="str">
        <f t="shared" si="38"/>
        <v>41</v>
      </c>
      <c r="BK76" t="str">
        <f t="shared" si="39"/>
        <v>VI</v>
      </c>
    </row>
    <row r="77" spans="1:63" x14ac:dyDescent="0.3">
      <c r="A77" t="str">
        <f>"220264"</f>
        <v>220264</v>
      </c>
      <c r="B77" t="str">
        <f>"S.U.S."</f>
        <v>S.U.S.</v>
      </c>
      <c r="C77" t="str">
        <f>"16139"</f>
        <v>16139</v>
      </c>
      <c r="D77" t="str">
        <f>"BCJRE15041304"</f>
        <v>BCJRE15041304</v>
      </c>
      <c r="E77" t="str">
        <f t="shared" si="51"/>
        <v xml:space="preserve"> </v>
      </c>
      <c r="F77" s="1">
        <v>42096</v>
      </c>
      <c r="G77" t="str">
        <f>"LP"</f>
        <v>LP</v>
      </c>
      <c r="H77" t="str">
        <f>"FP"</f>
        <v>FP</v>
      </c>
      <c r="I77" s="5">
        <v>42116</v>
      </c>
      <c r="J77" s="1">
        <v>42138</v>
      </c>
      <c r="K77" t="str">
        <f t="shared" si="43"/>
        <v xml:space="preserve"> </v>
      </c>
      <c r="L77">
        <v>23400</v>
      </c>
      <c r="M77" s="2">
        <v>0</v>
      </c>
      <c r="N77" s="3">
        <v>1</v>
      </c>
      <c r="O77" t="str">
        <f t="shared" si="44"/>
        <v>EUR</v>
      </c>
      <c r="P77" s="4" t="str">
        <f>"16139"</f>
        <v>16139</v>
      </c>
      <c r="Q77" t="str">
        <f t="shared" si="45"/>
        <v>01</v>
      </c>
      <c r="R77" s="2">
        <v>23400</v>
      </c>
      <c r="S77" t="str">
        <f t="shared" si="41"/>
        <v xml:space="preserve"> </v>
      </c>
      <c r="T77" t="str">
        <f t="shared" si="41"/>
        <v xml:space="preserve"> </v>
      </c>
      <c r="U77" t="str">
        <f t="shared" si="41"/>
        <v xml:space="preserve"> </v>
      </c>
      <c r="V77" s="2">
        <v>23400</v>
      </c>
      <c r="W77" s="4">
        <v>1</v>
      </c>
      <c r="X77" t="str">
        <f>"S.U.S."</f>
        <v>S.U.S.</v>
      </c>
      <c r="Y77" t="str">
        <f>"TS"</f>
        <v>TS</v>
      </c>
      <c r="Z77" s="1">
        <v>42138</v>
      </c>
      <c r="AA77" t="str">
        <f t="shared" si="46"/>
        <v xml:space="preserve"> </v>
      </c>
      <c r="AB77" s="2">
        <v>0</v>
      </c>
      <c r="AC77" t="str">
        <f>"Service Usinage Soudure"</f>
        <v>Service Usinage Soudure</v>
      </c>
      <c r="AD77" t="str">
        <f t="shared" si="47"/>
        <v xml:space="preserve"> </v>
      </c>
      <c r="AE77" t="str">
        <f>"33210"</f>
        <v>33210</v>
      </c>
      <c r="AF77" t="str">
        <f>"Fargues de Langon"</f>
        <v>Fargues de Langon</v>
      </c>
      <c r="AG77" t="str">
        <f t="shared" si="48"/>
        <v xml:space="preserve"> </v>
      </c>
      <c r="AH77" t="str">
        <f t="shared" si="49"/>
        <v>F</v>
      </c>
      <c r="AI77" s="1">
        <v>42096</v>
      </c>
      <c r="AJ77">
        <v>0</v>
      </c>
      <c r="AL77">
        <v>0</v>
      </c>
      <c r="AN77" t="str">
        <f t="shared" si="36"/>
        <v>DEBARROS</v>
      </c>
      <c r="AO77" t="str">
        <f>"Service Usinage Soudure"</f>
        <v>Service Usinage Soudure</v>
      </c>
      <c r="AP77" t="str">
        <f t="shared" si="50"/>
        <v xml:space="preserve"> </v>
      </c>
      <c r="AQ77" s="2">
        <v>0</v>
      </c>
      <c r="AR77" s="3">
        <v>0</v>
      </c>
      <c r="AS77" s="3">
        <v>0</v>
      </c>
      <c r="AT77" s="3">
        <v>0</v>
      </c>
      <c r="AU77">
        <v>0</v>
      </c>
      <c r="AV77">
        <v>0</v>
      </c>
      <c r="AW77">
        <v>0</v>
      </c>
      <c r="AX77" s="3">
        <v>0</v>
      </c>
      <c r="AY77">
        <v>0</v>
      </c>
      <c r="AZ77">
        <v>23400</v>
      </c>
      <c r="BA77">
        <v>0</v>
      </c>
      <c r="BB77">
        <v>0</v>
      </c>
      <c r="BC77">
        <v>4680</v>
      </c>
      <c r="BD77">
        <v>0</v>
      </c>
      <c r="BE77">
        <v>0</v>
      </c>
      <c r="BF77">
        <v>0</v>
      </c>
      <c r="BG77">
        <v>0</v>
      </c>
      <c r="BH77">
        <v>28080</v>
      </c>
      <c r="BI77">
        <v>23400</v>
      </c>
      <c r="BJ77" t="str">
        <f>"10"</f>
        <v>10</v>
      </c>
      <c r="BK77" t="str">
        <f>"CH"</f>
        <v>CH</v>
      </c>
    </row>
    <row r="78" spans="1:63" x14ac:dyDescent="0.3">
      <c r="A78" t="str">
        <f>"101000"</f>
        <v>101000</v>
      </c>
      <c r="B78" t="str">
        <f>"AIRBUS"</f>
        <v>AIRBUS</v>
      </c>
      <c r="C78" t="str">
        <f>"16138"</f>
        <v>16138</v>
      </c>
      <c r="D78" t="str">
        <f>"4577006723"</f>
        <v>4577006723</v>
      </c>
      <c r="E78" t="str">
        <f t="shared" si="51"/>
        <v xml:space="preserve"> </v>
      </c>
      <c r="F78" s="1">
        <v>42096</v>
      </c>
      <c r="G78" t="str">
        <f>" "</f>
        <v xml:space="preserve"> </v>
      </c>
      <c r="H78" t="str">
        <f>" "</f>
        <v xml:space="preserve"> </v>
      </c>
      <c r="I78" s="5">
        <v>42086</v>
      </c>
      <c r="J78" s="1">
        <v>42160</v>
      </c>
      <c r="K78" t="str">
        <f t="shared" si="43"/>
        <v xml:space="preserve"> </v>
      </c>
      <c r="L78">
        <v>38250</v>
      </c>
      <c r="M78" s="2">
        <v>0</v>
      </c>
      <c r="N78" s="3">
        <v>1</v>
      </c>
      <c r="O78" t="str">
        <f t="shared" si="44"/>
        <v>EUR</v>
      </c>
      <c r="P78" s="4" t="str">
        <f>"16138"</f>
        <v>16138</v>
      </c>
      <c r="Q78" t="str">
        <f t="shared" si="45"/>
        <v>01</v>
      </c>
      <c r="R78" s="2">
        <v>38250</v>
      </c>
      <c r="S78" t="str">
        <f t="shared" si="41"/>
        <v xml:space="preserve"> </v>
      </c>
      <c r="T78" t="str">
        <f t="shared" si="41"/>
        <v xml:space="preserve"> </v>
      </c>
      <c r="U78" t="str">
        <f t="shared" si="41"/>
        <v xml:space="preserve"> </v>
      </c>
      <c r="V78" s="2">
        <v>38250</v>
      </c>
      <c r="W78" s="4">
        <v>1</v>
      </c>
      <c r="X78" t="str">
        <f>"AIRBUS"</f>
        <v>AIRBUS</v>
      </c>
      <c r="Y78" t="str">
        <f>"MP"</f>
        <v>MP</v>
      </c>
      <c r="Z78" s="1">
        <v>42160</v>
      </c>
      <c r="AA78" t="str">
        <f t="shared" si="46"/>
        <v xml:space="preserve"> </v>
      </c>
      <c r="AB78" s="2">
        <v>0</v>
      </c>
      <c r="AC78" t="str">
        <f>"Airbus D &amp; S "</f>
        <v xml:space="preserve">Airbus D &amp; S </v>
      </c>
      <c r="AD78" t="str">
        <f t="shared" si="47"/>
        <v xml:space="preserve"> </v>
      </c>
      <c r="AE78" t="str">
        <f>"33165"</f>
        <v>33165</v>
      </c>
      <c r="AF78" t="str">
        <f>"SAINT MEDARD EN JALLES"</f>
        <v>SAINT MEDARD EN JALLES</v>
      </c>
      <c r="AG78" t="str">
        <f t="shared" si="48"/>
        <v xml:space="preserve"> </v>
      </c>
      <c r="AH78" t="str">
        <f t="shared" si="49"/>
        <v>F</v>
      </c>
      <c r="AI78" s="1">
        <v>42093</v>
      </c>
      <c r="AJ78">
        <v>0</v>
      </c>
      <c r="AL78">
        <v>0</v>
      </c>
      <c r="AN78" t="str">
        <f t="shared" si="36"/>
        <v>DEBARROS</v>
      </c>
      <c r="AO78" t="str">
        <f>"Airbus D &amp; S"</f>
        <v>Airbus D &amp; S</v>
      </c>
      <c r="AP78" t="str">
        <f t="shared" si="50"/>
        <v xml:space="preserve"> </v>
      </c>
      <c r="AQ78" s="2">
        <v>0</v>
      </c>
      <c r="AR78" s="3">
        <v>0</v>
      </c>
      <c r="AS78" s="3">
        <v>0</v>
      </c>
      <c r="AT78" s="3">
        <v>0</v>
      </c>
      <c r="AU78">
        <v>0</v>
      </c>
      <c r="AV78">
        <v>0</v>
      </c>
      <c r="AW78">
        <v>0</v>
      </c>
      <c r="AX78" s="3">
        <v>0</v>
      </c>
      <c r="AY78">
        <v>0</v>
      </c>
      <c r="AZ78">
        <v>38250</v>
      </c>
      <c r="BA78">
        <v>0</v>
      </c>
      <c r="BB78">
        <v>0</v>
      </c>
      <c r="BC78">
        <v>7650</v>
      </c>
      <c r="BD78">
        <v>0</v>
      </c>
      <c r="BE78">
        <v>0</v>
      </c>
      <c r="BF78">
        <v>0</v>
      </c>
      <c r="BG78">
        <v>0</v>
      </c>
      <c r="BH78">
        <v>45900</v>
      </c>
      <c r="BI78">
        <v>38250</v>
      </c>
      <c r="BJ78" t="str">
        <f>"41"</f>
        <v>41</v>
      </c>
      <c r="BK78" t="str">
        <f>"VI"</f>
        <v>VI</v>
      </c>
    </row>
    <row r="79" spans="1:63" x14ac:dyDescent="0.3">
      <c r="A79" t="str">
        <f>"165300"</f>
        <v>165300</v>
      </c>
      <c r="B79" t="str">
        <f>"METAREG"</f>
        <v>METAREG</v>
      </c>
      <c r="C79" t="str">
        <f>"16137"</f>
        <v>16137</v>
      </c>
      <c r="D79" t="str">
        <f>"C150009824"</f>
        <v>C150009824</v>
      </c>
      <c r="E79" t="str">
        <f t="shared" si="51"/>
        <v xml:space="preserve"> </v>
      </c>
      <c r="F79" s="1">
        <v>42095</v>
      </c>
      <c r="G79" t="str">
        <f>"LT"</f>
        <v>LT</v>
      </c>
      <c r="H79" t="str">
        <f>"FT"</f>
        <v>FT</v>
      </c>
      <c r="I79" s="5">
        <v>42101</v>
      </c>
      <c r="J79" s="1">
        <v>42095</v>
      </c>
      <c r="K79" t="str">
        <f t="shared" si="43"/>
        <v xml:space="preserve"> </v>
      </c>
      <c r="L79">
        <v>500</v>
      </c>
      <c r="M79" s="2">
        <v>0</v>
      </c>
      <c r="N79" s="3">
        <v>1</v>
      </c>
      <c r="O79" t="str">
        <f t="shared" si="44"/>
        <v>EUR</v>
      </c>
      <c r="P79" s="4" t="str">
        <f>"16137"</f>
        <v>16137</v>
      </c>
      <c r="Q79" t="str">
        <f t="shared" si="45"/>
        <v>01</v>
      </c>
      <c r="R79" s="2">
        <v>500</v>
      </c>
      <c r="S79" t="str">
        <f t="shared" si="41"/>
        <v xml:space="preserve"> </v>
      </c>
      <c r="T79" t="str">
        <f t="shared" si="41"/>
        <v xml:space="preserve"> </v>
      </c>
      <c r="U79" t="str">
        <f t="shared" si="41"/>
        <v xml:space="preserve"> </v>
      </c>
      <c r="V79" s="2">
        <v>500</v>
      </c>
      <c r="W79" s="4">
        <v>1</v>
      </c>
      <c r="X79" t="str">
        <f>"METAREG"</f>
        <v>METAREG</v>
      </c>
      <c r="Y79" t="str">
        <f>"MP"</f>
        <v>MP</v>
      </c>
      <c r="Z79" s="1">
        <v>42095</v>
      </c>
      <c r="AA79" t="str">
        <f t="shared" si="46"/>
        <v xml:space="preserve"> </v>
      </c>
      <c r="AB79" s="2">
        <v>0</v>
      </c>
      <c r="AC79" t="str">
        <f>"EIFFAGE CONTRUCTION METALLIQUE"</f>
        <v>EIFFAGE CONTRUCTION METALLIQUE</v>
      </c>
      <c r="AD79" t="str">
        <f t="shared" si="47"/>
        <v xml:space="preserve"> </v>
      </c>
      <c r="AE79" t="str">
        <f>"33600"</f>
        <v>33600</v>
      </c>
      <c r="AF79" t="str">
        <f>"PESSAC"</f>
        <v>PESSAC</v>
      </c>
      <c r="AG79" t="str">
        <f t="shared" si="48"/>
        <v xml:space="preserve"> </v>
      </c>
      <c r="AH79" t="str">
        <f t="shared" si="49"/>
        <v>F</v>
      </c>
      <c r="AI79" s="1">
        <v>42094</v>
      </c>
      <c r="AJ79">
        <v>0</v>
      </c>
      <c r="AL79">
        <v>0</v>
      </c>
      <c r="AN79" t="str">
        <f t="shared" si="36"/>
        <v>DEBARROS</v>
      </c>
      <c r="AO79" t="str">
        <f>"EIFFAGE CONSTRUCTION METALLIQUE"</f>
        <v>EIFFAGE CONSTRUCTION METALLIQUE</v>
      </c>
      <c r="AP79" t="str">
        <f t="shared" si="50"/>
        <v xml:space="preserve"> </v>
      </c>
      <c r="AQ79" s="2">
        <v>0</v>
      </c>
      <c r="AR79" s="3">
        <v>0</v>
      </c>
      <c r="AS79" s="3">
        <v>0</v>
      </c>
      <c r="AT79" s="3">
        <v>0</v>
      </c>
      <c r="AU79">
        <v>0</v>
      </c>
      <c r="AV79">
        <v>0</v>
      </c>
      <c r="AW79">
        <v>0</v>
      </c>
      <c r="AX79" s="3">
        <v>0</v>
      </c>
      <c r="AY79">
        <v>0</v>
      </c>
      <c r="AZ79">
        <v>500</v>
      </c>
      <c r="BA79">
        <v>0</v>
      </c>
      <c r="BB79">
        <v>0</v>
      </c>
      <c r="BC79">
        <v>100</v>
      </c>
      <c r="BD79">
        <v>0</v>
      </c>
      <c r="BE79">
        <v>0</v>
      </c>
      <c r="BF79">
        <v>0</v>
      </c>
      <c r="BG79">
        <v>0</v>
      </c>
      <c r="BH79">
        <v>600</v>
      </c>
      <c r="BI79">
        <v>500</v>
      </c>
      <c r="BJ79" t="str">
        <f>"41"</f>
        <v>41</v>
      </c>
      <c r="BK79" t="str">
        <f>"VI"</f>
        <v>VI</v>
      </c>
    </row>
    <row r="80" spans="1:63" x14ac:dyDescent="0.3">
      <c r="A80" t="str">
        <f>""</f>
        <v/>
      </c>
      <c r="B80" t="str">
        <f>""</f>
        <v/>
      </c>
      <c r="C80" t="str">
        <f>""</f>
        <v/>
      </c>
      <c r="D80" t="str">
        <f>""</f>
        <v/>
      </c>
      <c r="E80" t="str">
        <f>""</f>
        <v/>
      </c>
      <c r="G80" t="str">
        <f>""</f>
        <v/>
      </c>
      <c r="H80" t="str">
        <f>""</f>
        <v/>
      </c>
      <c r="K80" t="str">
        <f>""</f>
        <v/>
      </c>
      <c r="L80">
        <v>407299</v>
      </c>
      <c r="M80" s="2">
        <v>0</v>
      </c>
      <c r="N80" s="3">
        <v>1</v>
      </c>
      <c r="O80" t="str">
        <f>""</f>
        <v/>
      </c>
      <c r="P80" s="4" t="str">
        <f>""</f>
        <v/>
      </c>
      <c r="Q80" t="str">
        <f>""</f>
        <v/>
      </c>
      <c r="R80" s="2">
        <v>407299</v>
      </c>
      <c r="S80" t="str">
        <f>""</f>
        <v/>
      </c>
      <c r="T80" t="str">
        <f>""</f>
        <v/>
      </c>
      <c r="U80" t="str">
        <f>""</f>
        <v/>
      </c>
      <c r="V80" s="2">
        <v>407299</v>
      </c>
      <c r="X80" t="str">
        <f>""</f>
        <v/>
      </c>
      <c r="Y80" t="str">
        <f>""</f>
        <v/>
      </c>
      <c r="AA80" t="str">
        <f>""</f>
        <v/>
      </c>
      <c r="AB80" s="2">
        <v>0</v>
      </c>
      <c r="AC80" t="str">
        <f>""</f>
        <v/>
      </c>
      <c r="AD80" t="str">
        <f>""</f>
        <v/>
      </c>
      <c r="AE80" t="str">
        <f>""</f>
        <v/>
      </c>
      <c r="AF80" t="str">
        <f>""</f>
        <v/>
      </c>
      <c r="AG80" t="str">
        <f>""</f>
        <v/>
      </c>
      <c r="AH80" t="str">
        <f>""</f>
        <v/>
      </c>
      <c r="AJ80">
        <v>0</v>
      </c>
      <c r="AN80" t="str">
        <f>""</f>
        <v/>
      </c>
      <c r="AO80" t="str">
        <f>""</f>
        <v/>
      </c>
      <c r="AP80" t="str">
        <f>""</f>
        <v/>
      </c>
      <c r="AQ80" s="2">
        <v>0</v>
      </c>
      <c r="AU80">
        <v>0</v>
      </c>
      <c r="AV80">
        <v>0</v>
      </c>
      <c r="AW80">
        <v>0</v>
      </c>
      <c r="AY80">
        <v>0</v>
      </c>
      <c r="BC80">
        <v>81459.8</v>
      </c>
      <c r="BD80">
        <v>0</v>
      </c>
      <c r="BE80">
        <v>0</v>
      </c>
      <c r="BF80">
        <v>0</v>
      </c>
      <c r="BG80">
        <v>0</v>
      </c>
      <c r="BH80">
        <v>488758.8</v>
      </c>
      <c r="BI80">
        <v>407299</v>
      </c>
      <c r="BJ80" t="str">
        <f>""</f>
        <v/>
      </c>
      <c r="BK80" t="str">
        <f>""</f>
        <v/>
      </c>
    </row>
  </sheetData>
  <pageMargins left="0.78740157499999996" right="0.78740157499999996" top="0.984251969" bottom="0.984251969" header="0.4921259845" footer="0.492125984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ITTCDEC_06163035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Filipe</cp:lastModifiedBy>
  <dcterms:created xsi:type="dcterms:W3CDTF">2015-05-06T14:30:42Z</dcterms:created>
  <dcterms:modified xsi:type="dcterms:W3CDTF">2015-05-06T16:32:39Z</dcterms:modified>
</cp:coreProperties>
</file>